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DPFC-SPD-IR\FIN RES_IFRS\2026\1H 2026\3. На сайт\"/>
    </mc:Choice>
  </mc:AlternateContent>
  <bookViews>
    <workbookView xWindow="0" yWindow="6075" windowWidth="7665" windowHeight="2145" tabRatio="794"/>
  </bookViews>
  <sheets>
    <sheet name="Contents" sheetId="1" r:id="rId1"/>
    <sheet name="Key Financials" sheetId="2" r:id="rId2"/>
    <sheet name="Assets and Liabili-s structure" sheetId="3" r:id="rId3"/>
    <sheet name="Loan Portfolio IFRS 9" sheetId="4" r:id="rId4"/>
    <sheet name="Loan Portfolio IAS 39" sheetId="5" r:id="rId5"/>
    <sheet name="Customer Deposits" sheetId="6" r:id="rId6"/>
    <sheet name="Capital" sheetId="7" r:id="rId7"/>
    <sheet name="Income and Expenses structure" sheetId="8" r:id="rId8"/>
  </sheets>
  <definedNames>
    <definedName name="Z_0284F5E2_DB98_486F_B3F7_128FA2A0A465_.wvu.Cols" localSheetId="0" hidden="1">Contents!$N:$P</definedName>
    <definedName name="Z_0284F5E2_DB98_486F_B3F7_128FA2A0A465_.wvu.PrintArea" localSheetId="1" hidden="1">'Key Financials'!$A$1:$U$161</definedName>
    <definedName name="Z_0284F5E2_DB98_486F_B3F7_128FA2A0A465_.wvu.Rows" localSheetId="2" hidden="1">'Assets and Liabili-s structure'!$15:$15,'Assets and Liabili-s structure'!$23:$24,'Assets and Liabili-s structure'!$45:$45</definedName>
    <definedName name="Z_0284F5E2_DB98_486F_B3F7_128FA2A0A465_.wvu.Rows" localSheetId="7" hidden="1">'Income and Expenses structure'!$23:$23,'Income and Expenses structure'!$83:$83,'Income and Expenses structure'!$89:$97</definedName>
    <definedName name="Z_E4AC4991_F371_4BAF_8335_AD017EF379C0_.wvu.Cols" localSheetId="0" hidden="1">Contents!$N:$P</definedName>
    <definedName name="Z_E4AC4991_F371_4BAF_8335_AD017EF379C0_.wvu.PrintArea" localSheetId="1" hidden="1">'Key Financials'!$A$1:$U$161</definedName>
    <definedName name="Z_E4AC4991_F371_4BAF_8335_AD017EF379C0_.wvu.Rows" localSheetId="2" hidden="1">'Assets and Liabili-s structure'!$15:$15,'Assets and Liabili-s structure'!$23:$24,'Assets and Liabili-s structure'!$45:$45</definedName>
    <definedName name="Z_E4AC4991_F371_4BAF_8335_AD017EF379C0_.wvu.Rows" localSheetId="7" hidden="1">'Income and Expenses structure'!$23:$23,'Income and Expenses structure'!$83:$83,'Income and Expenses structure'!$89:$97</definedName>
    <definedName name="_xlnm.Print_Area" localSheetId="1">'Key Financials'!$A$1:$U$161</definedName>
  </definedNames>
  <calcPr calcId="162913"/>
  <customWorkbookViews>
    <customWorkbookView name="Евстропьев-Кудреватый Вадим Валентинович - Личное представление" guid="{E4AC4991-F371-4BAF-8335-AD017EF379C0}" mergeInterval="0" personalView="1" maximized="1" xWindow="54" yWindow="-8" windowWidth="1874" windowHeight="1096" tabRatio="794" activeSheetId="2"/>
    <customWorkbookView name="Васильев Руслан Юрьевич - Личное представление" guid="{0284F5E2-DB98-486F-B3F7-128FA2A0A465}" mergeInterval="0" personalView="1" windowWidth="840" windowHeight="1010" tabRatio="794" activeSheetId="8"/>
  </customWorkbookViews>
</workbook>
</file>

<file path=xl/calcChain.xml><?xml version="1.0" encoding="utf-8"?>
<calcChain xmlns="http://schemas.openxmlformats.org/spreadsheetml/2006/main">
  <c r="C88" i="2" l="1"/>
  <c r="F245" i="8" l="1"/>
  <c r="F192" i="8"/>
  <c r="F191" i="8"/>
  <c r="F95" i="8" l="1"/>
  <c r="F38" i="4" l="1"/>
  <c r="F39" i="4"/>
  <c r="F40" i="4"/>
  <c r="F41" i="4"/>
  <c r="F42" i="4"/>
  <c r="F43" i="4"/>
  <c r="F44" i="4"/>
  <c r="F45" i="4"/>
  <c r="F46" i="4"/>
  <c r="F47" i="4"/>
  <c r="F48" i="4"/>
  <c r="F49" i="4"/>
  <c r="F50" i="4"/>
  <c r="G181" i="8" l="1"/>
  <c r="F200" i="4"/>
  <c r="G200" i="4"/>
  <c r="F201" i="4"/>
  <c r="G201" i="4"/>
  <c r="F202" i="4"/>
  <c r="G202" i="4"/>
  <c r="F176" i="4"/>
  <c r="G176" i="4"/>
  <c r="F177" i="4"/>
  <c r="G177" i="4"/>
  <c r="F178" i="4"/>
  <c r="G178" i="4"/>
  <c r="F128" i="4"/>
  <c r="G128" i="4"/>
  <c r="F129" i="4"/>
  <c r="G129" i="4"/>
  <c r="F130" i="4"/>
  <c r="G130" i="4"/>
  <c r="F99" i="4"/>
  <c r="G99" i="4"/>
  <c r="F100" i="4"/>
  <c r="G100" i="4"/>
  <c r="F101" i="4"/>
  <c r="G101" i="4"/>
  <c r="F37" i="3" l="1"/>
  <c r="F22" i="6"/>
  <c r="H50" i="4"/>
  <c r="H39" i="4"/>
  <c r="F24" i="4"/>
  <c r="F195" i="4" l="1"/>
  <c r="F192" i="4"/>
  <c r="F189" i="4"/>
  <c r="F123" i="4"/>
  <c r="F117" i="4"/>
  <c r="F185" i="8" l="1"/>
  <c r="F181" i="8"/>
  <c r="F122" i="8"/>
  <c r="F108" i="8"/>
  <c r="F17" i="8"/>
  <c r="F10" i="8" l="1"/>
  <c r="F31" i="6" l="1"/>
  <c r="F30" i="6"/>
  <c r="F46" i="3"/>
  <c r="F22" i="3"/>
  <c r="F13" i="3"/>
  <c r="C71" i="2"/>
  <c r="C72" i="2"/>
  <c r="C59" i="2"/>
  <c r="C50" i="2"/>
  <c r="C43" i="2"/>
  <c r="F283" i="8"/>
  <c r="F282" i="8"/>
  <c r="F281" i="8"/>
  <c r="F280" i="8"/>
  <c r="F279" i="8"/>
  <c r="F278" i="8"/>
  <c r="F277" i="8"/>
  <c r="F276" i="8"/>
  <c r="F273" i="8"/>
  <c r="F272" i="8"/>
  <c r="F271" i="8"/>
  <c r="F270" i="8"/>
  <c r="F269" i="8"/>
  <c r="F268" i="8"/>
  <c r="F267" i="8"/>
  <c r="F266" i="8"/>
  <c r="F265" i="8"/>
  <c r="F264" i="8"/>
  <c r="F256" i="8"/>
  <c r="F246" i="8"/>
  <c r="F225" i="8"/>
  <c r="F224" i="8"/>
  <c r="F223" i="8"/>
  <c r="F222" i="8"/>
  <c r="F221" i="8"/>
  <c r="F220" i="8"/>
  <c r="F219" i="8"/>
  <c r="F216" i="8"/>
  <c r="F215" i="8"/>
  <c r="F214" i="8"/>
  <c r="F213" i="8"/>
  <c r="F212" i="8"/>
  <c r="F211" i="8"/>
  <c r="F210" i="8"/>
  <c r="F199" i="8"/>
  <c r="F198" i="8"/>
  <c r="F137" i="8"/>
  <c r="F136" i="8"/>
  <c r="F132" i="8"/>
  <c r="C26" i="2" s="1"/>
  <c r="F119" i="8"/>
  <c r="F118" i="8"/>
  <c r="F117" i="8"/>
  <c r="F116" i="8"/>
  <c r="F115" i="8"/>
  <c r="F114" i="8"/>
  <c r="F113" i="8"/>
  <c r="F112" i="8"/>
  <c r="F105" i="8"/>
  <c r="F103" i="8"/>
  <c r="F102" i="8"/>
  <c r="F150" i="8" s="1"/>
  <c r="F99" i="8"/>
  <c r="F98" i="8"/>
  <c r="F97" i="8"/>
  <c r="F96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5" i="8"/>
  <c r="F151" i="8" s="1"/>
  <c r="F173" i="8" s="1"/>
  <c r="F72" i="8"/>
  <c r="F71" i="8"/>
  <c r="F41" i="8"/>
  <c r="F77" i="8"/>
  <c r="F147" i="8" s="1"/>
  <c r="F13" i="8"/>
  <c r="F131" i="8" s="1"/>
  <c r="C25" i="2" s="1"/>
  <c r="F20" i="6"/>
  <c r="F21" i="6"/>
  <c r="F37" i="6" s="1"/>
  <c r="F36" i="6"/>
  <c r="C11" i="2"/>
  <c r="F31" i="4"/>
  <c r="F69" i="4"/>
  <c r="F78" i="4"/>
  <c r="F87" i="4"/>
  <c r="F96" i="4"/>
  <c r="F98" i="4"/>
  <c r="F112" i="4"/>
  <c r="F118" i="4"/>
  <c r="F125" i="4"/>
  <c r="F136" i="4"/>
  <c r="F138" i="4"/>
  <c r="F142" i="4"/>
  <c r="F144" i="4" s="1"/>
  <c r="F149" i="4"/>
  <c r="F151" i="4"/>
  <c r="F152" i="4"/>
  <c r="F154" i="4" s="1"/>
  <c r="F160" i="4"/>
  <c r="F166" i="4"/>
  <c r="F168" i="4" s="1"/>
  <c r="F173" i="4"/>
  <c r="F184" i="4"/>
  <c r="F190" i="4"/>
  <c r="F197" i="4"/>
  <c r="F205" i="4"/>
  <c r="F204" i="4"/>
  <c r="F213" i="4" s="1"/>
  <c r="F216" i="4"/>
  <c r="C61" i="2" s="1"/>
  <c r="F56" i="3"/>
  <c r="F47" i="3"/>
  <c r="F29" i="3"/>
  <c r="C10" i="2" s="1"/>
  <c r="F19" i="3"/>
  <c r="F257" i="8" l="1"/>
  <c r="F199" i="4"/>
  <c r="F186" i="4"/>
  <c r="F175" i="4"/>
  <c r="F162" i="4"/>
  <c r="F114" i="4"/>
  <c r="F89" i="4"/>
  <c r="F80" i="4"/>
  <c r="F71" i="4"/>
  <c r="F284" i="8"/>
  <c r="F274" i="8"/>
  <c r="F226" i="8"/>
  <c r="F101" i="8"/>
  <c r="F146" i="8"/>
  <c r="C35" i="2" s="1"/>
  <c r="F200" i="8"/>
  <c r="F60" i="6"/>
  <c r="F164" i="8"/>
  <c r="F206" i="4"/>
  <c r="F219" i="4"/>
  <c r="F40" i="6"/>
  <c r="F66" i="3"/>
  <c r="F74" i="3"/>
  <c r="F133" i="8"/>
  <c r="F180" i="8"/>
  <c r="F135" i="8"/>
  <c r="F16" i="8"/>
  <c r="F33" i="6"/>
  <c r="F39" i="6"/>
  <c r="F34" i="6"/>
  <c r="F120" i="4"/>
  <c r="F218" i="4"/>
  <c r="F127" i="4"/>
  <c r="F220" i="4"/>
  <c r="F214" i="4"/>
  <c r="F77" i="3"/>
  <c r="C15" i="2" s="1"/>
  <c r="F76" i="3"/>
  <c r="F80" i="3"/>
  <c r="F79" i="3"/>
  <c r="F75" i="3"/>
  <c r="F78" i="3"/>
  <c r="F73" i="3"/>
  <c r="F58" i="3"/>
  <c r="F59" i="3" s="1"/>
  <c r="F285" i="8" l="1"/>
  <c r="C14" i="2"/>
  <c r="F55" i="6"/>
  <c r="F54" i="6"/>
  <c r="F48" i="6"/>
  <c r="F56" i="6"/>
  <c r="F50" i="6"/>
  <c r="F47" i="6"/>
  <c r="F57" i="6"/>
  <c r="F51" i="6"/>
  <c r="F49" i="6"/>
  <c r="F58" i="6"/>
  <c r="F52" i="6"/>
  <c r="F59" i="6"/>
  <c r="F53" i="6"/>
  <c r="C12" i="2"/>
  <c r="F161" i="8"/>
  <c r="C44" i="2" s="1"/>
  <c r="C24" i="2"/>
  <c r="F222" i="4"/>
  <c r="C62" i="2"/>
  <c r="F81" i="3"/>
  <c r="F40" i="8"/>
  <c r="F44" i="8" s="1"/>
  <c r="F189" i="8"/>
  <c r="F201" i="8" s="1"/>
  <c r="F92" i="3"/>
  <c r="F88" i="3"/>
  <c r="F91" i="3"/>
  <c r="F94" i="3"/>
  <c r="F90" i="3"/>
  <c r="F93" i="3"/>
  <c r="F89" i="3"/>
  <c r="C16" i="2" l="1"/>
  <c r="F49" i="8"/>
  <c r="F95" i="3"/>
  <c r="F139" i="8" l="1"/>
  <c r="C27" i="2" s="1"/>
  <c r="F63" i="8" l="1"/>
  <c r="F162" i="8"/>
  <c r="G10" i="8" l="1"/>
  <c r="G39" i="4"/>
  <c r="G42" i="4"/>
  <c r="G43" i="4"/>
  <c r="G41" i="4"/>
  <c r="G44" i="4"/>
  <c r="G40" i="4"/>
  <c r="G38" i="4"/>
  <c r="G46" i="4"/>
  <c r="G47" i="4"/>
  <c r="G45" i="4"/>
  <c r="F70" i="8" l="1"/>
  <c r="G46" i="3" l="1"/>
  <c r="G37" i="3" l="1"/>
  <c r="D43" i="2"/>
  <c r="D50" i="2"/>
  <c r="G47" i="3" l="1"/>
  <c r="G20" i="6"/>
  <c r="K181" i="8" l="1"/>
  <c r="K180" i="8" l="1"/>
  <c r="G14" i="8"/>
  <c r="D88" i="2"/>
  <c r="D72" i="2"/>
  <c r="D71" i="2"/>
  <c r="D59" i="2"/>
  <c r="F209" i="8" l="1"/>
  <c r="F74" i="8"/>
  <c r="G180" i="8"/>
  <c r="K189" i="8"/>
  <c r="G60" i="6"/>
  <c r="G195" i="4"/>
  <c r="G189" i="4"/>
  <c r="G123" i="4"/>
  <c r="G117" i="4"/>
  <c r="G50" i="4"/>
  <c r="G49" i="4"/>
  <c r="G48" i="4"/>
  <c r="H38" i="4"/>
  <c r="G22" i="3"/>
  <c r="G19" i="3"/>
  <c r="G13" i="3"/>
  <c r="G283" i="8"/>
  <c r="G281" i="8"/>
  <c r="G280" i="8"/>
  <c r="G279" i="8"/>
  <c r="G278" i="8"/>
  <c r="G277" i="8"/>
  <c r="G276" i="8"/>
  <c r="G273" i="8"/>
  <c r="G272" i="8"/>
  <c r="G271" i="8"/>
  <c r="G270" i="8"/>
  <c r="G269" i="8"/>
  <c r="G268" i="8"/>
  <c r="G267" i="8"/>
  <c r="G266" i="8"/>
  <c r="G265" i="8"/>
  <c r="G264" i="8"/>
  <c r="G256" i="8"/>
  <c r="G246" i="8"/>
  <c r="G225" i="8"/>
  <c r="G224" i="8"/>
  <c r="G223" i="8"/>
  <c r="G222" i="8"/>
  <c r="G221" i="8"/>
  <c r="G220" i="8"/>
  <c r="G219" i="8"/>
  <c r="G216" i="8"/>
  <c r="G215" i="8"/>
  <c r="G214" i="8"/>
  <c r="G213" i="8"/>
  <c r="G212" i="8"/>
  <c r="G211" i="8"/>
  <c r="G210" i="8"/>
  <c r="G209" i="8"/>
  <c r="G199" i="8"/>
  <c r="G198" i="8"/>
  <c r="G189" i="8"/>
  <c r="G137" i="8"/>
  <c r="G136" i="8"/>
  <c r="G132" i="8"/>
  <c r="G119" i="8"/>
  <c r="G118" i="8"/>
  <c r="G117" i="8"/>
  <c r="G116" i="8"/>
  <c r="G115" i="8"/>
  <c r="G114" i="8"/>
  <c r="G113" i="8"/>
  <c r="G112" i="8"/>
  <c r="G105" i="8"/>
  <c r="G103" i="8"/>
  <c r="G102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5" i="8"/>
  <c r="G74" i="8"/>
  <c r="G72" i="8"/>
  <c r="G71" i="8"/>
  <c r="G70" i="8"/>
  <c r="G41" i="8"/>
  <c r="G77" i="8"/>
  <c r="G13" i="8"/>
  <c r="G36" i="6"/>
  <c r="G30" i="6"/>
  <c r="G21" i="6"/>
  <c r="F73" i="8" l="1"/>
  <c r="D26" i="2"/>
  <c r="G146" i="8"/>
  <c r="G227" i="8"/>
  <c r="F227" i="8"/>
  <c r="G164" i="8"/>
  <c r="F208" i="8"/>
  <c r="G59" i="6"/>
  <c r="G47" i="6"/>
  <c r="G214" i="4"/>
  <c r="G37" i="6"/>
  <c r="G257" i="8"/>
  <c r="G52" i="6"/>
  <c r="G56" i="6"/>
  <c r="G48" i="6"/>
  <c r="G57" i="6"/>
  <c r="G49" i="6"/>
  <c r="G51" i="6"/>
  <c r="G58" i="6"/>
  <c r="G53" i="6"/>
  <c r="G50" i="6"/>
  <c r="G55" i="6"/>
  <c r="G54" i="6"/>
  <c r="G284" i="8"/>
  <c r="G274" i="8"/>
  <c r="G226" i="8"/>
  <c r="G208" i="8"/>
  <c r="G147" i="8"/>
  <c r="G150" i="8"/>
  <c r="G151" i="8"/>
  <c r="G201" i="8"/>
  <c r="G200" i="8"/>
  <c r="G31" i="6"/>
  <c r="G22" i="6"/>
  <c r="G131" i="8"/>
  <c r="G73" i="8"/>
  <c r="G16" i="8"/>
  <c r="G135" i="8"/>
  <c r="G133" i="8"/>
  <c r="G101" i="8"/>
  <c r="G216" i="4"/>
  <c r="G204" i="4"/>
  <c r="G197" i="4"/>
  <c r="G190" i="4"/>
  <c r="G184" i="4"/>
  <c r="G173" i="4"/>
  <c r="G166" i="4"/>
  <c r="G160" i="4"/>
  <c r="G149" i="4"/>
  <c r="G142" i="4"/>
  <c r="G136" i="4"/>
  <c r="G125" i="4"/>
  <c r="G118" i="4"/>
  <c r="G112" i="4"/>
  <c r="G96" i="4"/>
  <c r="G87" i="4"/>
  <c r="G78" i="4"/>
  <c r="G69" i="4"/>
  <c r="G31" i="4"/>
  <c r="G24" i="4"/>
  <c r="G56" i="3"/>
  <c r="G29" i="3"/>
  <c r="G217" i="8" l="1"/>
  <c r="G173" i="8"/>
  <c r="F76" i="8"/>
  <c r="D35" i="2"/>
  <c r="F217" i="8"/>
  <c r="F145" i="8"/>
  <c r="F149" i="8"/>
  <c r="C33" i="2" s="1"/>
  <c r="G71" i="4"/>
  <c r="D11" i="2"/>
  <c r="G218" i="4"/>
  <c r="G120" i="4"/>
  <c r="G144" i="4"/>
  <c r="G175" i="4"/>
  <c r="G199" i="4"/>
  <c r="G98" i="4"/>
  <c r="G151" i="4"/>
  <c r="G186" i="4"/>
  <c r="G213" i="4"/>
  <c r="G80" i="4"/>
  <c r="G114" i="4"/>
  <c r="G152" i="4"/>
  <c r="G168" i="4"/>
  <c r="D61" i="2"/>
  <c r="G79" i="3"/>
  <c r="D10" i="2"/>
  <c r="G58" i="3"/>
  <c r="D24" i="2"/>
  <c r="G161" i="8"/>
  <c r="D25" i="2"/>
  <c r="G40" i="6"/>
  <c r="D12" i="2"/>
  <c r="G285" i="8"/>
  <c r="D44" i="2"/>
  <c r="G205" i="4"/>
  <c r="G219" i="4"/>
  <c r="G33" i="6"/>
  <c r="G34" i="6"/>
  <c r="G39" i="6"/>
  <c r="G145" i="8"/>
  <c r="G149" i="8"/>
  <c r="G76" i="8"/>
  <c r="G40" i="8"/>
  <c r="G127" i="4"/>
  <c r="G220" i="4"/>
  <c r="G138" i="4"/>
  <c r="G162" i="4"/>
  <c r="G192" i="4"/>
  <c r="G222" i="4"/>
  <c r="G89" i="4"/>
  <c r="G73" i="3"/>
  <c r="G80" i="3"/>
  <c r="G76" i="3"/>
  <c r="G78" i="3"/>
  <c r="G75" i="3"/>
  <c r="G77" i="3"/>
  <c r="G74" i="3"/>
  <c r="G66" i="3"/>
  <c r="G228" i="8" l="1"/>
  <c r="C34" i="2"/>
  <c r="F170" i="8"/>
  <c r="F228" i="8"/>
  <c r="F100" i="8"/>
  <c r="G154" i="4"/>
  <c r="G206" i="4"/>
  <c r="D62" i="2"/>
  <c r="D15" i="2"/>
  <c r="G59" i="3"/>
  <c r="G100" i="8"/>
  <c r="G170" i="8"/>
  <c r="D34" i="2"/>
  <c r="G44" i="8"/>
  <c r="G91" i="3"/>
  <c r="D14" i="2"/>
  <c r="D51" i="2"/>
  <c r="D33" i="2"/>
  <c r="G89" i="3"/>
  <c r="G93" i="3"/>
  <c r="G90" i="3"/>
  <c r="G81" i="3"/>
  <c r="H181" i="8"/>
  <c r="H10" i="8"/>
  <c r="H46" i="3"/>
  <c r="H22" i="3"/>
  <c r="C51" i="2" l="1"/>
  <c r="F104" i="8"/>
  <c r="G92" i="3"/>
  <c r="G88" i="3"/>
  <c r="G94" i="3"/>
  <c r="G47" i="8"/>
  <c r="G104" i="8"/>
  <c r="D16" i="2"/>
  <c r="G95" i="3"/>
  <c r="H137" i="8"/>
  <c r="H133" i="8"/>
  <c r="F107" i="8" l="1"/>
  <c r="G107" i="8"/>
  <c r="G49" i="8"/>
  <c r="H195" i="4"/>
  <c r="H189" i="4"/>
  <c r="H123" i="4"/>
  <c r="H117" i="4"/>
  <c r="H49" i="4"/>
  <c r="H48" i="4"/>
  <c r="H46" i="4"/>
  <c r="H47" i="4"/>
  <c r="H45" i="4"/>
  <c r="H43" i="4"/>
  <c r="H44" i="4"/>
  <c r="H42" i="4"/>
  <c r="H41" i="4"/>
  <c r="H40" i="4"/>
  <c r="H13" i="3"/>
  <c r="E71" i="2"/>
  <c r="E72" i="2"/>
  <c r="E59" i="2"/>
  <c r="E50" i="2"/>
  <c r="H283" i="8"/>
  <c r="H282" i="8"/>
  <c r="H281" i="8"/>
  <c r="H280" i="8"/>
  <c r="H279" i="8"/>
  <c r="H278" i="8"/>
  <c r="H277" i="8"/>
  <c r="H276" i="8"/>
  <c r="H273" i="8"/>
  <c r="H272" i="8"/>
  <c r="H271" i="8"/>
  <c r="H270" i="8"/>
  <c r="H269" i="8"/>
  <c r="H268" i="8"/>
  <c r="H267" i="8"/>
  <c r="H266" i="8"/>
  <c r="H265" i="8"/>
  <c r="H264" i="8"/>
  <c r="H256" i="8"/>
  <c r="H246" i="8"/>
  <c r="H225" i="8"/>
  <c r="H224" i="8"/>
  <c r="H223" i="8"/>
  <c r="H222" i="8"/>
  <c r="H221" i="8"/>
  <c r="H220" i="8"/>
  <c r="H219" i="8"/>
  <c r="H216" i="8"/>
  <c r="H215" i="8"/>
  <c r="H214" i="8"/>
  <c r="H213" i="8"/>
  <c r="H212" i="8"/>
  <c r="H211" i="8"/>
  <c r="H210" i="8"/>
  <c r="H209" i="8"/>
  <c r="H199" i="8"/>
  <c r="H198" i="8"/>
  <c r="H180" i="8"/>
  <c r="H164" i="8"/>
  <c r="H136" i="8"/>
  <c r="H132" i="8"/>
  <c r="H119" i="8"/>
  <c r="H118" i="8"/>
  <c r="H117" i="8"/>
  <c r="H116" i="8"/>
  <c r="H115" i="8"/>
  <c r="H114" i="8"/>
  <c r="H113" i="8"/>
  <c r="H112" i="8"/>
  <c r="H105" i="8"/>
  <c r="H103" i="8"/>
  <c r="H102" i="8"/>
  <c r="H99" i="8"/>
  <c r="H98" i="8"/>
  <c r="H97" i="8"/>
  <c r="H94" i="8"/>
  <c r="H93" i="8"/>
  <c r="H92" i="8"/>
  <c r="H84" i="8"/>
  <c r="H83" i="8"/>
  <c r="H81" i="8"/>
  <c r="H80" i="8"/>
  <c r="H79" i="8"/>
  <c r="H75" i="8"/>
  <c r="H74" i="8"/>
  <c r="H72" i="8"/>
  <c r="H71" i="8"/>
  <c r="H41" i="8"/>
  <c r="H82" i="8"/>
  <c r="H13" i="8"/>
  <c r="H36" i="6"/>
  <c r="H30" i="6"/>
  <c r="H21" i="6"/>
  <c r="H20" i="6"/>
  <c r="H216" i="4"/>
  <c r="H204" i="4"/>
  <c r="H201" i="4"/>
  <c r="H197" i="4"/>
  <c r="H190" i="4"/>
  <c r="H184" i="4"/>
  <c r="H177" i="4"/>
  <c r="H173" i="4"/>
  <c r="H166" i="4"/>
  <c r="H160" i="4"/>
  <c r="H149" i="4"/>
  <c r="H142" i="4"/>
  <c r="H136" i="4"/>
  <c r="H129" i="4"/>
  <c r="H125" i="4"/>
  <c r="H118" i="4"/>
  <c r="H112" i="4"/>
  <c r="H100" i="4"/>
  <c r="H99" i="4"/>
  <c r="H96" i="4"/>
  <c r="H87" i="4"/>
  <c r="H78" i="4"/>
  <c r="H69" i="4"/>
  <c r="H31" i="4"/>
  <c r="H24" i="4"/>
  <c r="H56" i="3"/>
  <c r="H37" i="3"/>
  <c r="H19" i="3"/>
  <c r="E88" i="2"/>
  <c r="F109" i="8" l="1"/>
  <c r="E26" i="2"/>
  <c r="H200" i="8"/>
  <c r="H60" i="6"/>
  <c r="E11" i="2"/>
  <c r="H114" i="4"/>
  <c r="H138" i="4"/>
  <c r="H168" i="4"/>
  <c r="H192" i="4"/>
  <c r="E61" i="2"/>
  <c r="H98" i="4"/>
  <c r="H120" i="4"/>
  <c r="H144" i="4"/>
  <c r="H175" i="4"/>
  <c r="H199" i="4"/>
  <c r="H71" i="4"/>
  <c r="H214" i="4"/>
  <c r="H151" i="4"/>
  <c r="H80" i="4"/>
  <c r="H162" i="4"/>
  <c r="H213" i="4"/>
  <c r="H31" i="6"/>
  <c r="G109" i="8"/>
  <c r="G139" i="8"/>
  <c r="G61" i="8"/>
  <c r="H151" i="8"/>
  <c r="H150" i="8"/>
  <c r="H146" i="8"/>
  <c r="H59" i="6"/>
  <c r="H48" i="6"/>
  <c r="H37" i="6"/>
  <c r="H189" i="8"/>
  <c r="H135" i="8"/>
  <c r="H257" i="8"/>
  <c r="H284" i="8"/>
  <c r="H274" i="8"/>
  <c r="H201" i="8"/>
  <c r="H226" i="8"/>
  <c r="H50" i="6"/>
  <c r="H53" i="6"/>
  <c r="H200" i="4"/>
  <c r="H186" i="4"/>
  <c r="H176" i="4"/>
  <c r="H205" i="4"/>
  <c r="H219" i="4"/>
  <c r="H47" i="3"/>
  <c r="H66" i="3"/>
  <c r="H29" i="3"/>
  <c r="H161" i="8"/>
  <c r="H131" i="8"/>
  <c r="H16" i="8"/>
  <c r="H101" i="8"/>
  <c r="H22" i="6"/>
  <c r="H220" i="4"/>
  <c r="H127" i="4"/>
  <c r="H128" i="4"/>
  <c r="H218" i="4"/>
  <c r="H89" i="4"/>
  <c r="H101" i="4"/>
  <c r="H152" i="4"/>
  <c r="H58" i="3"/>
  <c r="F163" i="8" l="1"/>
  <c r="C45" i="2" s="1"/>
  <c r="F121" i="8"/>
  <c r="E35" i="2"/>
  <c r="F123" i="8"/>
  <c r="F153" i="8"/>
  <c r="C36" i="2" s="1"/>
  <c r="H173" i="8"/>
  <c r="H202" i="4"/>
  <c r="H154" i="4"/>
  <c r="E62" i="2"/>
  <c r="H130" i="4"/>
  <c r="H206" i="4"/>
  <c r="H178" i="4"/>
  <c r="E14" i="2"/>
  <c r="G63" i="8"/>
  <c r="G121" i="8"/>
  <c r="D27" i="2"/>
  <c r="G162" i="8"/>
  <c r="G163" i="8"/>
  <c r="G123" i="8"/>
  <c r="G153" i="8"/>
  <c r="E44" i="2"/>
  <c r="E25" i="2"/>
  <c r="E24" i="2"/>
  <c r="H58" i="6"/>
  <c r="H56" i="6"/>
  <c r="H49" i="6"/>
  <c r="H54" i="6"/>
  <c r="H57" i="6"/>
  <c r="H52" i="6"/>
  <c r="H55" i="6"/>
  <c r="H51" i="6"/>
  <c r="H80" i="3"/>
  <c r="H285" i="8"/>
  <c r="H222" i="4"/>
  <c r="H59" i="3"/>
  <c r="H33" i="6"/>
  <c r="E12" i="2"/>
  <c r="H40" i="6"/>
  <c r="H79" i="3"/>
  <c r="H74" i="3"/>
  <c r="H76" i="3"/>
  <c r="H75" i="3"/>
  <c r="H77" i="3"/>
  <c r="H78" i="3"/>
  <c r="H73" i="3"/>
  <c r="E10" i="2"/>
  <c r="H40" i="8"/>
  <c r="H39" i="6"/>
  <c r="H34" i="6"/>
  <c r="F172" i="8" l="1"/>
  <c r="C52" i="2" s="1"/>
  <c r="F171" i="8"/>
  <c r="D45" i="2"/>
  <c r="D36" i="2"/>
  <c r="G171" i="8"/>
  <c r="G172" i="8"/>
  <c r="H44" i="8"/>
  <c r="H92" i="3"/>
  <c r="E15" i="2"/>
  <c r="H94" i="3"/>
  <c r="H91" i="3"/>
  <c r="H89" i="3"/>
  <c r="H88" i="3"/>
  <c r="H90" i="3"/>
  <c r="H93" i="3"/>
  <c r="H81" i="3"/>
  <c r="D52" i="2" l="1"/>
  <c r="H47" i="8"/>
  <c r="E16" i="2"/>
  <c r="H95" i="3"/>
  <c r="H49" i="8" l="1"/>
  <c r="H139" i="8" l="1"/>
  <c r="H61" i="8"/>
  <c r="F71" i="2"/>
  <c r="F72" i="2"/>
  <c r="F59" i="2"/>
  <c r="F50" i="2"/>
  <c r="F43" i="2"/>
  <c r="H63" i="8" l="1"/>
  <c r="E27" i="2"/>
  <c r="I137" i="8"/>
  <c r="I17" i="8" l="1"/>
  <c r="I10" i="8"/>
  <c r="H70" i="8" l="1"/>
  <c r="H77" i="8"/>
  <c r="I133" i="8"/>
  <c r="I195" i="4"/>
  <c r="I189" i="4"/>
  <c r="I123" i="4"/>
  <c r="I117" i="4"/>
  <c r="I50" i="4"/>
  <c r="I49" i="4"/>
  <c r="I48" i="4"/>
  <c r="I46" i="4"/>
  <c r="I45" i="4"/>
  <c r="I40" i="4"/>
  <c r="I47" i="4"/>
  <c r="I43" i="4"/>
  <c r="I41" i="4"/>
  <c r="I42" i="4"/>
  <c r="I44" i="4"/>
  <c r="I39" i="4"/>
  <c r="I38" i="4"/>
  <c r="I46" i="3"/>
  <c r="I22" i="3"/>
  <c r="I13" i="3"/>
  <c r="H147" i="8" l="1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283" i="8"/>
  <c r="I282" i="8"/>
  <c r="I281" i="8"/>
  <c r="I280" i="8"/>
  <c r="I279" i="8"/>
  <c r="I278" i="8"/>
  <c r="I277" i="8"/>
  <c r="I276" i="8"/>
  <c r="I273" i="8"/>
  <c r="I272" i="8"/>
  <c r="I271" i="8"/>
  <c r="I270" i="8"/>
  <c r="I269" i="8"/>
  <c r="I268" i="8"/>
  <c r="I267" i="8"/>
  <c r="I266" i="8"/>
  <c r="I265" i="8"/>
  <c r="I264" i="8"/>
  <c r="I256" i="8"/>
  <c r="I246" i="8"/>
  <c r="I225" i="8"/>
  <c r="I224" i="8"/>
  <c r="I223" i="8"/>
  <c r="I222" i="8"/>
  <c r="I221" i="8"/>
  <c r="I220" i="8"/>
  <c r="I219" i="8"/>
  <c r="I216" i="8"/>
  <c r="I215" i="8"/>
  <c r="I214" i="8"/>
  <c r="I213" i="8"/>
  <c r="I212" i="8"/>
  <c r="I211" i="8"/>
  <c r="I210" i="8"/>
  <c r="I199" i="8"/>
  <c r="I198" i="8"/>
  <c r="I180" i="8"/>
  <c r="I164" i="8"/>
  <c r="I136" i="8"/>
  <c r="I132" i="8"/>
  <c r="I119" i="8"/>
  <c r="I118" i="8"/>
  <c r="I117" i="8"/>
  <c r="I116" i="8"/>
  <c r="I115" i="8"/>
  <c r="I114" i="8"/>
  <c r="I113" i="8"/>
  <c r="I112" i="8"/>
  <c r="I105" i="8"/>
  <c r="I103" i="8"/>
  <c r="I102" i="8"/>
  <c r="I83" i="8"/>
  <c r="I82" i="8"/>
  <c r="I81" i="8"/>
  <c r="I80" i="8"/>
  <c r="I79" i="8"/>
  <c r="I75" i="8"/>
  <c r="I74" i="8"/>
  <c r="I72" i="8"/>
  <c r="I71" i="8"/>
  <c r="I41" i="8"/>
  <c r="I13" i="8"/>
  <c r="I36" i="6"/>
  <c r="I30" i="6"/>
  <c r="I21" i="6"/>
  <c r="I20" i="6"/>
  <c r="I216" i="4"/>
  <c r="I204" i="4"/>
  <c r="I201" i="4"/>
  <c r="I197" i="4"/>
  <c r="I190" i="4"/>
  <c r="I184" i="4"/>
  <c r="I177" i="4"/>
  <c r="I173" i="4"/>
  <c r="I166" i="4"/>
  <c r="I160" i="4"/>
  <c r="I149" i="4"/>
  <c r="I142" i="4"/>
  <c r="I136" i="4"/>
  <c r="I129" i="4"/>
  <c r="I125" i="4"/>
  <c r="I118" i="4"/>
  <c r="I112" i="4"/>
  <c r="I100" i="4"/>
  <c r="I99" i="4"/>
  <c r="I96" i="4"/>
  <c r="I87" i="4"/>
  <c r="I78" i="4"/>
  <c r="I69" i="4"/>
  <c r="I31" i="4"/>
  <c r="I24" i="4"/>
  <c r="I56" i="3"/>
  <c r="I37" i="3"/>
  <c r="I19" i="3"/>
  <c r="F88" i="2"/>
  <c r="I101" i="8" l="1"/>
  <c r="I29" i="3"/>
  <c r="F26" i="2"/>
  <c r="I200" i="8"/>
  <c r="I146" i="8"/>
  <c r="I257" i="8"/>
  <c r="H73" i="8"/>
  <c r="I135" i="8"/>
  <c r="I150" i="8"/>
  <c r="H227" i="8"/>
  <c r="I189" i="8"/>
  <c r="H208" i="8"/>
  <c r="I151" i="8"/>
  <c r="I60" i="6"/>
  <c r="I151" i="4"/>
  <c r="I98" i="4"/>
  <c r="I144" i="4"/>
  <c r="I168" i="4"/>
  <c r="F61" i="2"/>
  <c r="I71" i="4"/>
  <c r="I175" i="4"/>
  <c r="I199" i="4"/>
  <c r="I80" i="4"/>
  <c r="I152" i="4"/>
  <c r="I205" i="4"/>
  <c r="F11" i="2"/>
  <c r="I114" i="4"/>
  <c r="I138" i="4"/>
  <c r="I176" i="4"/>
  <c r="I186" i="4"/>
  <c r="I213" i="4"/>
  <c r="I66" i="3"/>
  <c r="I47" i="3"/>
  <c r="I37" i="6"/>
  <c r="F10" i="2"/>
  <c r="I284" i="8"/>
  <c r="I274" i="8"/>
  <c r="I226" i="8"/>
  <c r="I161" i="8"/>
  <c r="I131" i="8"/>
  <c r="I218" i="4"/>
  <c r="I101" i="4"/>
  <c r="I214" i="4"/>
  <c r="I173" i="8"/>
  <c r="I16" i="8"/>
  <c r="I22" i="6"/>
  <c r="I31" i="6"/>
  <c r="I120" i="4"/>
  <c r="I128" i="4"/>
  <c r="I192" i="4"/>
  <c r="I200" i="4"/>
  <c r="I220" i="4"/>
  <c r="I127" i="4"/>
  <c r="I89" i="4"/>
  <c r="I219" i="4"/>
  <c r="I162" i="4"/>
  <c r="I73" i="3"/>
  <c r="I79" i="3"/>
  <c r="I78" i="3"/>
  <c r="I77" i="3"/>
  <c r="I75" i="3"/>
  <c r="I80" i="3"/>
  <c r="I76" i="3"/>
  <c r="I74" i="3"/>
  <c r="I58" i="3"/>
  <c r="I201" i="8" l="1"/>
  <c r="I206" i="4"/>
  <c r="I222" i="4"/>
  <c r="H217" i="8"/>
  <c r="F44" i="2"/>
  <c r="F24" i="2"/>
  <c r="F35" i="2"/>
  <c r="H76" i="8"/>
  <c r="F25" i="2"/>
  <c r="I285" i="8"/>
  <c r="H145" i="8"/>
  <c r="H149" i="8"/>
  <c r="I59" i="6"/>
  <c r="I56" i="6"/>
  <c r="I51" i="6"/>
  <c r="I47" i="6"/>
  <c r="I58" i="6"/>
  <c r="I54" i="6"/>
  <c r="I52" i="6"/>
  <c r="I55" i="6"/>
  <c r="I53" i="6"/>
  <c r="I50" i="6"/>
  <c r="I57" i="6"/>
  <c r="I48" i="6"/>
  <c r="I49" i="6"/>
  <c r="I202" i="4"/>
  <c r="I130" i="4"/>
  <c r="F62" i="2"/>
  <c r="I178" i="4"/>
  <c r="I154" i="4"/>
  <c r="I39" i="6"/>
  <c r="F12" i="2"/>
  <c r="F15" i="2"/>
  <c r="I59" i="3"/>
  <c r="F14" i="2"/>
  <c r="I40" i="8"/>
  <c r="I40" i="6"/>
  <c r="I33" i="6"/>
  <c r="I34" i="6"/>
  <c r="I81" i="3"/>
  <c r="I90" i="3" l="1"/>
  <c r="I92" i="3"/>
  <c r="I89" i="3"/>
  <c r="I93" i="3"/>
  <c r="I88" i="3"/>
  <c r="I94" i="3"/>
  <c r="E33" i="2"/>
  <c r="E34" i="2"/>
  <c r="I44" i="8"/>
  <c r="H170" i="8"/>
  <c r="H100" i="8"/>
  <c r="H228" i="8"/>
  <c r="I91" i="3"/>
  <c r="F16" i="2" l="1"/>
  <c r="I95" i="3"/>
  <c r="E51" i="2"/>
  <c r="H104" i="8"/>
  <c r="I47" i="8"/>
  <c r="H107" i="8" l="1"/>
  <c r="I49" i="8"/>
  <c r="H109" i="8" l="1"/>
  <c r="I139" i="8"/>
  <c r="I61" i="8"/>
  <c r="J10" i="8"/>
  <c r="H121" i="8" l="1"/>
  <c r="I63" i="8"/>
  <c r="F27" i="2"/>
  <c r="H123" i="8"/>
  <c r="H153" i="8"/>
  <c r="I70" i="8"/>
  <c r="J98" i="8"/>
  <c r="K94" i="8"/>
  <c r="K95" i="8"/>
  <c r="K96" i="8"/>
  <c r="K97" i="8"/>
  <c r="K98" i="8"/>
  <c r="K85" i="8"/>
  <c r="K86" i="8"/>
  <c r="K87" i="8"/>
  <c r="K88" i="8"/>
  <c r="K89" i="8"/>
  <c r="K90" i="8"/>
  <c r="K91" i="8"/>
  <c r="K92" i="8"/>
  <c r="J85" i="8"/>
  <c r="J86" i="8"/>
  <c r="J87" i="8"/>
  <c r="J88" i="8"/>
  <c r="J89" i="8"/>
  <c r="J90" i="8"/>
  <c r="J91" i="8"/>
  <c r="J92" i="8"/>
  <c r="J93" i="8"/>
  <c r="J94" i="8"/>
  <c r="J95" i="8"/>
  <c r="J96" i="8"/>
  <c r="E36" i="2" l="1"/>
  <c r="H171" i="8"/>
  <c r="H172" i="8"/>
  <c r="J181" i="8"/>
  <c r="E52" i="2" l="1"/>
  <c r="I209" i="8"/>
  <c r="J204" i="4"/>
  <c r="J195" i="4"/>
  <c r="J189" i="4"/>
  <c r="J177" i="4"/>
  <c r="J129" i="4"/>
  <c r="J123" i="4"/>
  <c r="J117" i="4"/>
  <c r="J99" i="4"/>
  <c r="J100" i="4"/>
  <c r="J87" i="4"/>
  <c r="J50" i="4"/>
  <c r="J48" i="4"/>
  <c r="J46" i="4"/>
  <c r="J49" i="4"/>
  <c r="J45" i="4"/>
  <c r="J42" i="4"/>
  <c r="J40" i="4"/>
  <c r="J47" i="4"/>
  <c r="J41" i="4"/>
  <c r="J43" i="4"/>
  <c r="J44" i="4"/>
  <c r="J38" i="4"/>
  <c r="J39" i="4"/>
  <c r="J46" i="3" l="1"/>
  <c r="J22" i="3" l="1"/>
  <c r="J17" i="8" l="1"/>
  <c r="J13" i="3"/>
  <c r="I77" i="8" l="1"/>
  <c r="G43" i="2"/>
  <c r="G50" i="2"/>
  <c r="G59" i="2"/>
  <c r="G71" i="2"/>
  <c r="G72" i="2"/>
  <c r="G88" i="2"/>
  <c r="J283" i="8"/>
  <c r="J282" i="8"/>
  <c r="J281" i="8"/>
  <c r="J280" i="8"/>
  <c r="J279" i="8"/>
  <c r="J278" i="8"/>
  <c r="J277" i="8"/>
  <c r="J276" i="8"/>
  <c r="J273" i="8"/>
  <c r="J272" i="8"/>
  <c r="J271" i="8"/>
  <c r="J270" i="8"/>
  <c r="J269" i="8"/>
  <c r="J268" i="8"/>
  <c r="J267" i="8"/>
  <c r="J266" i="8"/>
  <c r="J265" i="8"/>
  <c r="J264" i="8"/>
  <c r="J256" i="8"/>
  <c r="J246" i="8"/>
  <c r="J225" i="8"/>
  <c r="J224" i="8"/>
  <c r="J223" i="8"/>
  <c r="J222" i="8"/>
  <c r="J221" i="8"/>
  <c r="J220" i="8"/>
  <c r="J219" i="8"/>
  <c r="J216" i="8"/>
  <c r="J215" i="8"/>
  <c r="J214" i="8"/>
  <c r="J213" i="8"/>
  <c r="J212" i="8"/>
  <c r="J211" i="8"/>
  <c r="J210" i="8"/>
  <c r="J199" i="8"/>
  <c r="J198" i="8"/>
  <c r="J180" i="8"/>
  <c r="J136" i="8"/>
  <c r="J133" i="8"/>
  <c r="J132" i="8"/>
  <c r="J119" i="8"/>
  <c r="J118" i="8"/>
  <c r="J117" i="8"/>
  <c r="J116" i="8"/>
  <c r="J115" i="8"/>
  <c r="J114" i="8"/>
  <c r="J113" i="8"/>
  <c r="J112" i="8"/>
  <c r="J105" i="8"/>
  <c r="J103" i="8"/>
  <c r="J102" i="8"/>
  <c r="J99" i="8"/>
  <c r="J97" i="8"/>
  <c r="J84" i="8"/>
  <c r="J83" i="8"/>
  <c r="J82" i="8"/>
  <c r="J81" i="8"/>
  <c r="J80" i="8"/>
  <c r="J79" i="8"/>
  <c r="J75" i="8"/>
  <c r="J74" i="8"/>
  <c r="J72" i="8"/>
  <c r="J71" i="8"/>
  <c r="J41" i="8"/>
  <c r="J137" i="8"/>
  <c r="J13" i="8"/>
  <c r="I147" i="8" l="1"/>
  <c r="G26" i="2"/>
  <c r="I208" i="8"/>
  <c r="I227" i="8"/>
  <c r="I73" i="8"/>
  <c r="J189" i="8"/>
  <c r="J164" i="8"/>
  <c r="J284" i="8"/>
  <c r="J257" i="8"/>
  <c r="J274" i="8"/>
  <c r="J226" i="8"/>
  <c r="J200" i="8"/>
  <c r="J101" i="8"/>
  <c r="J150" i="8"/>
  <c r="J146" i="8"/>
  <c r="J151" i="8"/>
  <c r="J135" i="8"/>
  <c r="J16" i="8"/>
  <c r="J131" i="8"/>
  <c r="J201" i="8" l="1"/>
  <c r="I149" i="8"/>
  <c r="I217" i="8"/>
  <c r="G35" i="2"/>
  <c r="I145" i="8"/>
  <c r="I76" i="8"/>
  <c r="J173" i="8"/>
  <c r="G25" i="2"/>
  <c r="J285" i="8"/>
  <c r="J161" i="8"/>
  <c r="G24" i="2"/>
  <c r="J40" i="8"/>
  <c r="F34" i="2" l="1"/>
  <c r="F33" i="2"/>
  <c r="I100" i="8"/>
  <c r="I170" i="8"/>
  <c r="I228" i="8"/>
  <c r="J44" i="8"/>
  <c r="G44" i="2"/>
  <c r="F51" i="2" l="1"/>
  <c r="I104" i="8"/>
  <c r="J47" i="8"/>
  <c r="I107" i="8" l="1"/>
  <c r="J49" i="8"/>
  <c r="I109" i="8" l="1"/>
  <c r="J139" i="8"/>
  <c r="J61" i="8"/>
  <c r="J20" i="6"/>
  <c r="J21" i="6"/>
  <c r="J30" i="6"/>
  <c r="J31" i="6"/>
  <c r="J36" i="6"/>
  <c r="J37" i="6"/>
  <c r="J24" i="4"/>
  <c r="J31" i="4"/>
  <c r="J69" i="4"/>
  <c r="J78" i="4"/>
  <c r="J96" i="4"/>
  <c r="J112" i="4"/>
  <c r="J118" i="4"/>
  <c r="J136" i="4"/>
  <c r="J142" i="4"/>
  <c r="J149" i="4"/>
  <c r="J160" i="4"/>
  <c r="J166" i="4"/>
  <c r="J173" i="4"/>
  <c r="J184" i="4"/>
  <c r="J190" i="4"/>
  <c r="J197" i="4"/>
  <c r="J201" i="4"/>
  <c r="J216" i="4"/>
  <c r="J19" i="3"/>
  <c r="J37" i="3"/>
  <c r="J56" i="3"/>
  <c r="J200" i="4" l="1"/>
  <c r="J192" i="4"/>
  <c r="I121" i="8"/>
  <c r="I153" i="8"/>
  <c r="I123" i="8"/>
  <c r="J60" i="6"/>
  <c r="J98" i="4"/>
  <c r="J205" i="4"/>
  <c r="J151" i="4"/>
  <c r="J176" i="4"/>
  <c r="J138" i="4"/>
  <c r="J29" i="3"/>
  <c r="J57" i="6"/>
  <c r="J52" i="6"/>
  <c r="J54" i="6"/>
  <c r="J47" i="6"/>
  <c r="J186" i="4"/>
  <c r="J168" i="4"/>
  <c r="J175" i="4"/>
  <c r="J114" i="4"/>
  <c r="J152" i="4"/>
  <c r="J89" i="4"/>
  <c r="J80" i="4"/>
  <c r="J202" i="4"/>
  <c r="J199" i="4"/>
  <c r="J144" i="4"/>
  <c r="J71" i="4"/>
  <c r="J125" i="4"/>
  <c r="J120" i="4"/>
  <c r="J162" i="4"/>
  <c r="J214" i="4"/>
  <c r="G11" i="2"/>
  <c r="G61" i="2"/>
  <c r="J63" i="8"/>
  <c r="G27" i="2"/>
  <c r="J58" i="3"/>
  <c r="J47" i="3"/>
  <c r="J219" i="4"/>
  <c r="J101" i="4"/>
  <c r="J22" i="6"/>
  <c r="J66" i="3"/>
  <c r="J213" i="4"/>
  <c r="J48" i="6" l="1"/>
  <c r="J55" i="6"/>
  <c r="J59" i="6"/>
  <c r="J75" i="3"/>
  <c r="J80" i="3"/>
  <c r="J74" i="3"/>
  <c r="J78" i="3"/>
  <c r="J77" i="3"/>
  <c r="J73" i="3"/>
  <c r="J79" i="3"/>
  <c r="J76" i="3"/>
  <c r="G10" i="2"/>
  <c r="F36" i="2"/>
  <c r="J51" i="6"/>
  <c r="J50" i="6"/>
  <c r="J56" i="6"/>
  <c r="J49" i="6"/>
  <c r="J58" i="6"/>
  <c r="J53" i="6"/>
  <c r="J128" i="4"/>
  <c r="J218" i="4"/>
  <c r="I171" i="8"/>
  <c r="I172" i="8"/>
  <c r="J59" i="3"/>
  <c r="J91" i="3" s="1"/>
  <c r="J206" i="4"/>
  <c r="J178" i="4"/>
  <c r="J40" i="6"/>
  <c r="J220" i="4"/>
  <c r="J154" i="4"/>
  <c r="J127" i="4"/>
  <c r="G14" i="2"/>
  <c r="J39" i="6"/>
  <c r="G12" i="2"/>
  <c r="G62" i="2"/>
  <c r="J34" i="6"/>
  <c r="J33" i="6"/>
  <c r="J222" i="4" l="1"/>
  <c r="J130" i="4"/>
  <c r="J90" i="3"/>
  <c r="G15" i="2"/>
  <c r="J92" i="3"/>
  <c r="J81" i="3"/>
  <c r="J88" i="3"/>
  <c r="J89" i="3"/>
  <c r="J94" i="3"/>
  <c r="J93" i="3"/>
  <c r="F52" i="2"/>
  <c r="K195" i="4"/>
  <c r="K189" i="4"/>
  <c r="K123" i="4"/>
  <c r="K117" i="4"/>
  <c r="P48" i="4"/>
  <c r="P46" i="4"/>
  <c r="L48" i="4"/>
  <c r="L46" i="4"/>
  <c r="K48" i="4"/>
  <c r="K46" i="4"/>
  <c r="K49" i="4"/>
  <c r="K45" i="4"/>
  <c r="K42" i="4"/>
  <c r="K40" i="4"/>
  <c r="K47" i="4"/>
  <c r="K41" i="4"/>
  <c r="K43" i="4"/>
  <c r="K44" i="4"/>
  <c r="K39" i="4"/>
  <c r="K38" i="4"/>
  <c r="G16" i="2" l="1"/>
  <c r="J95" i="3"/>
  <c r="K50" i="4"/>
  <c r="J208" i="8" l="1"/>
  <c r="J209" i="8"/>
  <c r="K17" i="8"/>
  <c r="J77" i="8" l="1"/>
  <c r="J217" i="8"/>
  <c r="K10" i="8"/>
  <c r="K46" i="3"/>
  <c r="K22" i="3"/>
  <c r="K13" i="3"/>
  <c r="J70" i="8" l="1"/>
  <c r="J147" i="8"/>
  <c r="H71" i="2"/>
  <c r="H72" i="2"/>
  <c r="H59" i="2"/>
  <c r="H50" i="2"/>
  <c r="H43" i="2"/>
  <c r="K283" i="8"/>
  <c r="K282" i="8"/>
  <c r="K281" i="8"/>
  <c r="K280" i="8"/>
  <c r="K279" i="8"/>
  <c r="K278" i="8"/>
  <c r="K277" i="8"/>
  <c r="K276" i="8"/>
  <c r="K273" i="8"/>
  <c r="K272" i="8"/>
  <c r="K271" i="8"/>
  <c r="K270" i="8"/>
  <c r="K269" i="8"/>
  <c r="K268" i="8"/>
  <c r="K267" i="8"/>
  <c r="K266" i="8"/>
  <c r="K265" i="8"/>
  <c r="K264" i="8"/>
  <c r="K256" i="8"/>
  <c r="K246" i="8"/>
  <c r="K225" i="8"/>
  <c r="K224" i="8"/>
  <c r="K223" i="8"/>
  <c r="K222" i="8"/>
  <c r="K221" i="8"/>
  <c r="K220" i="8"/>
  <c r="K219" i="8"/>
  <c r="K216" i="8"/>
  <c r="K215" i="8"/>
  <c r="K214" i="8"/>
  <c r="K213" i="8"/>
  <c r="K212" i="8"/>
  <c r="K211" i="8"/>
  <c r="K210" i="8"/>
  <c r="K209" i="8"/>
  <c r="K208" i="8"/>
  <c r="K199" i="8"/>
  <c r="K198" i="8"/>
  <c r="K137" i="8"/>
  <c r="K136" i="8"/>
  <c r="K133" i="8"/>
  <c r="K132" i="8"/>
  <c r="K119" i="8"/>
  <c r="K118" i="8"/>
  <c r="K117" i="8"/>
  <c r="K116" i="8"/>
  <c r="K115" i="8"/>
  <c r="K114" i="8"/>
  <c r="K113" i="8"/>
  <c r="K112" i="8"/>
  <c r="K105" i="8"/>
  <c r="K103" i="8"/>
  <c r="K102" i="8"/>
  <c r="K99" i="8"/>
  <c r="K93" i="8"/>
  <c r="K84" i="8"/>
  <c r="K83" i="8"/>
  <c r="K82" i="8"/>
  <c r="K81" i="8"/>
  <c r="K80" i="8"/>
  <c r="K79" i="8"/>
  <c r="K77" i="8"/>
  <c r="K75" i="8"/>
  <c r="K74" i="8"/>
  <c r="K72" i="8"/>
  <c r="K71" i="8"/>
  <c r="K41" i="8"/>
  <c r="K70" i="8"/>
  <c r="K147" i="8" l="1"/>
  <c r="K146" i="8"/>
  <c r="K164" i="8"/>
  <c r="K150" i="8"/>
  <c r="K227" i="8"/>
  <c r="J227" i="8"/>
  <c r="K257" i="8"/>
  <c r="H26" i="2"/>
  <c r="K200" i="8"/>
  <c r="K284" i="8"/>
  <c r="K274" i="8"/>
  <c r="K201" i="8"/>
  <c r="K226" i="8"/>
  <c r="K217" i="8"/>
  <c r="K101" i="8"/>
  <c r="K151" i="8"/>
  <c r="K13" i="8"/>
  <c r="K173" i="8" l="1"/>
  <c r="H35" i="2"/>
  <c r="J73" i="8"/>
  <c r="J228" i="8"/>
  <c r="K285" i="8"/>
  <c r="K228" i="8"/>
  <c r="K16" i="8"/>
  <c r="K131" i="8"/>
  <c r="K73" i="8"/>
  <c r="K135" i="8"/>
  <c r="H25" i="2" l="1"/>
  <c r="J76" i="8"/>
  <c r="J145" i="8"/>
  <c r="J149" i="8"/>
  <c r="K161" i="8"/>
  <c r="H24" i="2"/>
  <c r="K149" i="8"/>
  <c r="K145" i="8"/>
  <c r="K40" i="8"/>
  <c r="K76" i="8"/>
  <c r="G33" i="2" l="1"/>
  <c r="G34" i="2"/>
  <c r="H44" i="2"/>
  <c r="J100" i="8"/>
  <c r="J170" i="8"/>
  <c r="K100" i="8"/>
  <c r="K44" i="8"/>
  <c r="H34" i="2"/>
  <c r="K170" i="8"/>
  <c r="H33" i="2"/>
  <c r="G51" i="2" l="1"/>
  <c r="J104" i="8"/>
  <c r="K47" i="8"/>
  <c r="H51" i="2"/>
  <c r="K104" i="8"/>
  <c r="J107" i="8" l="1"/>
  <c r="K107" i="8"/>
  <c r="K49" i="8"/>
  <c r="J109" i="8" l="1"/>
  <c r="K139" i="8"/>
  <c r="K109" i="8"/>
  <c r="K61" i="8"/>
  <c r="K20" i="6"/>
  <c r="K21" i="6"/>
  <c r="K30" i="6"/>
  <c r="K36" i="6"/>
  <c r="K24" i="4"/>
  <c r="K31" i="4"/>
  <c r="K69" i="4"/>
  <c r="K78" i="4"/>
  <c r="K87" i="4"/>
  <c r="K96" i="4"/>
  <c r="K99" i="4"/>
  <c r="K100" i="4"/>
  <c r="K112" i="4"/>
  <c r="K114" i="4"/>
  <c r="K118" i="4"/>
  <c r="K125" i="4"/>
  <c r="K129" i="4"/>
  <c r="K136" i="4"/>
  <c r="K142" i="4"/>
  <c r="K149" i="4"/>
  <c r="K160" i="4"/>
  <c r="K162" i="4"/>
  <c r="K166" i="4"/>
  <c r="K173" i="4"/>
  <c r="K177" i="4"/>
  <c r="K184" i="4"/>
  <c r="K190" i="4"/>
  <c r="K197" i="4"/>
  <c r="K201" i="4"/>
  <c r="K204" i="4"/>
  <c r="K216" i="4"/>
  <c r="K19" i="3"/>
  <c r="K37" i="3"/>
  <c r="K56" i="3"/>
  <c r="I43" i="2"/>
  <c r="I50" i="2"/>
  <c r="I59" i="2"/>
  <c r="I71" i="2"/>
  <c r="I72" i="2"/>
  <c r="H88" i="2"/>
  <c r="K176" i="4" l="1"/>
  <c r="K151" i="4"/>
  <c r="K175" i="4"/>
  <c r="J121" i="8"/>
  <c r="K121" i="8"/>
  <c r="K63" i="8"/>
  <c r="H27" i="2"/>
  <c r="J123" i="8"/>
  <c r="J153" i="8"/>
  <c r="K123" i="8"/>
  <c r="K153" i="8"/>
  <c r="H61" i="2"/>
  <c r="K138" i="4"/>
  <c r="K213" i="4"/>
  <c r="H11" i="2"/>
  <c r="K168" i="4"/>
  <c r="K144" i="4"/>
  <c r="K58" i="3"/>
  <c r="K47" i="3"/>
  <c r="K29" i="3"/>
  <c r="K37" i="6"/>
  <c r="K31" i="6"/>
  <c r="K60" i="6"/>
  <c r="K192" i="4"/>
  <c r="K205" i="4"/>
  <c r="K186" i="4"/>
  <c r="K178" i="4"/>
  <c r="K120" i="4"/>
  <c r="K98" i="4"/>
  <c r="K89" i="4"/>
  <c r="K80" i="4"/>
  <c r="K101" i="4"/>
  <c r="K71" i="4"/>
  <c r="K22" i="6"/>
  <c r="K66" i="3"/>
  <c r="K127" i="4"/>
  <c r="K220" i="4"/>
  <c r="K128" i="4"/>
  <c r="K218" i="4"/>
  <c r="K199" i="4"/>
  <c r="K200" i="4"/>
  <c r="K152" i="4"/>
  <c r="K214" i="4"/>
  <c r="K219" i="4"/>
  <c r="K77" i="3" l="1"/>
  <c r="K79" i="3"/>
  <c r="K59" i="3"/>
  <c r="G36" i="2"/>
  <c r="H36" i="2"/>
  <c r="J171" i="8"/>
  <c r="J172" i="8"/>
  <c r="K48" i="6"/>
  <c r="K56" i="6"/>
  <c r="K51" i="6"/>
  <c r="K47" i="6"/>
  <c r="K52" i="6"/>
  <c r="K59" i="6"/>
  <c r="K55" i="6"/>
  <c r="K50" i="6"/>
  <c r="K58" i="6"/>
  <c r="K54" i="6"/>
  <c r="K49" i="6"/>
  <c r="K57" i="6"/>
  <c r="K53" i="6"/>
  <c r="H10" i="2"/>
  <c r="K75" i="3"/>
  <c r="K76" i="3"/>
  <c r="K80" i="3"/>
  <c r="K206" i="4"/>
  <c r="K154" i="4"/>
  <c r="K73" i="3"/>
  <c r="K78" i="3"/>
  <c r="K40" i="6"/>
  <c r="H15" i="2"/>
  <c r="H14" i="2"/>
  <c r="K34" i="6"/>
  <c r="K74" i="3"/>
  <c r="K39" i="6"/>
  <c r="H12" i="2"/>
  <c r="K33" i="6"/>
  <c r="K202" i="4"/>
  <c r="K130" i="4"/>
  <c r="K222" i="4"/>
  <c r="H62" i="2"/>
  <c r="K94" i="3" l="1"/>
  <c r="K93" i="3"/>
  <c r="K90" i="3"/>
  <c r="K89" i="3"/>
  <c r="K92" i="3"/>
  <c r="K88" i="3"/>
  <c r="K91" i="3"/>
  <c r="G52" i="2"/>
  <c r="K81" i="3"/>
  <c r="L46" i="3"/>
  <c r="H16" i="2" l="1"/>
  <c r="K95" i="3"/>
  <c r="L137" i="8"/>
  <c r="L195" i="4"/>
  <c r="L189" i="4"/>
  <c r="L123" i="4"/>
  <c r="L117" i="4"/>
  <c r="L49" i="4"/>
  <c r="L45" i="4"/>
  <c r="L42" i="4"/>
  <c r="L40" i="4"/>
  <c r="L47" i="4"/>
  <c r="L41" i="4"/>
  <c r="L43" i="4"/>
  <c r="L44" i="4"/>
  <c r="L39" i="4"/>
  <c r="L38" i="4"/>
  <c r="L50" i="4" l="1"/>
  <c r="L22" i="8"/>
  <c r="L10" i="8" l="1"/>
  <c r="L22" i="3"/>
  <c r="L13" i="3"/>
  <c r="BS17" i="8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L283" i="8"/>
  <c r="L282" i="8"/>
  <c r="L281" i="8"/>
  <c r="L280" i="8"/>
  <c r="L279" i="8"/>
  <c r="L278" i="8"/>
  <c r="L277" i="8"/>
  <c r="L276" i="8"/>
  <c r="L273" i="8"/>
  <c r="L272" i="8"/>
  <c r="L271" i="8"/>
  <c r="L270" i="8"/>
  <c r="L269" i="8"/>
  <c r="L268" i="8"/>
  <c r="L267" i="8"/>
  <c r="L266" i="8"/>
  <c r="L265" i="8"/>
  <c r="L264" i="8"/>
  <c r="L256" i="8"/>
  <c r="L246" i="8"/>
  <c r="L225" i="8"/>
  <c r="L224" i="8"/>
  <c r="L223" i="8"/>
  <c r="L222" i="8"/>
  <c r="L221" i="8"/>
  <c r="L220" i="8"/>
  <c r="L219" i="8"/>
  <c r="L216" i="8"/>
  <c r="L215" i="8"/>
  <c r="L214" i="8"/>
  <c r="L213" i="8"/>
  <c r="L212" i="8"/>
  <c r="L211" i="8"/>
  <c r="L210" i="8"/>
  <c r="L209" i="8"/>
  <c r="L199" i="8"/>
  <c r="L198" i="8"/>
  <c r="L180" i="8"/>
  <c r="L164" i="8"/>
  <c r="L136" i="8"/>
  <c r="L133" i="8"/>
  <c r="L132" i="8"/>
  <c r="L119" i="8"/>
  <c r="L118" i="8"/>
  <c r="L117" i="8"/>
  <c r="L116" i="8"/>
  <c r="L115" i="8"/>
  <c r="L114" i="8"/>
  <c r="L113" i="8"/>
  <c r="L112" i="8"/>
  <c r="L105" i="8"/>
  <c r="L103" i="8"/>
  <c r="L102" i="8"/>
  <c r="L99" i="8"/>
  <c r="L98" i="8"/>
  <c r="L97" i="8"/>
  <c r="L94" i="8"/>
  <c r="L93" i="8"/>
  <c r="L92" i="8"/>
  <c r="L84" i="8"/>
  <c r="L83" i="8"/>
  <c r="L81" i="8"/>
  <c r="L80" i="8"/>
  <c r="L79" i="8"/>
  <c r="L77" i="8"/>
  <c r="L75" i="8"/>
  <c r="L74" i="8"/>
  <c r="L72" i="8"/>
  <c r="L71" i="8"/>
  <c r="L41" i="8"/>
  <c r="L82" i="8"/>
  <c r="L13" i="8"/>
  <c r="L20" i="6"/>
  <c r="L21" i="6"/>
  <c r="L30" i="6"/>
  <c r="L36" i="6"/>
  <c r="L60" i="6"/>
  <c r="L99" i="4"/>
  <c r="L24" i="4"/>
  <c r="L31" i="4"/>
  <c r="L69" i="4"/>
  <c r="L78" i="4"/>
  <c r="L87" i="4"/>
  <c r="L96" i="4"/>
  <c r="L100" i="4"/>
  <c r="L112" i="4"/>
  <c r="L118" i="4"/>
  <c r="L125" i="4"/>
  <c r="L129" i="4"/>
  <c r="L136" i="4"/>
  <c r="L142" i="4"/>
  <c r="L149" i="4"/>
  <c r="L160" i="4"/>
  <c r="L166" i="4"/>
  <c r="L173" i="4"/>
  <c r="L177" i="4"/>
  <c r="L184" i="4"/>
  <c r="L190" i="4"/>
  <c r="L197" i="4"/>
  <c r="L201" i="4"/>
  <c r="L204" i="4"/>
  <c r="L216" i="4"/>
  <c r="L56" i="3"/>
  <c r="L37" i="3"/>
  <c r="L19" i="3"/>
  <c r="I88" i="2"/>
  <c r="L70" i="8" l="1"/>
  <c r="L29" i="3"/>
  <c r="L138" i="4"/>
  <c r="L151" i="8"/>
  <c r="I26" i="2"/>
  <c r="L189" i="8"/>
  <c r="L135" i="8"/>
  <c r="L200" i="8"/>
  <c r="L58" i="6"/>
  <c r="L54" i="6"/>
  <c r="L52" i="6"/>
  <c r="L55" i="6"/>
  <c r="L57" i="6"/>
  <c r="L48" i="6"/>
  <c r="L49" i="6"/>
  <c r="L53" i="6"/>
  <c r="L59" i="6"/>
  <c r="L56" i="6"/>
  <c r="L51" i="6"/>
  <c r="L47" i="6"/>
  <c r="L50" i="6"/>
  <c r="L168" i="4"/>
  <c r="L144" i="4"/>
  <c r="L176" i="4"/>
  <c r="L120" i="4"/>
  <c r="L89" i="4"/>
  <c r="L175" i="4"/>
  <c r="L151" i="4"/>
  <c r="L152" i="4"/>
  <c r="L114" i="4"/>
  <c r="L80" i="4"/>
  <c r="I11" i="2"/>
  <c r="I61" i="2"/>
  <c r="L192" i="4"/>
  <c r="L186" i="4"/>
  <c r="L98" i="4"/>
  <c r="L71" i="4"/>
  <c r="L31" i="6"/>
  <c r="L58" i="3"/>
  <c r="L47" i="3"/>
  <c r="L205" i="4"/>
  <c r="L162" i="4"/>
  <c r="L257" i="8"/>
  <c r="L284" i="8"/>
  <c r="L274" i="8"/>
  <c r="L226" i="8"/>
  <c r="L150" i="8"/>
  <c r="L146" i="8"/>
  <c r="L16" i="8"/>
  <c r="L131" i="8"/>
  <c r="L22" i="6"/>
  <c r="L66" i="3"/>
  <c r="L147" i="8"/>
  <c r="L101" i="8"/>
  <c r="L37" i="6"/>
  <c r="L127" i="4"/>
  <c r="L218" i="4"/>
  <c r="L220" i="4"/>
  <c r="L128" i="4"/>
  <c r="L101" i="4"/>
  <c r="L214" i="4"/>
  <c r="L219" i="4"/>
  <c r="L199" i="4"/>
  <c r="L200" i="4"/>
  <c r="L213" i="4"/>
  <c r="L75" i="3"/>
  <c r="L80" i="3"/>
  <c r="H163" i="8" l="1"/>
  <c r="L73" i="3"/>
  <c r="H162" i="8"/>
  <c r="L79" i="3"/>
  <c r="L77" i="3"/>
  <c r="I162" i="8"/>
  <c r="I163" i="8"/>
  <c r="L76" i="3"/>
  <c r="L78" i="3"/>
  <c r="I10" i="2"/>
  <c r="K171" i="8"/>
  <c r="L74" i="3"/>
  <c r="K162" i="8"/>
  <c r="J163" i="8"/>
  <c r="J162" i="8"/>
  <c r="L178" i="4"/>
  <c r="L161" i="8"/>
  <c r="L59" i="3"/>
  <c r="K163" i="8"/>
  <c r="K172" i="8"/>
  <c r="I44" i="2"/>
  <c r="L173" i="8"/>
  <c r="L40" i="8"/>
  <c r="I25" i="2"/>
  <c r="I24" i="2"/>
  <c r="L201" i="8"/>
  <c r="I35" i="2"/>
  <c r="L34" i="6"/>
  <c r="L222" i="4"/>
  <c r="I62" i="2"/>
  <c r="L154" i="4"/>
  <c r="L202" i="4"/>
  <c r="L130" i="4"/>
  <c r="L206" i="4"/>
  <c r="I14" i="2"/>
  <c r="L33" i="6"/>
  <c r="I12" i="2"/>
  <c r="L39" i="6"/>
  <c r="L285" i="8"/>
  <c r="L40" i="6"/>
  <c r="I15" i="2" l="1"/>
  <c r="L92" i="3"/>
  <c r="E45" i="2"/>
  <c r="L81" i="3"/>
  <c r="L89" i="3"/>
  <c r="L91" i="3"/>
  <c r="L90" i="3"/>
  <c r="F45" i="2"/>
  <c r="L93" i="3"/>
  <c r="L88" i="3"/>
  <c r="L94" i="3"/>
  <c r="G45" i="2"/>
  <c r="H45" i="2"/>
  <c r="H52" i="2"/>
  <c r="L44" i="8"/>
  <c r="I16" i="2" l="1"/>
  <c r="L95" i="3"/>
  <c r="L47" i="8"/>
  <c r="L49" i="8" l="1"/>
  <c r="X243" i="4"/>
  <c r="Y243" i="4"/>
  <c r="Z243" i="4"/>
  <c r="AA243" i="4"/>
  <c r="AB243" i="4"/>
  <c r="AC243" i="4"/>
  <c r="AD243" i="4"/>
  <c r="AE243" i="4"/>
  <c r="AF243" i="4"/>
  <c r="AG243" i="4"/>
  <c r="AJ243" i="4"/>
  <c r="AK243" i="4"/>
  <c r="L61" i="8" l="1"/>
  <c r="L139" i="8"/>
  <c r="M195" i="4"/>
  <c r="M189" i="4"/>
  <c r="M123" i="4"/>
  <c r="M117" i="4"/>
  <c r="M12" i="4"/>
  <c r="J43" i="2"/>
  <c r="J50" i="2"/>
  <c r="J59" i="2"/>
  <c r="J71" i="2"/>
  <c r="J72" i="2"/>
  <c r="J88" i="2"/>
  <c r="M283" i="8"/>
  <c r="M282" i="8"/>
  <c r="M281" i="8"/>
  <c r="M280" i="8"/>
  <c r="M279" i="8"/>
  <c r="M278" i="8"/>
  <c r="M277" i="8"/>
  <c r="M276" i="8"/>
  <c r="M273" i="8"/>
  <c r="M272" i="8"/>
  <c r="M271" i="8"/>
  <c r="M270" i="8"/>
  <c r="M269" i="8"/>
  <c r="M268" i="8"/>
  <c r="M267" i="8"/>
  <c r="M266" i="8"/>
  <c r="M265" i="8"/>
  <c r="M264" i="8"/>
  <c r="M256" i="8"/>
  <c r="M246" i="8"/>
  <c r="M225" i="8"/>
  <c r="M224" i="8"/>
  <c r="M223" i="8"/>
  <c r="M222" i="8"/>
  <c r="M221" i="8"/>
  <c r="M220" i="8"/>
  <c r="M219" i="8"/>
  <c r="M216" i="8"/>
  <c r="M215" i="8"/>
  <c r="M214" i="8"/>
  <c r="M213" i="8"/>
  <c r="M212" i="8"/>
  <c r="M211" i="8"/>
  <c r="M210" i="8"/>
  <c r="M209" i="8"/>
  <c r="M199" i="8"/>
  <c r="M198" i="8"/>
  <c r="M180" i="8"/>
  <c r="M137" i="8"/>
  <c r="M136" i="8"/>
  <c r="M133" i="8"/>
  <c r="M132" i="8"/>
  <c r="M119" i="8"/>
  <c r="M118" i="8"/>
  <c r="M117" i="8"/>
  <c r="M116" i="8"/>
  <c r="M115" i="8"/>
  <c r="M114" i="8"/>
  <c r="M113" i="8"/>
  <c r="M112" i="8"/>
  <c r="M105" i="8"/>
  <c r="M103" i="8"/>
  <c r="M102" i="8"/>
  <c r="M99" i="8"/>
  <c r="M97" i="8"/>
  <c r="M93" i="8"/>
  <c r="M92" i="8"/>
  <c r="M84" i="8"/>
  <c r="M83" i="8"/>
  <c r="M82" i="8"/>
  <c r="M81" i="8"/>
  <c r="M80" i="8"/>
  <c r="M79" i="8"/>
  <c r="M77" i="8"/>
  <c r="M72" i="8"/>
  <c r="M71" i="8"/>
  <c r="M41" i="8"/>
  <c r="M13" i="8"/>
  <c r="M20" i="6"/>
  <c r="M21" i="6"/>
  <c r="M30" i="6"/>
  <c r="M36" i="6"/>
  <c r="M24" i="4"/>
  <c r="M31" i="4"/>
  <c r="M69" i="4"/>
  <c r="M78" i="4"/>
  <c r="M87" i="4"/>
  <c r="M96" i="4"/>
  <c r="M100" i="4"/>
  <c r="M112" i="4"/>
  <c r="M125" i="4"/>
  <c r="M129" i="4"/>
  <c r="M136" i="4"/>
  <c r="M142" i="4"/>
  <c r="M149" i="4"/>
  <c r="M160" i="4"/>
  <c r="M166" i="4"/>
  <c r="M173" i="4"/>
  <c r="M177" i="4"/>
  <c r="M184" i="4"/>
  <c r="M190" i="4"/>
  <c r="M197" i="4"/>
  <c r="M201" i="4"/>
  <c r="M204" i="4"/>
  <c r="M216" i="4"/>
  <c r="M19" i="3"/>
  <c r="M37" i="3"/>
  <c r="M56" i="3"/>
  <c r="M144" i="4" l="1"/>
  <c r="M162" i="4"/>
  <c r="I27" i="2"/>
  <c r="L63" i="8"/>
  <c r="M151" i="4"/>
  <c r="M98" i="4"/>
  <c r="M71" i="4"/>
  <c r="M175" i="4"/>
  <c r="M80" i="4"/>
  <c r="L227" i="8"/>
  <c r="M147" i="8"/>
  <c r="M135" i="8"/>
  <c r="L73" i="8"/>
  <c r="M164" i="8"/>
  <c r="M150" i="8"/>
  <c r="M146" i="8"/>
  <c r="J26" i="2"/>
  <c r="L208" i="8"/>
  <c r="M200" i="8"/>
  <c r="M152" i="4"/>
  <c r="M199" i="4"/>
  <c r="M186" i="4"/>
  <c r="M168" i="4"/>
  <c r="M138" i="4"/>
  <c r="M114" i="4"/>
  <c r="M89" i="4"/>
  <c r="M99" i="4"/>
  <c r="M118" i="4"/>
  <c r="J61" i="2"/>
  <c r="M192" i="4"/>
  <c r="M127" i="4"/>
  <c r="J11" i="2"/>
  <c r="M31" i="6"/>
  <c r="M22" i="6"/>
  <c r="M189" i="8"/>
  <c r="M58" i="3"/>
  <c r="M257" i="8"/>
  <c r="M284" i="8"/>
  <c r="M274" i="8"/>
  <c r="M226" i="8"/>
  <c r="M131" i="8"/>
  <c r="M66" i="3"/>
  <c r="M200" i="4"/>
  <c r="M205" i="4"/>
  <c r="M176" i="4"/>
  <c r="M218" i="4"/>
  <c r="M220" i="4"/>
  <c r="M16" i="8"/>
  <c r="M101" i="8"/>
  <c r="M37" i="6"/>
  <c r="M213" i="4"/>
  <c r="M29" i="3"/>
  <c r="M47" i="3"/>
  <c r="M128" i="4" l="1"/>
  <c r="M161" i="8"/>
  <c r="M219" i="4"/>
  <c r="M214" i="4"/>
  <c r="M101" i="4"/>
  <c r="M34" i="6"/>
  <c r="M39" i="6"/>
  <c r="M33" i="6"/>
  <c r="J25" i="2"/>
  <c r="J44" i="2"/>
  <c r="J35" i="2"/>
  <c r="L76" i="8"/>
  <c r="L217" i="8"/>
  <c r="L145" i="8"/>
  <c r="L149" i="8"/>
  <c r="J24" i="2"/>
  <c r="M178" i="4"/>
  <c r="J62" i="2"/>
  <c r="M120" i="4"/>
  <c r="M206" i="4"/>
  <c r="M202" i="4"/>
  <c r="M154" i="4"/>
  <c r="M40" i="6"/>
  <c r="J12" i="2"/>
  <c r="J14" i="2"/>
  <c r="M201" i="8"/>
  <c r="M59" i="3"/>
  <c r="J10" i="2"/>
  <c r="M285" i="8"/>
  <c r="M222" i="4"/>
  <c r="M40" i="8"/>
  <c r="M75" i="3"/>
  <c r="M79" i="3"/>
  <c r="M76" i="3"/>
  <c r="M80" i="3"/>
  <c r="M73" i="3"/>
  <c r="M74" i="3"/>
  <c r="M78" i="3"/>
  <c r="M77" i="3"/>
  <c r="M90" i="3" l="1"/>
  <c r="M130" i="4"/>
  <c r="I33" i="2"/>
  <c r="I34" i="2"/>
  <c r="L170" i="8"/>
  <c r="L228" i="8"/>
  <c r="L100" i="8"/>
  <c r="M94" i="3"/>
  <c r="M92" i="3"/>
  <c r="M88" i="3"/>
  <c r="M91" i="3"/>
  <c r="M89" i="3"/>
  <c r="M93" i="3"/>
  <c r="J15" i="2"/>
  <c r="M44" i="8"/>
  <c r="M81" i="3"/>
  <c r="I51" i="2" l="1"/>
  <c r="L104" i="8"/>
  <c r="J16" i="2"/>
  <c r="M95" i="3"/>
  <c r="M47" i="8"/>
  <c r="L107" i="8" l="1"/>
  <c r="M49" i="8"/>
  <c r="L109" i="8" l="1"/>
  <c r="M139" i="8"/>
  <c r="M61" i="8"/>
  <c r="L121" i="8" l="1"/>
  <c r="L123" i="8"/>
  <c r="L153" i="8"/>
  <c r="M63" i="8"/>
  <c r="J27" i="2"/>
  <c r="AL41" i="8"/>
  <c r="AK41" i="8"/>
  <c r="AJ41" i="8"/>
  <c r="AH41" i="8"/>
  <c r="AG41" i="8"/>
  <c r="AF41" i="8"/>
  <c r="AE41" i="8"/>
  <c r="AD41" i="8"/>
  <c r="AC41" i="8"/>
  <c r="AB41" i="8"/>
  <c r="AA41" i="8"/>
  <c r="Z41" i="8"/>
  <c r="Y41" i="8"/>
  <c r="X41" i="8"/>
  <c r="S41" i="8"/>
  <c r="R41" i="8"/>
  <c r="Q41" i="8"/>
  <c r="P41" i="8"/>
  <c r="O41" i="8"/>
  <c r="N41" i="8"/>
  <c r="BS10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N15" i="8"/>
  <c r="N14" i="8"/>
  <c r="I36" i="2" l="1"/>
  <c r="M74" i="8"/>
  <c r="L171" i="8"/>
  <c r="L172" i="8"/>
  <c r="M75" i="8"/>
  <c r="E41" i="8"/>
  <c r="N273" i="8"/>
  <c r="N272" i="8"/>
  <c r="N271" i="8"/>
  <c r="N270" i="8"/>
  <c r="N269" i="8"/>
  <c r="N268" i="8"/>
  <c r="N267" i="8"/>
  <c r="N266" i="8"/>
  <c r="N265" i="8"/>
  <c r="N264" i="8"/>
  <c r="R273" i="8"/>
  <c r="R272" i="8"/>
  <c r="R271" i="8"/>
  <c r="R270" i="8"/>
  <c r="R269" i="8"/>
  <c r="R268" i="8"/>
  <c r="R267" i="8"/>
  <c r="R266" i="8"/>
  <c r="R265" i="8"/>
  <c r="R264" i="8"/>
  <c r="I52" i="2" l="1"/>
  <c r="M151" i="8"/>
  <c r="N216" i="8"/>
  <c r="N215" i="8"/>
  <c r="N214" i="8"/>
  <c r="N213" i="8"/>
  <c r="N212" i="8"/>
  <c r="N211" i="8"/>
  <c r="N210" i="8"/>
  <c r="N209" i="8"/>
  <c r="R216" i="8"/>
  <c r="R215" i="8"/>
  <c r="R214" i="8"/>
  <c r="R213" i="8"/>
  <c r="R212" i="8"/>
  <c r="R211" i="8"/>
  <c r="R210" i="8"/>
  <c r="BS119" i="8"/>
  <c r="BR119" i="8"/>
  <c r="BQ119" i="8"/>
  <c r="BP119" i="8"/>
  <c r="BO119" i="8"/>
  <c r="BN119" i="8"/>
  <c r="BM119" i="8"/>
  <c r="BL119" i="8"/>
  <c r="BK119" i="8"/>
  <c r="BJ119" i="8"/>
  <c r="BI119" i="8"/>
  <c r="BH119" i="8"/>
  <c r="BS118" i="8"/>
  <c r="BR118" i="8"/>
  <c r="BQ118" i="8"/>
  <c r="BP118" i="8"/>
  <c r="BO118" i="8"/>
  <c r="BN118" i="8"/>
  <c r="BM118" i="8"/>
  <c r="BL118" i="8"/>
  <c r="BK118" i="8"/>
  <c r="BJ118" i="8"/>
  <c r="BI118" i="8"/>
  <c r="BH118" i="8"/>
  <c r="BS117" i="8"/>
  <c r="BR117" i="8"/>
  <c r="BQ117" i="8"/>
  <c r="BP117" i="8"/>
  <c r="BO117" i="8"/>
  <c r="BN117" i="8"/>
  <c r="BM117" i="8"/>
  <c r="BL117" i="8"/>
  <c r="BK117" i="8"/>
  <c r="BJ117" i="8"/>
  <c r="BI117" i="8"/>
  <c r="BH117" i="8"/>
  <c r="BS116" i="8"/>
  <c r="BR116" i="8"/>
  <c r="BQ116" i="8"/>
  <c r="BP116" i="8"/>
  <c r="BO116" i="8"/>
  <c r="BN116" i="8"/>
  <c r="BM116" i="8"/>
  <c r="BL116" i="8"/>
  <c r="BK116" i="8"/>
  <c r="BJ116" i="8"/>
  <c r="BI116" i="8"/>
  <c r="BH116" i="8"/>
  <c r="BS115" i="8"/>
  <c r="BR115" i="8"/>
  <c r="BQ115" i="8"/>
  <c r="BP115" i="8"/>
  <c r="BO115" i="8"/>
  <c r="BN115" i="8"/>
  <c r="BM115" i="8"/>
  <c r="BL115" i="8"/>
  <c r="BK115" i="8"/>
  <c r="BJ115" i="8"/>
  <c r="BI115" i="8"/>
  <c r="BH115" i="8"/>
  <c r="BS114" i="8"/>
  <c r="BR114" i="8"/>
  <c r="BQ114" i="8"/>
  <c r="BP114" i="8"/>
  <c r="BO114" i="8"/>
  <c r="BN114" i="8"/>
  <c r="BM114" i="8"/>
  <c r="BL114" i="8"/>
  <c r="BK114" i="8"/>
  <c r="BJ114" i="8"/>
  <c r="BI114" i="8"/>
  <c r="BH114" i="8"/>
  <c r="BS113" i="8"/>
  <c r="BR113" i="8"/>
  <c r="BQ113" i="8"/>
  <c r="BP113" i="8"/>
  <c r="BO113" i="8"/>
  <c r="BN113" i="8"/>
  <c r="BM113" i="8"/>
  <c r="BL113" i="8"/>
  <c r="BK113" i="8"/>
  <c r="BJ113" i="8"/>
  <c r="BI113" i="8"/>
  <c r="BH113" i="8"/>
  <c r="BS112" i="8"/>
  <c r="BR112" i="8"/>
  <c r="BQ112" i="8"/>
  <c r="BP112" i="8"/>
  <c r="BO112" i="8"/>
  <c r="BN112" i="8"/>
  <c r="BM112" i="8"/>
  <c r="BL112" i="8"/>
  <c r="BK112" i="8"/>
  <c r="BJ112" i="8"/>
  <c r="BI112" i="8"/>
  <c r="BH112" i="8"/>
  <c r="BG119" i="8"/>
  <c r="BF119" i="8"/>
  <c r="BE119" i="8"/>
  <c r="BD119" i="8"/>
  <c r="BG118" i="8"/>
  <c r="BF118" i="8"/>
  <c r="BE118" i="8"/>
  <c r="BD118" i="8"/>
  <c r="BG117" i="8"/>
  <c r="BF117" i="8"/>
  <c r="BE117" i="8"/>
  <c r="BD117" i="8"/>
  <c r="BG116" i="8"/>
  <c r="BF116" i="8"/>
  <c r="BE116" i="8"/>
  <c r="BD116" i="8"/>
  <c r="BG115" i="8"/>
  <c r="BF115" i="8"/>
  <c r="BE115" i="8"/>
  <c r="BD115" i="8"/>
  <c r="BG112" i="8"/>
  <c r="BF112" i="8"/>
  <c r="BE112" i="8"/>
  <c r="BC119" i="8"/>
  <c r="BB119" i="8"/>
  <c r="BA119" i="8"/>
  <c r="BC118" i="8"/>
  <c r="BB118" i="8"/>
  <c r="BA118" i="8"/>
  <c r="BC117" i="8"/>
  <c r="BB117" i="8"/>
  <c r="BA117" i="8"/>
  <c r="AZ117" i="8"/>
  <c r="BC116" i="8"/>
  <c r="BB116" i="8"/>
  <c r="BA116" i="8"/>
  <c r="AZ116" i="8"/>
  <c r="BC115" i="8"/>
  <c r="BB115" i="8"/>
  <c r="BA115" i="8"/>
  <c r="AZ115" i="8"/>
  <c r="BC112" i="8"/>
  <c r="BB112" i="8"/>
  <c r="BA112" i="8"/>
  <c r="AY119" i="8"/>
  <c r="AX119" i="8"/>
  <c r="AW119" i="8"/>
  <c r="AV119" i="8"/>
  <c r="AY118" i="8"/>
  <c r="AX118" i="8"/>
  <c r="AW118" i="8"/>
  <c r="AV118" i="8"/>
  <c r="AY117" i="8"/>
  <c r="AX117" i="8"/>
  <c r="AW117" i="8"/>
  <c r="AV117" i="8"/>
  <c r="AY116" i="8"/>
  <c r="AX116" i="8"/>
  <c r="AW116" i="8"/>
  <c r="AV116" i="8"/>
  <c r="AY115" i="8"/>
  <c r="AX115" i="8"/>
  <c r="AW115" i="8"/>
  <c r="AV115" i="8"/>
  <c r="AV114" i="8"/>
  <c r="AW113" i="8"/>
  <c r="AV113" i="8"/>
  <c r="AY112" i="8"/>
  <c r="AX112" i="8"/>
  <c r="AW112" i="8"/>
  <c r="AV112" i="8"/>
  <c r="AU119" i="8"/>
  <c r="AT119" i="8"/>
  <c r="AS119" i="8"/>
  <c r="AR119" i="8"/>
  <c r="AU118" i="8"/>
  <c r="AT118" i="8"/>
  <c r="AS118" i="8"/>
  <c r="AR118" i="8"/>
  <c r="AU117" i="8"/>
  <c r="AT117" i="8"/>
  <c r="AS117" i="8"/>
  <c r="AR117" i="8"/>
  <c r="AU116" i="8"/>
  <c r="AT116" i="8"/>
  <c r="AS116" i="8"/>
  <c r="AR116" i="8"/>
  <c r="AU115" i="8"/>
  <c r="AT115" i="8"/>
  <c r="AS115" i="8"/>
  <c r="AR115" i="8"/>
  <c r="AU114" i="8"/>
  <c r="AT114" i="8"/>
  <c r="AS114" i="8"/>
  <c r="AR114" i="8"/>
  <c r="AU113" i="8"/>
  <c r="AT113" i="8"/>
  <c r="AS113" i="8"/>
  <c r="AR113" i="8"/>
  <c r="AU112" i="8"/>
  <c r="AT112" i="8"/>
  <c r="AS112" i="8"/>
  <c r="AR112" i="8"/>
  <c r="AQ119" i="8"/>
  <c r="AP119" i="8"/>
  <c r="AO119" i="8"/>
  <c r="AQ118" i="8"/>
  <c r="AP118" i="8"/>
  <c r="AO118" i="8"/>
  <c r="AQ117" i="8"/>
  <c r="AP117" i="8"/>
  <c r="AO117" i="8"/>
  <c r="AN117" i="8"/>
  <c r="AQ116" i="8"/>
  <c r="AP116" i="8"/>
  <c r="AO116" i="8"/>
  <c r="AN116" i="8"/>
  <c r="AQ115" i="8"/>
  <c r="AQ114" i="8"/>
  <c r="AQ113" i="8"/>
  <c r="AQ112" i="8"/>
  <c r="AM119" i="8"/>
  <c r="AL119" i="8"/>
  <c r="AK119" i="8"/>
  <c r="AJ119" i="8"/>
  <c r="AM118" i="8"/>
  <c r="AL118" i="8"/>
  <c r="AK118" i="8"/>
  <c r="AJ118" i="8"/>
  <c r="AM117" i="8"/>
  <c r="AL117" i="8"/>
  <c r="AK117" i="8"/>
  <c r="AJ117" i="8"/>
  <c r="AM116" i="8"/>
  <c r="AL116" i="8"/>
  <c r="AK116" i="8"/>
  <c r="AJ116" i="8"/>
  <c r="AK115" i="8"/>
  <c r="AJ115" i="8"/>
  <c r="AK114" i="8"/>
  <c r="AJ114" i="8"/>
  <c r="AK113" i="8"/>
  <c r="AJ113" i="8"/>
  <c r="AK112" i="8"/>
  <c r="AJ112" i="8"/>
  <c r="AI119" i="8"/>
  <c r="AH119" i="8"/>
  <c r="AG119" i="8"/>
  <c r="AF119" i="8"/>
  <c r="AI118" i="8"/>
  <c r="AH118" i="8"/>
  <c r="AG118" i="8"/>
  <c r="AF118" i="8"/>
  <c r="AI117" i="8"/>
  <c r="AH117" i="8"/>
  <c r="AG117" i="8"/>
  <c r="AF117" i="8"/>
  <c r="AI116" i="8"/>
  <c r="AH116" i="8"/>
  <c r="AG116" i="8"/>
  <c r="AF116" i="8"/>
  <c r="AI115" i="8"/>
  <c r="AH115" i="8"/>
  <c r="AG115" i="8"/>
  <c r="AF115" i="8"/>
  <c r="AI114" i="8"/>
  <c r="AH114" i="8"/>
  <c r="AG114" i="8"/>
  <c r="AF114" i="8"/>
  <c r="AI113" i="8"/>
  <c r="AH113" i="8"/>
  <c r="AG113" i="8"/>
  <c r="AF113" i="8"/>
  <c r="AI112" i="8"/>
  <c r="AH112" i="8"/>
  <c r="AG112" i="8"/>
  <c r="AF112" i="8"/>
  <c r="AE119" i="8"/>
  <c r="AD119" i="8"/>
  <c r="AC119" i="8"/>
  <c r="AB119" i="8"/>
  <c r="AE118" i="8"/>
  <c r="AD118" i="8"/>
  <c r="AC118" i="8"/>
  <c r="AB118" i="8"/>
  <c r="AE117" i="8"/>
  <c r="AD117" i="8"/>
  <c r="AC117" i="8"/>
  <c r="AB117" i="8"/>
  <c r="AE116" i="8"/>
  <c r="AD116" i="8"/>
  <c r="AC116" i="8"/>
  <c r="AB116" i="8"/>
  <c r="AE115" i="8"/>
  <c r="AD115" i="8"/>
  <c r="AC115" i="8"/>
  <c r="AB115" i="8"/>
  <c r="AE114" i="8"/>
  <c r="AD114" i="8"/>
  <c r="AC114" i="8"/>
  <c r="AB114" i="8"/>
  <c r="AE113" i="8"/>
  <c r="AD113" i="8"/>
  <c r="AC113" i="8"/>
  <c r="AB113" i="8"/>
  <c r="AE112" i="8"/>
  <c r="AD112" i="8"/>
  <c r="AC112" i="8"/>
  <c r="AB112" i="8"/>
  <c r="AA119" i="8"/>
  <c r="Z119" i="8"/>
  <c r="Y119" i="8"/>
  <c r="X119" i="8"/>
  <c r="AA118" i="8"/>
  <c r="Z118" i="8"/>
  <c r="Y118" i="8"/>
  <c r="X118" i="8"/>
  <c r="AA117" i="8"/>
  <c r="Z117" i="8"/>
  <c r="Y117" i="8"/>
  <c r="X117" i="8"/>
  <c r="AA116" i="8"/>
  <c r="Z116" i="8"/>
  <c r="Y116" i="8"/>
  <c r="X116" i="8"/>
  <c r="AA115" i="8"/>
  <c r="Z115" i="8"/>
  <c r="Y115" i="8"/>
  <c r="X115" i="8"/>
  <c r="AA114" i="8"/>
  <c r="Z114" i="8"/>
  <c r="Y114" i="8"/>
  <c r="X114" i="8"/>
  <c r="AA113" i="8"/>
  <c r="Z113" i="8"/>
  <c r="Y113" i="8"/>
  <c r="X113" i="8"/>
  <c r="AA112" i="8"/>
  <c r="Z112" i="8"/>
  <c r="Y112" i="8"/>
  <c r="X112" i="8"/>
  <c r="Q119" i="8"/>
  <c r="P119" i="8"/>
  <c r="Q118" i="8"/>
  <c r="P118" i="8"/>
  <c r="Q117" i="8"/>
  <c r="P117" i="8"/>
  <c r="Q116" i="8"/>
  <c r="P116" i="8"/>
  <c r="Q115" i="8"/>
  <c r="P115" i="8"/>
  <c r="Q114" i="8"/>
  <c r="P114" i="8"/>
  <c r="Q113" i="8"/>
  <c r="P113" i="8"/>
  <c r="Q112" i="8"/>
  <c r="P112" i="8"/>
  <c r="S119" i="8"/>
  <c r="R119" i="8"/>
  <c r="S118" i="8"/>
  <c r="R118" i="8"/>
  <c r="S117" i="8"/>
  <c r="R117" i="8"/>
  <c r="S116" i="8"/>
  <c r="R116" i="8"/>
  <c r="S115" i="8"/>
  <c r="R115" i="8"/>
  <c r="S114" i="8"/>
  <c r="R114" i="8"/>
  <c r="S113" i="8"/>
  <c r="R113" i="8"/>
  <c r="S112" i="8"/>
  <c r="R112" i="8"/>
  <c r="O113" i="8"/>
  <c r="O114" i="8"/>
  <c r="O115" i="8"/>
  <c r="O116" i="8"/>
  <c r="O117" i="8"/>
  <c r="O118" i="8"/>
  <c r="O119" i="8"/>
  <c r="O112" i="8"/>
  <c r="N113" i="8"/>
  <c r="N114" i="8"/>
  <c r="N115" i="8"/>
  <c r="N116" i="8"/>
  <c r="N117" i="8"/>
  <c r="N118" i="8"/>
  <c r="N119" i="8"/>
  <c r="N112" i="8"/>
  <c r="R92" i="8"/>
  <c r="R93" i="8"/>
  <c r="R97" i="8"/>
  <c r="R99" i="8"/>
  <c r="R79" i="8"/>
  <c r="R80" i="8"/>
  <c r="R81" i="8"/>
  <c r="R82" i="8"/>
  <c r="R83" i="8"/>
  <c r="R84" i="8"/>
  <c r="R77" i="8"/>
  <c r="S84" i="8"/>
  <c r="S92" i="8"/>
  <c r="S97" i="8"/>
  <c r="S99" i="8"/>
  <c r="N79" i="8"/>
  <c r="N80" i="8"/>
  <c r="N81" i="8"/>
  <c r="N82" i="8"/>
  <c r="N83" i="8"/>
  <c r="N84" i="8"/>
  <c r="N97" i="8"/>
  <c r="N99" i="8"/>
  <c r="N77" i="8"/>
  <c r="O93" i="8"/>
  <c r="O97" i="8"/>
  <c r="O99" i="8"/>
  <c r="N10" i="8"/>
  <c r="N46" i="3"/>
  <c r="N22" i="3"/>
  <c r="N13" i="3"/>
  <c r="M70" i="8" l="1"/>
  <c r="M173" i="8"/>
  <c r="N137" i="8"/>
  <c r="N195" i="4" l="1"/>
  <c r="N189" i="4"/>
  <c r="N123" i="4"/>
  <c r="N117" i="4"/>
  <c r="N20" i="3"/>
  <c r="K43" i="2"/>
  <c r="K50" i="2"/>
  <c r="K59" i="2"/>
  <c r="K71" i="2"/>
  <c r="K72" i="2"/>
  <c r="K88" i="2"/>
  <c r="N283" i="8"/>
  <c r="N282" i="8"/>
  <c r="N281" i="8"/>
  <c r="N280" i="8"/>
  <c r="N279" i="8"/>
  <c r="N278" i="8"/>
  <c r="N277" i="8"/>
  <c r="N276" i="8"/>
  <c r="N256" i="8"/>
  <c r="N246" i="8"/>
  <c r="N225" i="8"/>
  <c r="N224" i="8"/>
  <c r="N223" i="8"/>
  <c r="N222" i="8"/>
  <c r="N221" i="8"/>
  <c r="N220" i="8"/>
  <c r="N219" i="8"/>
  <c r="N199" i="8"/>
  <c r="N198" i="8"/>
  <c r="N164" i="8"/>
  <c r="N136" i="8"/>
  <c r="N133" i="8"/>
  <c r="N132" i="8"/>
  <c r="N105" i="8"/>
  <c r="N103" i="8"/>
  <c r="N102" i="8"/>
  <c r="N146" i="8"/>
  <c r="N75" i="8"/>
  <c r="N74" i="8"/>
  <c r="N72" i="8"/>
  <c r="N71" i="8"/>
  <c r="N13" i="8"/>
  <c r="N20" i="6"/>
  <c r="N21" i="6"/>
  <c r="N30" i="6"/>
  <c r="N36" i="6"/>
  <c r="N24" i="4"/>
  <c r="N31" i="4"/>
  <c r="N69" i="4"/>
  <c r="N78" i="4"/>
  <c r="N87" i="4"/>
  <c r="N96" i="4"/>
  <c r="N99" i="4"/>
  <c r="N100" i="4"/>
  <c r="N112" i="4"/>
  <c r="N129" i="4"/>
  <c r="N136" i="4"/>
  <c r="N142" i="4"/>
  <c r="N149" i="4"/>
  <c r="N160" i="4"/>
  <c r="N166" i="4"/>
  <c r="N173" i="4"/>
  <c r="N177" i="4"/>
  <c r="N184" i="4"/>
  <c r="N190" i="4"/>
  <c r="N197" i="4"/>
  <c r="N201" i="4"/>
  <c r="N204" i="4"/>
  <c r="N216" i="4"/>
  <c r="N37" i="3"/>
  <c r="N56" i="3"/>
  <c r="N125" i="4" l="1"/>
  <c r="N151" i="4"/>
  <c r="N175" i="4"/>
  <c r="K11" i="2"/>
  <c r="N19" i="3"/>
  <c r="M227" i="8"/>
  <c r="M73" i="8"/>
  <c r="N162" i="4"/>
  <c r="K35" i="2"/>
  <c r="K26" i="2"/>
  <c r="N150" i="8"/>
  <c r="N101" i="8"/>
  <c r="N80" i="4"/>
  <c r="N71" i="4"/>
  <c r="N168" i="4"/>
  <c r="N199" i="4"/>
  <c r="N144" i="4"/>
  <c r="N127" i="4"/>
  <c r="N98" i="4"/>
  <c r="K61" i="2"/>
  <c r="N192" i="4"/>
  <c r="N176" i="4"/>
  <c r="N152" i="4"/>
  <c r="N138" i="4"/>
  <c r="N114" i="4"/>
  <c r="N89" i="4"/>
  <c r="N118" i="4"/>
  <c r="N47" i="3"/>
  <c r="N31" i="6"/>
  <c r="N151" i="8"/>
  <c r="N200" i="8"/>
  <c r="N131" i="8"/>
  <c r="N58" i="3"/>
  <c r="N257" i="8"/>
  <c r="N284" i="8"/>
  <c r="N226" i="8"/>
  <c r="N200" i="4"/>
  <c r="N186" i="4"/>
  <c r="N205" i="4"/>
  <c r="N220" i="4"/>
  <c r="N101" i="4"/>
  <c r="N214" i="4"/>
  <c r="N22" i="6"/>
  <c r="N180" i="8"/>
  <c r="N135" i="8"/>
  <c r="N16" i="8"/>
  <c r="N37" i="6"/>
  <c r="N219" i="4"/>
  <c r="N213" i="4"/>
  <c r="N218" i="4"/>
  <c r="N29" i="3" l="1"/>
  <c r="N80" i="3" s="1"/>
  <c r="N128" i="4"/>
  <c r="N120" i="4"/>
  <c r="N66" i="3"/>
  <c r="N178" i="4"/>
  <c r="M208" i="8"/>
  <c r="M145" i="8"/>
  <c r="M149" i="8"/>
  <c r="M76" i="8"/>
  <c r="N202" i="4"/>
  <c r="C101" i="8"/>
  <c r="K25" i="2"/>
  <c r="N73" i="3"/>
  <c r="N130" i="4"/>
  <c r="N154" i="4"/>
  <c r="N206" i="4"/>
  <c r="N59" i="3"/>
  <c r="N74" i="3"/>
  <c r="N78" i="3"/>
  <c r="K12" i="2"/>
  <c r="N208" i="8"/>
  <c r="N173" i="8"/>
  <c r="N161" i="8"/>
  <c r="K24" i="2"/>
  <c r="N222" i="4"/>
  <c r="K62" i="2"/>
  <c r="N39" i="6"/>
  <c r="N33" i="6"/>
  <c r="N40" i="6"/>
  <c r="N34" i="6"/>
  <c r="N40" i="8"/>
  <c r="N189" i="8"/>
  <c r="N79" i="3" l="1"/>
  <c r="K10" i="2"/>
  <c r="N75" i="3"/>
  <c r="N77" i="3"/>
  <c r="N81" i="3" s="1"/>
  <c r="N76" i="3"/>
  <c r="K14" i="2"/>
  <c r="N92" i="3"/>
  <c r="M170" i="8"/>
  <c r="J33" i="2"/>
  <c r="M100" i="8"/>
  <c r="J34" i="2"/>
  <c r="M217" i="8"/>
  <c r="N93" i="3"/>
  <c r="N90" i="3"/>
  <c r="N88" i="3"/>
  <c r="N94" i="3"/>
  <c r="N91" i="3"/>
  <c r="N89" i="3"/>
  <c r="N201" i="8"/>
  <c r="K44" i="2"/>
  <c r="N44" i="8"/>
  <c r="K15" i="2" l="1"/>
  <c r="K16" i="2"/>
  <c r="N95" i="3"/>
  <c r="M104" i="8"/>
  <c r="J51" i="2"/>
  <c r="M228" i="8"/>
  <c r="N47" i="8"/>
  <c r="M107" i="8" l="1"/>
  <c r="N49" i="8"/>
  <c r="M109" i="8" l="1"/>
  <c r="N61" i="8"/>
  <c r="N139" i="8"/>
  <c r="L88" i="2"/>
  <c r="M121" i="8" l="1"/>
  <c r="M123" i="8"/>
  <c r="M153" i="8"/>
  <c r="K27" i="2"/>
  <c r="N63" i="8"/>
  <c r="P180" i="8"/>
  <c r="Q180" i="8"/>
  <c r="O10" i="8"/>
  <c r="J36" i="2" l="1"/>
  <c r="M171" i="8"/>
  <c r="M172" i="8"/>
  <c r="N70" i="8"/>
  <c r="O37" i="3"/>
  <c r="O19" i="3"/>
  <c r="O56" i="3"/>
  <c r="J52" i="2" l="1"/>
  <c r="O58" i="3"/>
  <c r="O47" i="3"/>
  <c r="O29" i="3"/>
  <c r="N217" i="8"/>
  <c r="O66" i="3"/>
  <c r="O59" i="3" l="1"/>
  <c r="O93" i="3"/>
  <c r="O88" i="3"/>
  <c r="O79" i="3"/>
  <c r="O90" i="3"/>
  <c r="O73" i="3"/>
  <c r="O78" i="3"/>
  <c r="O74" i="3"/>
  <c r="O94" i="3"/>
  <c r="O76" i="3"/>
  <c r="O89" i="3"/>
  <c r="O77" i="3"/>
  <c r="O80" i="3"/>
  <c r="O91" i="3"/>
  <c r="O75" i="3"/>
  <c r="O92" i="3" l="1"/>
  <c r="O95" i="3"/>
  <c r="O81" i="3"/>
  <c r="L43" i="2"/>
  <c r="L50" i="2"/>
  <c r="L71" i="2"/>
  <c r="L72" i="2"/>
  <c r="L59" i="2"/>
  <c r="L10" i="2"/>
  <c r="L14" i="2"/>
  <c r="L15" i="2"/>
  <c r="L16" i="2"/>
  <c r="O283" i="8"/>
  <c r="O282" i="8"/>
  <c r="O281" i="8"/>
  <c r="O280" i="8"/>
  <c r="O279" i="8"/>
  <c r="O278" i="8"/>
  <c r="O277" i="8"/>
  <c r="O276" i="8"/>
  <c r="O273" i="8"/>
  <c r="O272" i="8"/>
  <c r="O271" i="8"/>
  <c r="O270" i="8"/>
  <c r="O269" i="8"/>
  <c r="O268" i="8"/>
  <c r="O267" i="8"/>
  <c r="O266" i="8"/>
  <c r="O265" i="8"/>
  <c r="O256" i="8"/>
  <c r="O225" i="8"/>
  <c r="O224" i="8"/>
  <c r="O223" i="8"/>
  <c r="O222" i="8"/>
  <c r="O221" i="8"/>
  <c r="O220" i="8"/>
  <c r="O219" i="8"/>
  <c r="O216" i="8"/>
  <c r="O215" i="8"/>
  <c r="O214" i="8"/>
  <c r="O213" i="8"/>
  <c r="O212" i="8"/>
  <c r="O211" i="8"/>
  <c r="O210" i="8"/>
  <c r="O209" i="8"/>
  <c r="O199" i="8"/>
  <c r="O198" i="8"/>
  <c r="O208" i="8"/>
  <c r="O137" i="8"/>
  <c r="O136" i="8"/>
  <c r="O132" i="8"/>
  <c r="O105" i="8"/>
  <c r="O103" i="8"/>
  <c r="O102" i="8"/>
  <c r="O84" i="8"/>
  <c r="O83" i="8"/>
  <c r="O82" i="8"/>
  <c r="O81" i="8"/>
  <c r="O80" i="8"/>
  <c r="O79" i="8"/>
  <c r="O75" i="8"/>
  <c r="O74" i="8"/>
  <c r="O72" i="8"/>
  <c r="O71" i="8"/>
  <c r="O20" i="6"/>
  <c r="O21" i="6"/>
  <c r="O30" i="6"/>
  <c r="O36" i="6"/>
  <c r="O24" i="4"/>
  <c r="O31" i="4"/>
  <c r="O69" i="4"/>
  <c r="O78" i="4"/>
  <c r="O87" i="4"/>
  <c r="O96" i="4"/>
  <c r="O99" i="4"/>
  <c r="O100" i="4"/>
  <c r="O112" i="4"/>
  <c r="O118" i="4"/>
  <c r="O125" i="4"/>
  <c r="O129" i="4"/>
  <c r="O136" i="4"/>
  <c r="O142" i="4"/>
  <c r="O149" i="4"/>
  <c r="O160" i="4"/>
  <c r="O166" i="4"/>
  <c r="O173" i="4"/>
  <c r="O177" i="4"/>
  <c r="O184" i="4"/>
  <c r="O190" i="4"/>
  <c r="O197" i="4"/>
  <c r="O201" i="4"/>
  <c r="O204" i="4"/>
  <c r="O216" i="4"/>
  <c r="O168" i="4" l="1"/>
  <c r="O186" i="4"/>
  <c r="O199" i="4"/>
  <c r="O192" i="4"/>
  <c r="O120" i="4"/>
  <c r="O138" i="4"/>
  <c r="O31" i="6"/>
  <c r="O101" i="8"/>
  <c r="O151" i="4"/>
  <c r="N227" i="8"/>
  <c r="O22" i="6"/>
  <c r="L61" i="2"/>
  <c r="O200" i="4"/>
  <c r="O175" i="4"/>
  <c r="O162" i="4"/>
  <c r="O127" i="4"/>
  <c r="O114" i="4"/>
  <c r="O98" i="4"/>
  <c r="O71" i="4"/>
  <c r="O284" i="8"/>
  <c r="O226" i="8"/>
  <c r="O146" i="8"/>
  <c r="L26" i="2"/>
  <c r="O164" i="8"/>
  <c r="O151" i="8"/>
  <c r="O227" i="8"/>
  <c r="O70" i="8"/>
  <c r="O217" i="8"/>
  <c r="O152" i="4"/>
  <c r="O89" i="4"/>
  <c r="O200" i="8"/>
  <c r="O144" i="4"/>
  <c r="O205" i="4"/>
  <c r="O176" i="4"/>
  <c r="O128" i="4"/>
  <c r="O150" i="8"/>
  <c r="O80" i="4"/>
  <c r="O214" i="4"/>
  <c r="L11" i="2"/>
  <c r="O213" i="4"/>
  <c r="O37" i="6"/>
  <c r="O13" i="8"/>
  <c r="O189" i="8"/>
  <c r="O101" i="4"/>
  <c r="O219" i="4"/>
  <c r="O218" i="4"/>
  <c r="O220" i="4"/>
  <c r="P99" i="4"/>
  <c r="P133" i="8"/>
  <c r="O202" i="4" l="1"/>
  <c r="O33" i="6"/>
  <c r="O34" i="6"/>
  <c r="O39" i="6"/>
  <c r="L12" i="2"/>
  <c r="N73" i="8"/>
  <c r="N228" i="8"/>
  <c r="O201" i="8"/>
  <c r="L35" i="2"/>
  <c r="O173" i="8"/>
  <c r="O154" i="4"/>
  <c r="O228" i="8"/>
  <c r="O130" i="4"/>
  <c r="O206" i="4"/>
  <c r="O178" i="4"/>
  <c r="O222" i="4"/>
  <c r="L62" i="2"/>
  <c r="O40" i="6"/>
  <c r="O16" i="8"/>
  <c r="O131" i="8"/>
  <c r="O73" i="8"/>
  <c r="P137" i="8"/>
  <c r="N76" i="8" l="1"/>
  <c r="N145" i="8"/>
  <c r="L25" i="2"/>
  <c r="O76" i="8"/>
  <c r="O145" i="8"/>
  <c r="P22" i="8"/>
  <c r="P46" i="3"/>
  <c r="K34" i="2" l="1"/>
  <c r="L34" i="2"/>
  <c r="P195" i="4"/>
  <c r="P189" i="4"/>
  <c r="P123" i="4"/>
  <c r="P117" i="4"/>
  <c r="P49" i="4"/>
  <c r="P45" i="4"/>
  <c r="P42" i="4"/>
  <c r="P39" i="4"/>
  <c r="P40" i="4"/>
  <c r="P41" i="4"/>
  <c r="P43" i="4"/>
  <c r="P47" i="4"/>
  <c r="P44" i="4"/>
  <c r="P38" i="4"/>
  <c r="P50" i="4" l="1"/>
  <c r="P100" i="4"/>
  <c r="P101" i="4" l="1"/>
  <c r="P92" i="8"/>
  <c r="M88" i="2"/>
  <c r="M72" i="2"/>
  <c r="M71" i="2"/>
  <c r="M59" i="2"/>
  <c r="M50" i="2"/>
  <c r="M43" i="2"/>
  <c r="P283" i="8"/>
  <c r="P282" i="8"/>
  <c r="P281" i="8"/>
  <c r="P280" i="8"/>
  <c r="P279" i="8"/>
  <c r="P278" i="8"/>
  <c r="P277" i="8"/>
  <c r="P276" i="8"/>
  <c r="P273" i="8"/>
  <c r="P272" i="8"/>
  <c r="P271" i="8"/>
  <c r="P270" i="8"/>
  <c r="P269" i="8"/>
  <c r="P268" i="8"/>
  <c r="P267" i="8"/>
  <c r="P266" i="8"/>
  <c r="P265" i="8"/>
  <c r="P264" i="8"/>
  <c r="P256" i="8"/>
  <c r="P246" i="8"/>
  <c r="P225" i="8"/>
  <c r="P224" i="8"/>
  <c r="P223" i="8"/>
  <c r="P222" i="8"/>
  <c r="P221" i="8"/>
  <c r="P220" i="8"/>
  <c r="P219" i="8"/>
  <c r="P216" i="8"/>
  <c r="P215" i="8"/>
  <c r="P214" i="8"/>
  <c r="P213" i="8"/>
  <c r="P212" i="8"/>
  <c r="P211" i="8"/>
  <c r="P210" i="8"/>
  <c r="P209" i="8"/>
  <c r="P199" i="8"/>
  <c r="P198" i="8"/>
  <c r="P164" i="8"/>
  <c r="P136" i="8"/>
  <c r="P132" i="8"/>
  <c r="P105" i="8"/>
  <c r="P103" i="8"/>
  <c r="P102" i="8"/>
  <c r="P99" i="8"/>
  <c r="P98" i="8"/>
  <c r="P97" i="8"/>
  <c r="P94" i="8"/>
  <c r="P93" i="8"/>
  <c r="P84" i="8"/>
  <c r="P83" i="8"/>
  <c r="P82" i="8"/>
  <c r="P81" i="8"/>
  <c r="P80" i="8"/>
  <c r="P79" i="8"/>
  <c r="P77" i="8"/>
  <c r="P75" i="8"/>
  <c r="P74" i="8"/>
  <c r="P72" i="8"/>
  <c r="P71" i="8"/>
  <c r="P70" i="8"/>
  <c r="P13" i="8"/>
  <c r="P36" i="6"/>
  <c r="P30" i="6"/>
  <c r="P21" i="6"/>
  <c r="P20" i="6"/>
  <c r="P216" i="4"/>
  <c r="P204" i="4"/>
  <c r="P201" i="4"/>
  <c r="P197" i="4"/>
  <c r="P190" i="4"/>
  <c r="P184" i="4"/>
  <c r="P177" i="4"/>
  <c r="P173" i="4"/>
  <c r="P166" i="4"/>
  <c r="P160" i="4"/>
  <c r="P149" i="4"/>
  <c r="P142" i="4"/>
  <c r="P136" i="4"/>
  <c r="P129" i="4"/>
  <c r="P125" i="4"/>
  <c r="P118" i="4"/>
  <c r="P112" i="4"/>
  <c r="P214" i="4"/>
  <c r="P96" i="4"/>
  <c r="P87" i="4"/>
  <c r="P78" i="4"/>
  <c r="P69" i="4"/>
  <c r="P31" i="4"/>
  <c r="P24" i="4"/>
  <c r="P56" i="3"/>
  <c r="P37" i="3"/>
  <c r="P19" i="3"/>
  <c r="P101" i="8" l="1"/>
  <c r="M26" i="2"/>
  <c r="P60" i="6"/>
  <c r="P98" i="4"/>
  <c r="P192" i="4"/>
  <c r="M61" i="2"/>
  <c r="P144" i="4"/>
  <c r="M11" i="2"/>
  <c r="P199" i="4"/>
  <c r="P114" i="4"/>
  <c r="P120" i="4"/>
  <c r="P213" i="4"/>
  <c r="P138" i="4"/>
  <c r="P151" i="4"/>
  <c r="P71" i="4"/>
  <c r="P168" i="4"/>
  <c r="P189" i="8"/>
  <c r="P162" i="4"/>
  <c r="P80" i="4"/>
  <c r="P175" i="4"/>
  <c r="P89" i="4"/>
  <c r="P151" i="8"/>
  <c r="P131" i="8"/>
  <c r="P135" i="8"/>
  <c r="P37" i="6"/>
  <c r="P31" i="6"/>
  <c r="P47" i="3"/>
  <c r="P66" i="3"/>
  <c r="P150" i="8"/>
  <c r="P146" i="8"/>
  <c r="P200" i="4"/>
  <c r="P186" i="4"/>
  <c r="P128" i="4"/>
  <c r="P205" i="4"/>
  <c r="P257" i="8"/>
  <c r="P200" i="8"/>
  <c r="P147" i="8"/>
  <c r="P16" i="8"/>
  <c r="P201" i="8"/>
  <c r="P274" i="8"/>
  <c r="P226" i="8"/>
  <c r="P284" i="8"/>
  <c r="P22" i="6"/>
  <c r="P220" i="4"/>
  <c r="P127" i="4"/>
  <c r="P152" i="4"/>
  <c r="P218" i="4"/>
  <c r="P219" i="4"/>
  <c r="P176" i="4"/>
  <c r="P29" i="3"/>
  <c r="P58" i="3"/>
  <c r="P58" i="6" l="1"/>
  <c r="P50" i="6"/>
  <c r="P48" i="6"/>
  <c r="P47" i="6"/>
  <c r="P53" i="6"/>
  <c r="P57" i="6"/>
  <c r="P52" i="6"/>
  <c r="P54" i="6"/>
  <c r="P59" i="6"/>
  <c r="P51" i="6"/>
  <c r="L162" i="8"/>
  <c r="L163" i="8"/>
  <c r="M162" i="8"/>
  <c r="M163" i="8"/>
  <c r="P55" i="6"/>
  <c r="P49" i="6"/>
  <c r="P56" i="6"/>
  <c r="N162" i="8"/>
  <c r="M14" i="2"/>
  <c r="N163" i="8"/>
  <c r="M35" i="2"/>
  <c r="M25" i="2"/>
  <c r="M10" i="2"/>
  <c r="M12" i="2"/>
  <c r="P178" i="4"/>
  <c r="P206" i="4"/>
  <c r="M24" i="2"/>
  <c r="P173" i="8"/>
  <c r="M62" i="2"/>
  <c r="P154" i="4"/>
  <c r="P130" i="4"/>
  <c r="P202" i="4"/>
  <c r="P59" i="3"/>
  <c r="P222" i="4"/>
  <c r="P285" i="8"/>
  <c r="P161" i="8"/>
  <c r="P34" i="6"/>
  <c r="P40" i="8"/>
  <c r="P39" i="6"/>
  <c r="P33" i="6"/>
  <c r="P40" i="6"/>
  <c r="P80" i="3"/>
  <c r="P76" i="3"/>
  <c r="P79" i="3"/>
  <c r="P75" i="3"/>
  <c r="P78" i="3"/>
  <c r="P74" i="3"/>
  <c r="P73" i="3"/>
  <c r="P77" i="3"/>
  <c r="I45" i="2" l="1"/>
  <c r="J45" i="2"/>
  <c r="K45" i="2"/>
  <c r="M15" i="2"/>
  <c r="P89" i="3"/>
  <c r="P44" i="8"/>
  <c r="M44" i="2"/>
  <c r="P93" i="3"/>
  <c r="P91" i="3"/>
  <c r="P92" i="3"/>
  <c r="P90" i="3"/>
  <c r="P94" i="3"/>
  <c r="P88" i="3"/>
  <c r="P81" i="3"/>
  <c r="M16" i="2" l="1"/>
  <c r="P47" i="8"/>
  <c r="P95" i="3"/>
  <c r="P49" i="8" l="1"/>
  <c r="P61" i="8" l="1"/>
  <c r="P139" i="8"/>
  <c r="Q201" i="4"/>
  <c r="Q195" i="4"/>
  <c r="Q189" i="4"/>
  <c r="Q177" i="4"/>
  <c r="Q129" i="4"/>
  <c r="Q123" i="4"/>
  <c r="Q117" i="4"/>
  <c r="Q100" i="4"/>
  <c r="Q99" i="4"/>
  <c r="M27" i="2" l="1"/>
  <c r="P63" i="8"/>
  <c r="Q101" i="4"/>
  <c r="Q205" i="4"/>
  <c r="Q24" i="4" l="1"/>
  <c r="Q92" i="8" l="1"/>
  <c r="Q93" i="8"/>
  <c r="Q97" i="8"/>
  <c r="Q99" i="8"/>
  <c r="N88" i="2" l="1"/>
  <c r="N72" i="2"/>
  <c r="N71" i="2"/>
  <c r="N59" i="2"/>
  <c r="N50" i="2"/>
  <c r="N43" i="2"/>
  <c r="Q283" i="8"/>
  <c r="Q282" i="8"/>
  <c r="Q281" i="8"/>
  <c r="Q280" i="8"/>
  <c r="Q279" i="8"/>
  <c r="Q278" i="8"/>
  <c r="Q277" i="8"/>
  <c r="Q276" i="8"/>
  <c r="Q273" i="8"/>
  <c r="Q272" i="8"/>
  <c r="Q271" i="8"/>
  <c r="Q270" i="8"/>
  <c r="Q269" i="8"/>
  <c r="Q268" i="8"/>
  <c r="Q267" i="8"/>
  <c r="Q266" i="8"/>
  <c r="Q265" i="8"/>
  <c r="Q264" i="8"/>
  <c r="Q256" i="8"/>
  <c r="Q246" i="8"/>
  <c r="Q225" i="8"/>
  <c r="Q224" i="8"/>
  <c r="Q223" i="8"/>
  <c r="Q222" i="8"/>
  <c r="Q221" i="8"/>
  <c r="Q220" i="8"/>
  <c r="Q219" i="8"/>
  <c r="Q216" i="8"/>
  <c r="Q215" i="8"/>
  <c r="Q214" i="8"/>
  <c r="Q213" i="8"/>
  <c r="Q212" i="8"/>
  <c r="Q211" i="8"/>
  <c r="Q210" i="8"/>
  <c r="Q199" i="8"/>
  <c r="Q198" i="8"/>
  <c r="Q137" i="8"/>
  <c r="Q136" i="8"/>
  <c r="Q133" i="8"/>
  <c r="Q132" i="8"/>
  <c r="Q105" i="8"/>
  <c r="Q103" i="8"/>
  <c r="Q102" i="8"/>
  <c r="Q84" i="8"/>
  <c r="Q83" i="8"/>
  <c r="Q82" i="8"/>
  <c r="Q81" i="8"/>
  <c r="Q80" i="8"/>
  <c r="Q79" i="8"/>
  <c r="Q77" i="8"/>
  <c r="Q75" i="8"/>
  <c r="Q74" i="8"/>
  <c r="Q72" i="8"/>
  <c r="Q71" i="8"/>
  <c r="Q70" i="8"/>
  <c r="Q20" i="6"/>
  <c r="Q21" i="6"/>
  <c r="Q30" i="6"/>
  <c r="Q36" i="6"/>
  <c r="N11" i="2"/>
  <c r="Q31" i="4"/>
  <c r="Q69" i="4"/>
  <c r="Q78" i="4"/>
  <c r="Q87" i="4"/>
  <c r="Q96" i="4"/>
  <c r="Q112" i="4"/>
  <c r="Q118" i="4"/>
  <c r="Q125" i="4"/>
  <c r="Q136" i="4"/>
  <c r="Q142" i="4"/>
  <c r="Q149" i="4"/>
  <c r="Q160" i="4"/>
  <c r="Q166" i="4"/>
  <c r="Q173" i="4"/>
  <c r="Q184" i="4"/>
  <c r="Q190" i="4"/>
  <c r="Q197" i="4"/>
  <c r="Q204" i="4"/>
  <c r="Q216" i="4"/>
  <c r="Q56" i="3"/>
  <c r="Q37" i="3"/>
  <c r="Q19" i="3"/>
  <c r="Q101" i="8" l="1"/>
  <c r="N26" i="2"/>
  <c r="Q37" i="6"/>
  <c r="Q150" i="8"/>
  <c r="P227" i="8"/>
  <c r="Q189" i="8"/>
  <c r="P208" i="8"/>
  <c r="Q164" i="8"/>
  <c r="Q138" i="4"/>
  <c r="Q128" i="4"/>
  <c r="Q176" i="4"/>
  <c r="Q152" i="4"/>
  <c r="N61" i="2"/>
  <c r="Q200" i="4"/>
  <c r="Q151" i="4"/>
  <c r="Q66" i="3"/>
  <c r="Q31" i="6"/>
  <c r="Q199" i="4"/>
  <c r="Q192" i="4"/>
  <c r="Q186" i="4"/>
  <c r="Q175" i="4"/>
  <c r="Q168" i="4"/>
  <c r="Q162" i="4"/>
  <c r="Q120" i="4"/>
  <c r="Q114" i="4"/>
  <c r="Q98" i="4"/>
  <c r="Q89" i="4"/>
  <c r="Q80" i="4"/>
  <c r="Q71" i="4"/>
  <c r="Q47" i="3"/>
  <c r="Q257" i="8"/>
  <c r="Q284" i="8"/>
  <c r="Q274" i="8"/>
  <c r="Q226" i="8"/>
  <c r="Q151" i="8"/>
  <c r="Q146" i="8"/>
  <c r="Q147" i="8"/>
  <c r="Q200" i="8"/>
  <c r="Q22" i="6"/>
  <c r="Q214" i="4"/>
  <c r="Q29" i="3"/>
  <c r="Q13" i="8"/>
  <c r="Q218" i="4"/>
  <c r="Q220" i="4"/>
  <c r="Q127" i="4"/>
  <c r="Q219" i="4"/>
  <c r="Q213" i="4"/>
  <c r="Q144" i="4"/>
  <c r="Q58" i="3"/>
  <c r="E101" i="8" l="1"/>
  <c r="N14" i="2"/>
  <c r="Q201" i="8"/>
  <c r="Q173" i="8"/>
  <c r="P73" i="8"/>
  <c r="N35" i="2"/>
  <c r="P217" i="8"/>
  <c r="Q154" i="4"/>
  <c r="Q130" i="4"/>
  <c r="Q202" i="4"/>
  <c r="Q178" i="4"/>
  <c r="N12" i="2"/>
  <c r="Q73" i="3"/>
  <c r="Q206" i="4"/>
  <c r="Q59" i="3"/>
  <c r="Q285" i="8"/>
  <c r="Q33" i="6"/>
  <c r="Q39" i="6"/>
  <c r="Q34" i="6"/>
  <c r="Q40" i="6"/>
  <c r="Q222" i="4"/>
  <c r="N62" i="2"/>
  <c r="Q76" i="3"/>
  <c r="Q75" i="3"/>
  <c r="Q78" i="3"/>
  <c r="Q74" i="3"/>
  <c r="Q79" i="3"/>
  <c r="Q77" i="3"/>
  <c r="N10" i="2"/>
  <c r="Q80" i="3"/>
  <c r="Q131" i="8"/>
  <c r="Q16" i="8"/>
  <c r="Q135" i="8"/>
  <c r="Q88" i="3" l="1"/>
  <c r="P76" i="8"/>
  <c r="P145" i="8"/>
  <c r="P149" i="8"/>
  <c r="N25" i="2"/>
  <c r="P228" i="8"/>
  <c r="Q91" i="3"/>
  <c r="N15" i="2"/>
  <c r="Q92" i="3"/>
  <c r="Q93" i="3"/>
  <c r="Q89" i="3"/>
  <c r="Q94" i="3"/>
  <c r="Q90" i="3"/>
  <c r="Q161" i="8"/>
  <c r="N24" i="2"/>
  <c r="Q81" i="3"/>
  <c r="Q40" i="8"/>
  <c r="M33" i="2" l="1"/>
  <c r="M34" i="2"/>
  <c r="Q95" i="3"/>
  <c r="N44" i="2"/>
  <c r="P170" i="8"/>
  <c r="Q44" i="8"/>
  <c r="P100" i="8"/>
  <c r="N16" i="2"/>
  <c r="M51" i="2" l="1"/>
  <c r="P104" i="8"/>
  <c r="Q47" i="8"/>
  <c r="P107" i="8" l="1"/>
  <c r="Q49" i="8"/>
  <c r="P109" i="8" l="1"/>
  <c r="Q61" i="8"/>
  <c r="Q139" i="8"/>
  <c r="R137" i="8"/>
  <c r="R164" i="8" l="1"/>
  <c r="N27" i="2"/>
  <c r="P121" i="8"/>
  <c r="Q63" i="8"/>
  <c r="P123" i="8"/>
  <c r="P153" i="8"/>
  <c r="M36" i="2" l="1"/>
  <c r="P171" i="8"/>
  <c r="P172" i="8"/>
  <c r="O88" i="2"/>
  <c r="M52" i="2" l="1"/>
  <c r="R181" i="8"/>
  <c r="R204" i="4"/>
  <c r="R201" i="4"/>
  <c r="R195" i="4"/>
  <c r="R189" i="4"/>
  <c r="R177" i="4"/>
  <c r="R129" i="4"/>
  <c r="R123" i="4"/>
  <c r="R117" i="4"/>
  <c r="R100" i="4"/>
  <c r="R99" i="4"/>
  <c r="R209" i="8" l="1"/>
  <c r="R180" i="8"/>
  <c r="Q209" i="8"/>
  <c r="R101" i="4"/>
  <c r="R205" i="4"/>
  <c r="AC237" i="8"/>
  <c r="AD237" i="8"/>
  <c r="AE237" i="8"/>
  <c r="R208" i="8" l="1"/>
  <c r="R206" i="4"/>
  <c r="R283" i="8" l="1"/>
  <c r="R282" i="8"/>
  <c r="R281" i="8"/>
  <c r="R280" i="8"/>
  <c r="R279" i="8"/>
  <c r="R278" i="8"/>
  <c r="R277" i="8"/>
  <c r="R276" i="8"/>
  <c r="R225" i="8"/>
  <c r="R224" i="8"/>
  <c r="R223" i="8"/>
  <c r="R222" i="8"/>
  <c r="R221" i="8"/>
  <c r="R220" i="8"/>
  <c r="R219" i="8"/>
  <c r="R284" i="8" l="1"/>
  <c r="R274" i="8"/>
  <c r="R226" i="8"/>
  <c r="R285" i="8" l="1"/>
  <c r="R105" i="8" l="1"/>
  <c r="R103" i="8"/>
  <c r="R102" i="8"/>
  <c r="R75" i="8"/>
  <c r="R74" i="8"/>
  <c r="R72" i="8"/>
  <c r="R71" i="8"/>
  <c r="O72" i="2"/>
  <c r="O71" i="2"/>
  <c r="O59" i="2"/>
  <c r="O50" i="2"/>
  <c r="O43" i="2"/>
  <c r="R256" i="8"/>
  <c r="R246" i="8"/>
  <c r="R199" i="8"/>
  <c r="R198" i="8"/>
  <c r="R136" i="8"/>
  <c r="R133" i="8"/>
  <c r="R132" i="8"/>
  <c r="R36" i="6"/>
  <c r="R30" i="6"/>
  <c r="R21" i="6"/>
  <c r="R20" i="6"/>
  <c r="R216" i="4"/>
  <c r="R213" i="4"/>
  <c r="R197" i="4"/>
  <c r="R190" i="4"/>
  <c r="R184" i="4"/>
  <c r="R173" i="4"/>
  <c r="R166" i="4"/>
  <c r="R160" i="4"/>
  <c r="R149" i="4"/>
  <c r="R142" i="4"/>
  <c r="R136" i="4"/>
  <c r="R125" i="4"/>
  <c r="R118" i="4"/>
  <c r="R112" i="4"/>
  <c r="R214" i="4"/>
  <c r="R96" i="4"/>
  <c r="R87" i="4"/>
  <c r="R78" i="4"/>
  <c r="R69" i="4"/>
  <c r="R31" i="4"/>
  <c r="R24" i="4"/>
  <c r="R56" i="3"/>
  <c r="R37" i="3"/>
  <c r="R19" i="3"/>
  <c r="R101" i="8" l="1"/>
  <c r="R151" i="4"/>
  <c r="Q208" i="8"/>
  <c r="R147" i="8"/>
  <c r="Q227" i="8"/>
  <c r="R151" i="8"/>
  <c r="R146" i="8"/>
  <c r="R128" i="4"/>
  <c r="R138" i="4"/>
  <c r="R176" i="4"/>
  <c r="R192" i="4"/>
  <c r="R71" i="4"/>
  <c r="O11" i="2"/>
  <c r="R120" i="4"/>
  <c r="R152" i="4"/>
  <c r="R168" i="4"/>
  <c r="R199" i="4"/>
  <c r="R175" i="4"/>
  <c r="R200" i="4"/>
  <c r="O61" i="2"/>
  <c r="R58" i="3"/>
  <c r="R37" i="6"/>
  <c r="R29" i="3"/>
  <c r="R66" i="3"/>
  <c r="R200" i="8"/>
  <c r="R162" i="4"/>
  <c r="R98" i="4"/>
  <c r="R80" i="4"/>
  <c r="R257" i="8"/>
  <c r="R189" i="8"/>
  <c r="R219" i="4"/>
  <c r="R150" i="8"/>
  <c r="O26" i="2"/>
  <c r="R47" i="3"/>
  <c r="R13" i="8"/>
  <c r="R22" i="6"/>
  <c r="R31" i="6"/>
  <c r="R220" i="4"/>
  <c r="R127" i="4"/>
  <c r="R186" i="4"/>
  <c r="R218" i="4"/>
  <c r="R89" i="4"/>
  <c r="R144" i="4"/>
  <c r="R114" i="4"/>
  <c r="AK242" i="4"/>
  <c r="AJ242" i="4"/>
  <c r="AH242" i="4"/>
  <c r="AG242" i="4"/>
  <c r="AF242" i="4"/>
  <c r="AE242" i="4"/>
  <c r="AD242" i="4"/>
  <c r="AC242" i="4"/>
  <c r="AB242" i="4"/>
  <c r="AA242" i="4"/>
  <c r="Z242" i="4"/>
  <c r="Y242" i="4"/>
  <c r="X242" i="4"/>
  <c r="AK241" i="4"/>
  <c r="AJ241" i="4"/>
  <c r="AH241" i="4"/>
  <c r="AG241" i="4"/>
  <c r="AF241" i="4"/>
  <c r="AE241" i="4"/>
  <c r="AD241" i="4"/>
  <c r="AC241" i="4"/>
  <c r="AB241" i="4"/>
  <c r="AA241" i="4"/>
  <c r="Z241" i="4"/>
  <c r="Y241" i="4"/>
  <c r="X241" i="4"/>
  <c r="AK240" i="4"/>
  <c r="AJ240" i="4"/>
  <c r="AH240" i="4"/>
  <c r="AG240" i="4"/>
  <c r="AF240" i="4"/>
  <c r="AE240" i="4"/>
  <c r="AD240" i="4"/>
  <c r="AC240" i="4"/>
  <c r="AB240" i="4"/>
  <c r="AA240" i="4"/>
  <c r="Z240" i="4"/>
  <c r="Y240" i="4"/>
  <c r="X240" i="4"/>
  <c r="AK239" i="4"/>
  <c r="AJ239" i="4"/>
  <c r="AH239" i="4"/>
  <c r="AG239" i="4"/>
  <c r="AF239" i="4"/>
  <c r="AE239" i="4"/>
  <c r="AD239" i="4"/>
  <c r="AC239" i="4"/>
  <c r="AB239" i="4"/>
  <c r="AA239" i="4"/>
  <c r="Z239" i="4"/>
  <c r="Y239" i="4"/>
  <c r="X239" i="4"/>
  <c r="AK238" i="4"/>
  <c r="AJ238" i="4"/>
  <c r="AH238" i="4"/>
  <c r="AG238" i="4"/>
  <c r="AF238" i="4"/>
  <c r="AE238" i="4"/>
  <c r="AD238" i="4"/>
  <c r="AC238" i="4"/>
  <c r="AB238" i="4"/>
  <c r="AA238" i="4"/>
  <c r="Z238" i="4"/>
  <c r="Y238" i="4"/>
  <c r="X238" i="4"/>
  <c r="AK237" i="4"/>
  <c r="AJ237" i="4"/>
  <c r="AH237" i="4"/>
  <c r="AG237" i="4"/>
  <c r="AF237" i="4"/>
  <c r="AE237" i="4"/>
  <c r="AD237" i="4"/>
  <c r="AC237" i="4"/>
  <c r="AB237" i="4"/>
  <c r="AA237" i="4"/>
  <c r="Z237" i="4"/>
  <c r="Y237" i="4"/>
  <c r="X237" i="4"/>
  <c r="AK236" i="4"/>
  <c r="AJ236" i="4"/>
  <c r="AH236" i="4"/>
  <c r="AG236" i="4"/>
  <c r="AF236" i="4"/>
  <c r="AE236" i="4"/>
  <c r="AD236" i="4"/>
  <c r="AC236" i="4"/>
  <c r="AB236" i="4"/>
  <c r="AA236" i="4"/>
  <c r="Z236" i="4"/>
  <c r="Y236" i="4"/>
  <c r="X236" i="4"/>
  <c r="AK235" i="4"/>
  <c r="AJ235" i="4"/>
  <c r="AH235" i="4"/>
  <c r="AG235" i="4"/>
  <c r="AF235" i="4"/>
  <c r="AE235" i="4"/>
  <c r="AD235" i="4"/>
  <c r="AC235" i="4"/>
  <c r="AB235" i="4"/>
  <c r="AA235" i="4"/>
  <c r="Z235" i="4"/>
  <c r="Y235" i="4"/>
  <c r="X235" i="4"/>
  <c r="AK234" i="4"/>
  <c r="AJ234" i="4"/>
  <c r="AH234" i="4"/>
  <c r="AG234" i="4"/>
  <c r="AF234" i="4"/>
  <c r="AE234" i="4"/>
  <c r="AD234" i="4"/>
  <c r="AC234" i="4"/>
  <c r="AB234" i="4"/>
  <c r="AA234" i="4"/>
  <c r="Z234" i="4"/>
  <c r="Y234" i="4"/>
  <c r="X234" i="4"/>
  <c r="AK233" i="4"/>
  <c r="AJ233" i="4"/>
  <c r="AH233" i="4"/>
  <c r="AG233" i="4"/>
  <c r="AF233" i="4"/>
  <c r="AE233" i="4"/>
  <c r="AD233" i="4"/>
  <c r="AC233" i="4"/>
  <c r="AB233" i="4"/>
  <c r="AA233" i="4"/>
  <c r="Z233" i="4"/>
  <c r="Y233" i="4"/>
  <c r="X233" i="4"/>
  <c r="AK232" i="4"/>
  <c r="AJ232" i="4"/>
  <c r="AH232" i="4"/>
  <c r="AG232" i="4"/>
  <c r="AF232" i="4"/>
  <c r="AE232" i="4"/>
  <c r="AD232" i="4"/>
  <c r="AC232" i="4"/>
  <c r="AB232" i="4"/>
  <c r="AA232" i="4"/>
  <c r="Z232" i="4"/>
  <c r="Y232" i="4"/>
  <c r="X232" i="4"/>
  <c r="AK231" i="4"/>
  <c r="AJ231" i="4"/>
  <c r="AH231" i="4"/>
  <c r="AG231" i="4"/>
  <c r="AF231" i="4"/>
  <c r="AE231" i="4"/>
  <c r="AD231" i="4"/>
  <c r="AC231" i="4"/>
  <c r="AB231" i="4"/>
  <c r="AA231" i="4"/>
  <c r="Z231" i="4"/>
  <c r="Y231" i="4"/>
  <c r="X231" i="4"/>
  <c r="AK230" i="4"/>
  <c r="AJ230" i="4"/>
  <c r="AH230" i="4"/>
  <c r="AG230" i="4"/>
  <c r="AF230" i="4"/>
  <c r="AE230" i="4"/>
  <c r="AD230" i="4"/>
  <c r="AC230" i="4"/>
  <c r="AB230" i="4"/>
  <c r="AA230" i="4"/>
  <c r="Z230" i="4"/>
  <c r="Y230" i="4"/>
  <c r="X230" i="4"/>
  <c r="AK229" i="4"/>
  <c r="AJ229" i="4"/>
  <c r="AH229" i="4"/>
  <c r="AG229" i="4"/>
  <c r="AF229" i="4"/>
  <c r="AE229" i="4"/>
  <c r="AD229" i="4"/>
  <c r="AC229" i="4"/>
  <c r="AB229" i="4"/>
  <c r="AA229" i="4"/>
  <c r="Z229" i="4"/>
  <c r="Y229" i="4"/>
  <c r="X229" i="4"/>
  <c r="AK228" i="4"/>
  <c r="AJ228" i="4"/>
  <c r="AH228" i="4"/>
  <c r="AG228" i="4"/>
  <c r="AF228" i="4"/>
  <c r="AE228" i="4"/>
  <c r="AD228" i="4"/>
  <c r="AC228" i="4"/>
  <c r="AB228" i="4"/>
  <c r="AA228" i="4"/>
  <c r="Z228" i="4"/>
  <c r="Y228" i="4"/>
  <c r="X228" i="4"/>
  <c r="O35" i="2" l="1"/>
  <c r="O14" i="2"/>
  <c r="R78" i="3"/>
  <c r="R80" i="3"/>
  <c r="R76" i="3"/>
  <c r="R74" i="3"/>
  <c r="R79" i="3"/>
  <c r="R77" i="3"/>
  <c r="R75" i="3"/>
  <c r="O10" i="2"/>
  <c r="Q73" i="8"/>
  <c r="Q217" i="8"/>
  <c r="R201" i="8"/>
  <c r="R173" i="8"/>
  <c r="R154" i="4"/>
  <c r="R178" i="4"/>
  <c r="R130" i="4"/>
  <c r="R202" i="4"/>
  <c r="R59" i="3"/>
  <c r="R73" i="3"/>
  <c r="R222" i="4"/>
  <c r="O62" i="2"/>
  <c r="R40" i="6"/>
  <c r="O12" i="2"/>
  <c r="R16" i="8"/>
  <c r="R131" i="8"/>
  <c r="R135" i="8"/>
  <c r="R34" i="6"/>
  <c r="R33" i="6"/>
  <c r="R39" i="6"/>
  <c r="S204" i="4"/>
  <c r="S201" i="4"/>
  <c r="S195" i="4"/>
  <c r="S189" i="4"/>
  <c r="S177" i="4"/>
  <c r="S123" i="4"/>
  <c r="S129" i="4"/>
  <c r="S117" i="4"/>
  <c r="S99" i="4"/>
  <c r="S100" i="4"/>
  <c r="R91" i="3" l="1"/>
  <c r="O15" i="2"/>
  <c r="R88" i="3"/>
  <c r="R89" i="3"/>
  <c r="R94" i="3"/>
  <c r="R92" i="3"/>
  <c r="R93" i="3"/>
  <c r="R90" i="3"/>
  <c r="R81" i="3"/>
  <c r="Q76" i="8"/>
  <c r="R161" i="8"/>
  <c r="Q145" i="8"/>
  <c r="Q149" i="8"/>
  <c r="Q228" i="8"/>
  <c r="R40" i="8"/>
  <c r="O24" i="2"/>
  <c r="O25" i="2"/>
  <c r="S205" i="4"/>
  <c r="O16" i="2" l="1"/>
  <c r="R95" i="3"/>
  <c r="N33" i="2"/>
  <c r="N34" i="2"/>
  <c r="Q170" i="8"/>
  <c r="Q100" i="8"/>
  <c r="R44" i="8"/>
  <c r="O44" i="2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T31" i="4"/>
  <c r="S31" i="4"/>
  <c r="AJ195" i="4"/>
  <c r="AI195" i="4"/>
  <c r="AH195" i="4"/>
  <c r="AG195" i="4"/>
  <c r="AF195" i="4"/>
  <c r="AE195" i="4"/>
  <c r="AD195" i="4"/>
  <c r="AC195" i="4"/>
  <c r="AB195" i="4"/>
  <c r="AA195" i="4"/>
  <c r="Z195" i="4"/>
  <c r="Y195" i="4"/>
  <c r="X195" i="4"/>
  <c r="T195" i="4"/>
  <c r="AJ189" i="4"/>
  <c r="AI189" i="4"/>
  <c r="AH189" i="4"/>
  <c r="AG189" i="4"/>
  <c r="AF189" i="4"/>
  <c r="AE189" i="4"/>
  <c r="AD189" i="4"/>
  <c r="AC189" i="4"/>
  <c r="AB189" i="4"/>
  <c r="AA189" i="4"/>
  <c r="Z189" i="4"/>
  <c r="Y189" i="4"/>
  <c r="X189" i="4"/>
  <c r="T189" i="4"/>
  <c r="N51" i="2" l="1"/>
  <c r="Q104" i="8"/>
  <c r="R47" i="8"/>
  <c r="S10" i="8"/>
  <c r="S21" i="6"/>
  <c r="R70" i="8" l="1"/>
  <c r="Q107" i="8"/>
  <c r="R49" i="8"/>
  <c r="P43" i="2"/>
  <c r="P50" i="2"/>
  <c r="P71" i="2"/>
  <c r="P72" i="2"/>
  <c r="P88" i="2"/>
  <c r="S19" i="3"/>
  <c r="S37" i="3"/>
  <c r="S56" i="3"/>
  <c r="S69" i="4"/>
  <c r="S78" i="4"/>
  <c r="S87" i="4"/>
  <c r="S96" i="4"/>
  <c r="S112" i="4"/>
  <c r="S118" i="4"/>
  <c r="S125" i="4"/>
  <c r="S136" i="4"/>
  <c r="S142" i="4"/>
  <c r="S149" i="4"/>
  <c r="S160" i="4"/>
  <c r="S166" i="4"/>
  <c r="S173" i="4"/>
  <c r="S184" i="4"/>
  <c r="S190" i="4"/>
  <c r="S197" i="4"/>
  <c r="S20" i="6"/>
  <c r="S30" i="6"/>
  <c r="S36" i="6"/>
  <c r="S283" i="8"/>
  <c r="S282" i="8"/>
  <c r="S281" i="8"/>
  <c r="S280" i="8"/>
  <c r="S279" i="8"/>
  <c r="S278" i="8"/>
  <c r="S277" i="8"/>
  <c r="S276" i="8"/>
  <c r="S273" i="8"/>
  <c r="S272" i="8"/>
  <c r="S271" i="8"/>
  <c r="S270" i="8"/>
  <c r="S269" i="8"/>
  <c r="S268" i="8"/>
  <c r="S267" i="8"/>
  <c r="S266" i="8"/>
  <c r="S265" i="8"/>
  <c r="S264" i="8"/>
  <c r="S256" i="8"/>
  <c r="S246" i="8"/>
  <c r="S225" i="8"/>
  <c r="S224" i="8"/>
  <c r="S223" i="8"/>
  <c r="S222" i="8"/>
  <c r="S221" i="8"/>
  <c r="S220" i="8"/>
  <c r="S219" i="8"/>
  <c r="S216" i="8"/>
  <c r="S215" i="8"/>
  <c r="S214" i="8"/>
  <c r="S213" i="8"/>
  <c r="S212" i="8"/>
  <c r="S211" i="8"/>
  <c r="S210" i="8"/>
  <c r="S209" i="8"/>
  <c r="S199" i="8"/>
  <c r="S198" i="8"/>
  <c r="S137" i="8"/>
  <c r="S136" i="8"/>
  <c r="S133" i="8"/>
  <c r="S132" i="8"/>
  <c r="S105" i="8"/>
  <c r="S103" i="8"/>
  <c r="S102" i="8"/>
  <c r="S83" i="8"/>
  <c r="S82" i="8"/>
  <c r="S81" i="8"/>
  <c r="S80" i="8"/>
  <c r="S79" i="8"/>
  <c r="S77" i="8"/>
  <c r="S75" i="8"/>
  <c r="S74" i="8"/>
  <c r="S72" i="8"/>
  <c r="S71" i="8"/>
  <c r="S13" i="8"/>
  <c r="S101" i="8" l="1"/>
  <c r="S218" i="4"/>
  <c r="S47" i="3"/>
  <c r="P26" i="2"/>
  <c r="R73" i="8"/>
  <c r="S164" i="8"/>
  <c r="Q109" i="8"/>
  <c r="S151" i="8"/>
  <c r="S227" i="8"/>
  <c r="R227" i="8"/>
  <c r="S29" i="3"/>
  <c r="S58" i="3"/>
  <c r="R61" i="8"/>
  <c r="R139" i="8"/>
  <c r="S66" i="3"/>
  <c r="S168" i="4"/>
  <c r="S162" i="4"/>
  <c r="S176" i="4"/>
  <c r="S186" i="4"/>
  <c r="S200" i="4"/>
  <c r="S144" i="4"/>
  <c r="S220" i="4"/>
  <c r="S127" i="4"/>
  <c r="S128" i="4"/>
  <c r="S200" i="8"/>
  <c r="S192" i="4"/>
  <c r="S175" i="4"/>
  <c r="S151" i="4"/>
  <c r="S138" i="4"/>
  <c r="S120" i="4"/>
  <c r="S114" i="4"/>
  <c r="S98" i="4"/>
  <c r="S89" i="4"/>
  <c r="S80" i="4"/>
  <c r="S101" i="4"/>
  <c r="S71" i="4"/>
  <c r="S284" i="8"/>
  <c r="S274" i="8"/>
  <c r="S226" i="8"/>
  <c r="S146" i="8"/>
  <c r="S147" i="8"/>
  <c r="S150" i="8"/>
  <c r="S199" i="4"/>
  <c r="S152" i="4"/>
  <c r="S219" i="4"/>
  <c r="S257" i="8"/>
  <c r="S135" i="8"/>
  <c r="S16" i="8"/>
  <c r="S131" i="8"/>
  <c r="S73" i="8"/>
  <c r="S70" i="8"/>
  <c r="AB133" i="8"/>
  <c r="X133" i="8"/>
  <c r="S59" i="3" l="1"/>
  <c r="S74" i="3"/>
  <c r="S178" i="4"/>
  <c r="S80" i="3"/>
  <c r="S78" i="3"/>
  <c r="S75" i="3"/>
  <c r="S79" i="3"/>
  <c r="P10" i="2"/>
  <c r="S73" i="3"/>
  <c r="S77" i="3"/>
  <c r="S76" i="3"/>
  <c r="S173" i="8"/>
  <c r="P35" i="2"/>
  <c r="R149" i="8"/>
  <c r="R145" i="8"/>
  <c r="P25" i="2"/>
  <c r="R76" i="8"/>
  <c r="Q121" i="8"/>
  <c r="Q123" i="8"/>
  <c r="Q153" i="8"/>
  <c r="P14" i="2"/>
  <c r="O27" i="2"/>
  <c r="R63" i="8"/>
  <c r="S285" i="8"/>
  <c r="S202" i="4"/>
  <c r="S206" i="4"/>
  <c r="S154" i="4"/>
  <c r="S130" i="4"/>
  <c r="S161" i="8"/>
  <c r="P24" i="2"/>
  <c r="S92" i="3"/>
  <c r="S145" i="8"/>
  <c r="S149" i="8"/>
  <c r="S76" i="8"/>
  <c r="S40" i="8"/>
  <c r="S94" i="3" l="1"/>
  <c r="P15" i="2"/>
  <c r="S89" i="3"/>
  <c r="S91" i="3"/>
  <c r="S88" i="3"/>
  <c r="S93" i="3"/>
  <c r="S90" i="3"/>
  <c r="S81" i="3"/>
  <c r="N36" i="2"/>
  <c r="S100" i="8"/>
  <c r="R100" i="8"/>
  <c r="O34" i="2"/>
  <c r="R170" i="8"/>
  <c r="O33" i="2"/>
  <c r="P34" i="2"/>
  <c r="S44" i="8"/>
  <c r="P44" i="2"/>
  <c r="Q172" i="8"/>
  <c r="Q171" i="8"/>
  <c r="S170" i="8"/>
  <c r="P33" i="2"/>
  <c r="T46" i="3"/>
  <c r="S95" i="3" l="1"/>
  <c r="P16" i="2"/>
  <c r="N52" i="2"/>
  <c r="P51" i="2"/>
  <c r="S104" i="8"/>
  <c r="R104" i="8"/>
  <c r="S47" i="8"/>
  <c r="O51" i="2"/>
  <c r="T201" i="4"/>
  <c r="T177" i="4"/>
  <c r="T129" i="4"/>
  <c r="T123" i="4"/>
  <c r="T117" i="4"/>
  <c r="T100" i="4"/>
  <c r="T69" i="4"/>
  <c r="T24" i="4"/>
  <c r="R107" i="8" l="1"/>
  <c r="S49" i="8"/>
  <c r="S107" i="8"/>
  <c r="T205" i="4"/>
  <c r="T30" i="6"/>
  <c r="T204" i="4"/>
  <c r="Q71" i="2"/>
  <c r="Q72" i="2"/>
  <c r="Q59" i="2"/>
  <c r="T21" i="6"/>
  <c r="T216" i="4"/>
  <c r="T197" i="4"/>
  <c r="T190" i="4"/>
  <c r="T184" i="4"/>
  <c r="T173" i="4"/>
  <c r="T166" i="4"/>
  <c r="T160" i="4"/>
  <c r="T149" i="4"/>
  <c r="T142" i="4"/>
  <c r="T136" i="4"/>
  <c r="T125" i="4"/>
  <c r="T118" i="4"/>
  <c r="T112" i="4"/>
  <c r="T99" i="4"/>
  <c r="T96" i="4"/>
  <c r="T87" i="4"/>
  <c r="T78" i="4"/>
  <c r="T71" i="4"/>
  <c r="Q11" i="2"/>
  <c r="T56" i="3"/>
  <c r="T37" i="3"/>
  <c r="Q88" i="2"/>
  <c r="T213" i="4" l="1"/>
  <c r="T206" i="4"/>
  <c r="T31" i="6"/>
  <c r="T37" i="6"/>
  <c r="R109" i="8"/>
  <c r="S109" i="8"/>
  <c r="S61" i="8"/>
  <c r="S139" i="8"/>
  <c r="T47" i="3"/>
  <c r="T120" i="4"/>
  <c r="T98" i="4"/>
  <c r="Q61" i="2"/>
  <c r="T192" i="4"/>
  <c r="T80" i="4"/>
  <c r="T168" i="4"/>
  <c r="T199" i="4"/>
  <c r="T89" i="4"/>
  <c r="T218" i="4"/>
  <c r="T151" i="4"/>
  <c r="T175" i="4"/>
  <c r="T220" i="4"/>
  <c r="T200" i="4"/>
  <c r="T114" i="4"/>
  <c r="T128" i="4"/>
  <c r="T214" i="4"/>
  <c r="T101" i="4"/>
  <c r="T138" i="4"/>
  <c r="T152" i="4"/>
  <c r="T162" i="4"/>
  <c r="T176" i="4"/>
  <c r="T20" i="6"/>
  <c r="T36" i="6"/>
  <c r="T219" i="4"/>
  <c r="T178" i="4"/>
  <c r="T127" i="4"/>
  <c r="T144" i="4"/>
  <c r="T186" i="4"/>
  <c r="T58" i="3"/>
  <c r="P163" i="8" l="1"/>
  <c r="Q62" i="2"/>
  <c r="Q163" i="8"/>
  <c r="P27" i="2"/>
  <c r="R121" i="8"/>
  <c r="S63" i="8"/>
  <c r="S121" i="8"/>
  <c r="S123" i="8"/>
  <c r="S153" i="8"/>
  <c r="R153" i="8"/>
  <c r="R123" i="8"/>
  <c r="S163" i="8"/>
  <c r="R163" i="8"/>
  <c r="T154" i="4"/>
  <c r="T130" i="4"/>
  <c r="T202" i="4"/>
  <c r="T22" i="6"/>
  <c r="T59" i="3"/>
  <c r="T222" i="4"/>
  <c r="T34" i="6" l="1"/>
  <c r="T91" i="3"/>
  <c r="M45" i="2"/>
  <c r="S172" i="8"/>
  <c r="T39" i="6"/>
  <c r="N45" i="2"/>
  <c r="T88" i="3"/>
  <c r="P36" i="2"/>
  <c r="R172" i="8"/>
  <c r="R171" i="8"/>
  <c r="O36" i="2"/>
  <c r="T92" i="3"/>
  <c r="T89" i="3"/>
  <c r="T90" i="3"/>
  <c r="T94" i="3"/>
  <c r="T93" i="3"/>
  <c r="Q12" i="2"/>
  <c r="O45" i="2"/>
  <c r="T40" i="6"/>
  <c r="T33" i="6"/>
  <c r="Q16" i="2" l="1"/>
  <c r="T95" i="3"/>
  <c r="O52" i="2"/>
  <c r="BS151" i="8"/>
  <c r="BR151" i="8"/>
  <c r="BQ151" i="8"/>
  <c r="BP151" i="8"/>
  <c r="BO151" i="8"/>
  <c r="BK151" i="8"/>
  <c r="BJ151" i="8"/>
  <c r="BI151" i="8"/>
  <c r="BH151" i="8"/>
  <c r="BG151" i="8"/>
  <c r="BF151" i="8"/>
  <c r="BE151" i="8"/>
  <c r="BD151" i="8"/>
  <c r="BC151" i="8"/>
  <c r="BB151" i="8"/>
  <c r="BA151" i="8"/>
  <c r="AZ151" i="8"/>
  <c r="AY151" i="8"/>
  <c r="AX151" i="8"/>
  <c r="AW151" i="8"/>
  <c r="AV151" i="8"/>
  <c r="AU151" i="8"/>
  <c r="AT151" i="8"/>
  <c r="AS151" i="8"/>
  <c r="AR151" i="8"/>
  <c r="AQ151" i="8"/>
  <c r="AP151" i="8"/>
  <c r="AO151" i="8"/>
  <c r="AN151" i="8"/>
  <c r="BK137" i="8"/>
  <c r="BJ137" i="8"/>
  <c r="BI137" i="8"/>
  <c r="BH137" i="8"/>
  <c r="BG137" i="8"/>
  <c r="BF137" i="8"/>
  <c r="BE137" i="8"/>
  <c r="BD137" i="8"/>
  <c r="BC137" i="8"/>
  <c r="BB137" i="8"/>
  <c r="BA137" i="8"/>
  <c r="AZ137" i="8"/>
  <c r="AY137" i="8"/>
  <c r="AX137" i="8"/>
  <c r="AW137" i="8"/>
  <c r="AV137" i="8"/>
  <c r="AU137" i="8"/>
  <c r="AT137" i="8"/>
  <c r="AS137" i="8"/>
  <c r="AQ137" i="8"/>
  <c r="AP137" i="8"/>
  <c r="AO137" i="8"/>
  <c r="AM137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Y164" i="8" l="1"/>
  <c r="AC164" i="8"/>
  <c r="AG164" i="8"/>
  <c r="AK164" i="8"/>
  <c r="BK164" i="8"/>
  <c r="BK173" i="8"/>
  <c r="BR173" i="8"/>
  <c r="Z164" i="8"/>
  <c r="AD164" i="8"/>
  <c r="BH164" i="8"/>
  <c r="BH173" i="8"/>
  <c r="BO173" i="8"/>
  <c r="BS173" i="8"/>
  <c r="AA164" i="8"/>
  <c r="AE164" i="8"/>
  <c r="BI164" i="8"/>
  <c r="BP173" i="8"/>
  <c r="X164" i="8"/>
  <c r="AB164" i="8"/>
  <c r="AF164" i="8"/>
  <c r="AJ164" i="8"/>
  <c r="BJ164" i="8"/>
  <c r="BJ173" i="8"/>
  <c r="BQ173" i="8"/>
  <c r="BI173" i="8"/>
  <c r="E15" i="8"/>
  <c r="R59" i="2" l="1"/>
  <c r="Y181" i="8" l="1"/>
  <c r="Y185" i="8"/>
  <c r="Y14" i="8" l="1"/>
  <c r="Y10" i="8"/>
  <c r="U149" i="4"/>
  <c r="U142" i="4"/>
  <c r="U136" i="4"/>
  <c r="U151" i="4" l="1"/>
  <c r="U144" i="4"/>
  <c r="U138" i="4"/>
  <c r="U152" i="4"/>
  <c r="U154" i="4" l="1"/>
  <c r="Z181" i="8" l="1"/>
  <c r="E260" i="8" l="1"/>
  <c r="C260" i="8"/>
  <c r="E204" i="8"/>
  <c r="C204" i="8"/>
  <c r="E166" i="8"/>
  <c r="C166" i="8"/>
  <c r="E141" i="8"/>
  <c r="C141" i="8"/>
  <c r="E67" i="8"/>
  <c r="C67" i="8"/>
  <c r="C169" i="8"/>
  <c r="E169" i="8"/>
  <c r="E255" i="8"/>
  <c r="E254" i="8"/>
  <c r="E252" i="8"/>
  <c r="E251" i="8"/>
  <c r="E250" i="8"/>
  <c r="E248" i="8"/>
  <c r="E245" i="8"/>
  <c r="E243" i="8"/>
  <c r="E242" i="8"/>
  <c r="E240" i="8"/>
  <c r="E239" i="8"/>
  <c r="E238" i="8"/>
  <c r="E236" i="8"/>
  <c r="E195" i="8"/>
  <c r="E194" i="8"/>
  <c r="E193" i="8"/>
  <c r="E192" i="8"/>
  <c r="E191" i="8"/>
  <c r="E188" i="8"/>
  <c r="E187" i="8"/>
  <c r="E186" i="8"/>
  <c r="E184" i="8"/>
  <c r="E183" i="8"/>
  <c r="E42" i="8" l="1"/>
  <c r="E21" i="8"/>
  <c r="E20" i="8"/>
  <c r="E12" i="8"/>
  <c r="E11" i="8"/>
  <c r="C41" i="7"/>
  <c r="D41" i="7"/>
  <c r="E41" i="7"/>
  <c r="C42" i="7"/>
  <c r="D42" i="7"/>
  <c r="E42" i="7"/>
  <c r="E40" i="7"/>
  <c r="D40" i="7"/>
  <c r="C40" i="7"/>
  <c r="E19" i="6"/>
  <c r="D19" i="6"/>
  <c r="C19" i="6"/>
  <c r="E18" i="6"/>
  <c r="D18" i="6"/>
  <c r="C18" i="6"/>
  <c r="E15" i="6"/>
  <c r="D15" i="6"/>
  <c r="C15" i="6"/>
  <c r="E14" i="6"/>
  <c r="D14" i="6"/>
  <c r="C14" i="6"/>
  <c r="E21" i="4"/>
  <c r="D21" i="4"/>
  <c r="C21" i="4"/>
  <c r="E19" i="4"/>
  <c r="D19" i="4"/>
  <c r="C19" i="4"/>
  <c r="E18" i="4"/>
  <c r="D18" i="4"/>
  <c r="C18" i="4"/>
  <c r="E16" i="4"/>
  <c r="D16" i="4"/>
  <c r="C16" i="4"/>
  <c r="E13" i="4"/>
  <c r="D13" i="4"/>
  <c r="C13" i="4"/>
  <c r="E12" i="4"/>
  <c r="D12" i="4"/>
  <c r="C12" i="4"/>
  <c r="E43" i="3"/>
  <c r="D43" i="3"/>
  <c r="C43" i="3"/>
  <c r="E39" i="3"/>
  <c r="D39" i="3"/>
  <c r="C39" i="3"/>
  <c r="C38" i="3"/>
  <c r="E36" i="3"/>
  <c r="D36" i="3"/>
  <c r="C36" i="3"/>
  <c r="E28" i="3"/>
  <c r="D28" i="3"/>
  <c r="C28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2" i="3"/>
  <c r="D22" i="3"/>
  <c r="C22" i="3"/>
  <c r="E18" i="3"/>
  <c r="D18" i="3"/>
  <c r="C18" i="3"/>
  <c r="S31" i="6" l="1"/>
  <c r="S37" i="6"/>
  <c r="S22" i="6"/>
  <c r="S59" i="2"/>
  <c r="C265" i="8"/>
  <c r="V18" i="7"/>
  <c r="W18" i="7"/>
  <c r="X18" i="7"/>
  <c r="V23" i="7"/>
  <c r="W23" i="7"/>
  <c r="X23" i="7"/>
  <c r="V30" i="7"/>
  <c r="W30" i="7"/>
  <c r="X30" i="7"/>
  <c r="V136" i="4"/>
  <c r="V142" i="4"/>
  <c r="V149" i="4"/>
  <c r="C209" i="8" l="1"/>
  <c r="C213" i="8"/>
  <c r="C219" i="8"/>
  <c r="C223" i="8"/>
  <c r="C279" i="8"/>
  <c r="C283" i="8"/>
  <c r="C220" i="8"/>
  <c r="C276" i="8"/>
  <c r="C280" i="8"/>
  <c r="C212" i="8"/>
  <c r="C214" i="8"/>
  <c r="C211" i="8"/>
  <c r="C215" i="8"/>
  <c r="C221" i="8"/>
  <c r="C277" i="8"/>
  <c r="C216" i="8"/>
  <c r="C222" i="8"/>
  <c r="C278" i="8"/>
  <c r="C282" i="8"/>
  <c r="P12" i="2"/>
  <c r="C267" i="8"/>
  <c r="C271" i="8"/>
  <c r="C268" i="8"/>
  <c r="C273" i="8"/>
  <c r="C266" i="8"/>
  <c r="C270" i="8"/>
  <c r="V138" i="4"/>
  <c r="V151" i="4"/>
  <c r="V144" i="4"/>
  <c r="S40" i="6"/>
  <c r="S39" i="6"/>
  <c r="S33" i="6"/>
  <c r="S34" i="6"/>
  <c r="X33" i="7"/>
  <c r="V152" i="4"/>
  <c r="C103" i="8"/>
  <c r="C72" i="8"/>
  <c r="C81" i="8"/>
  <c r="V33" i="7"/>
  <c r="W24" i="7"/>
  <c r="C31" i="4"/>
  <c r="C204" i="4"/>
  <c r="C99" i="4"/>
  <c r="C30" i="6"/>
  <c r="C36" i="6"/>
  <c r="C20" i="6"/>
  <c r="C80" i="8"/>
  <c r="W33" i="7"/>
  <c r="V24" i="7"/>
  <c r="X24" i="7"/>
  <c r="V154" i="4" l="1"/>
  <c r="C284" i="8"/>
  <c r="C226" i="8"/>
  <c r="V32" i="7"/>
  <c r="W32" i="7"/>
  <c r="X32" i="7"/>
  <c r="E43" i="2" l="1"/>
  <c r="E160" i="8"/>
  <c r="E43" i="8"/>
  <c r="C208" i="8" l="1"/>
  <c r="AA10" i="8"/>
  <c r="AA249" i="8"/>
  <c r="AA237" i="8"/>
  <c r="C70" i="8" l="1"/>
  <c r="C71" i="8"/>
  <c r="C217" i="8"/>
  <c r="C56" i="3" l="1"/>
  <c r="T59" i="2"/>
  <c r="C58" i="3" l="1"/>
  <c r="C37" i="3" l="1"/>
  <c r="AA181" i="8"/>
  <c r="E31" i="4" l="1"/>
  <c r="W136" i="4"/>
  <c r="W142" i="4"/>
  <c r="W149" i="4"/>
  <c r="E30" i="6" l="1"/>
  <c r="E20" i="6"/>
  <c r="E36" i="6"/>
  <c r="W151" i="4"/>
  <c r="W144" i="4"/>
  <c r="E99" i="4"/>
  <c r="E204" i="4"/>
  <c r="C21" i="6"/>
  <c r="W152" i="4"/>
  <c r="W138" i="4"/>
  <c r="AB181" i="8"/>
  <c r="AB24" i="4"/>
  <c r="X38" i="3"/>
  <c r="C37" i="6" l="1"/>
  <c r="C31" i="6"/>
  <c r="W154" i="4"/>
  <c r="E38" i="3"/>
  <c r="D38" i="3"/>
  <c r="C74" i="8"/>
  <c r="C73" i="8"/>
  <c r="C227" i="8"/>
  <c r="C22" i="6"/>
  <c r="C151" i="8" l="1"/>
  <c r="C228" i="8"/>
  <c r="C150" i="8"/>
  <c r="C146" i="8"/>
  <c r="C76" i="8"/>
  <c r="C145" i="8"/>
  <c r="AE249" i="8"/>
  <c r="AD249" i="8"/>
  <c r="AC249" i="8"/>
  <c r="E249" i="8"/>
  <c r="X237" i="8"/>
  <c r="AB49" i="8"/>
  <c r="E237" i="8" l="1"/>
  <c r="C102" i="8"/>
  <c r="X181" i="8" l="1"/>
  <c r="E181" i="8" l="1"/>
  <c r="X10" i="8" l="1"/>
  <c r="AB46" i="3"/>
  <c r="X46" i="3"/>
  <c r="AB27" i="3"/>
  <c r="X27" i="3"/>
  <c r="E10" i="8" l="1"/>
  <c r="E27" i="3"/>
  <c r="D27" i="3"/>
  <c r="X123" i="4"/>
  <c r="X117" i="4"/>
  <c r="X204" i="4" l="1"/>
  <c r="X99" i="4" l="1"/>
  <c r="BC88" i="2" l="1"/>
  <c r="BB88" i="2"/>
  <c r="BA88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U43" i="2" l="1"/>
  <c r="U50" i="2"/>
  <c r="U59" i="2"/>
  <c r="U71" i="2"/>
  <c r="U72" i="2"/>
  <c r="BS43" i="8" l="1"/>
  <c r="BR43" i="8"/>
  <c r="BQ43" i="8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BA43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I43" i="8"/>
  <c r="AB10" i="8"/>
  <c r="AI41" i="8" l="1"/>
  <c r="X71" i="8"/>
  <c r="X72" i="8"/>
  <c r="X77" i="8"/>
  <c r="X79" i="8"/>
  <c r="X80" i="8"/>
  <c r="X81" i="8"/>
  <c r="X82" i="8"/>
  <c r="X83" i="8"/>
  <c r="X84" i="8"/>
  <c r="X93" i="8"/>
  <c r="X94" i="8"/>
  <c r="X97" i="8"/>
  <c r="X98" i="8"/>
  <c r="X99" i="8"/>
  <c r="X102" i="8"/>
  <c r="X103" i="8"/>
  <c r="X105" i="8"/>
  <c r="X132" i="8"/>
  <c r="X136" i="8"/>
  <c r="X180" i="8"/>
  <c r="X198" i="8"/>
  <c r="X199" i="8"/>
  <c r="X209" i="8"/>
  <c r="X210" i="8"/>
  <c r="X211" i="8"/>
  <c r="X212" i="8"/>
  <c r="X214" i="8"/>
  <c r="X215" i="8"/>
  <c r="X216" i="8"/>
  <c r="X221" i="8"/>
  <c r="X219" i="8"/>
  <c r="X220" i="8"/>
  <c r="X224" i="8"/>
  <c r="X222" i="8"/>
  <c r="X223" i="8"/>
  <c r="X225" i="8"/>
  <c r="X246" i="8"/>
  <c r="X256" i="8"/>
  <c r="X265" i="8"/>
  <c r="X264" i="8"/>
  <c r="X266" i="8"/>
  <c r="X267" i="8"/>
  <c r="X268" i="8"/>
  <c r="X270" i="8"/>
  <c r="X269" i="8"/>
  <c r="X271" i="8"/>
  <c r="X272" i="8"/>
  <c r="X273" i="8"/>
  <c r="X276" i="8"/>
  <c r="X277" i="8"/>
  <c r="X279" i="8"/>
  <c r="X278" i="8"/>
  <c r="X280" i="8"/>
  <c r="X281" i="8"/>
  <c r="X282" i="8"/>
  <c r="X283" i="8"/>
  <c r="X70" i="8"/>
  <c r="Y70" i="8"/>
  <c r="AA13" i="8"/>
  <c r="Y13" i="8"/>
  <c r="Y71" i="8"/>
  <c r="Z71" i="8"/>
  <c r="AA71" i="8"/>
  <c r="Y72" i="8"/>
  <c r="Z72" i="8"/>
  <c r="AA72" i="8"/>
  <c r="Z74" i="8"/>
  <c r="AA74" i="8"/>
  <c r="Y77" i="8"/>
  <c r="Z77" i="8"/>
  <c r="AA77" i="8"/>
  <c r="Y79" i="8"/>
  <c r="Z79" i="8"/>
  <c r="AA79" i="8"/>
  <c r="Y80" i="8"/>
  <c r="Z80" i="8"/>
  <c r="AA80" i="8"/>
  <c r="Y81" i="8"/>
  <c r="Z81" i="8"/>
  <c r="AA81" i="8"/>
  <c r="Y82" i="8"/>
  <c r="Z82" i="8"/>
  <c r="AA82" i="8"/>
  <c r="Y83" i="8"/>
  <c r="Z83" i="8"/>
  <c r="AA83" i="8"/>
  <c r="Y84" i="8"/>
  <c r="Z84" i="8"/>
  <c r="AA84" i="8"/>
  <c r="Y93" i="8"/>
  <c r="Z93" i="8"/>
  <c r="Y94" i="8"/>
  <c r="Y97" i="8"/>
  <c r="Z97" i="8"/>
  <c r="AA97" i="8"/>
  <c r="Y98" i="8"/>
  <c r="Z98" i="8"/>
  <c r="AA98" i="8"/>
  <c r="Y99" i="8"/>
  <c r="Z99" i="8"/>
  <c r="AA99" i="8"/>
  <c r="Y102" i="8"/>
  <c r="Z102" i="8"/>
  <c r="AA102" i="8"/>
  <c r="Y103" i="8"/>
  <c r="Z103" i="8"/>
  <c r="AA103" i="8"/>
  <c r="Y105" i="8"/>
  <c r="Z105" i="8"/>
  <c r="AA105" i="8"/>
  <c r="Y132" i="8"/>
  <c r="Z132" i="8"/>
  <c r="AA132" i="8"/>
  <c r="Y133" i="8"/>
  <c r="Z133" i="8"/>
  <c r="AA133" i="8"/>
  <c r="Y136" i="8"/>
  <c r="Z136" i="8"/>
  <c r="AA136" i="8"/>
  <c r="Y180" i="8"/>
  <c r="Z180" i="8"/>
  <c r="AA180" i="8"/>
  <c r="E185" i="8"/>
  <c r="Y198" i="8"/>
  <c r="Z198" i="8"/>
  <c r="AA198" i="8"/>
  <c r="Y199" i="8"/>
  <c r="Z199" i="8"/>
  <c r="AA199" i="8"/>
  <c r="Y209" i="8"/>
  <c r="Z209" i="8"/>
  <c r="AA209" i="8"/>
  <c r="Y210" i="8"/>
  <c r="Z210" i="8"/>
  <c r="AA210" i="8"/>
  <c r="Y211" i="8"/>
  <c r="Z211" i="8"/>
  <c r="AA211" i="8"/>
  <c r="Y212" i="8"/>
  <c r="Z212" i="8"/>
  <c r="AA212" i="8"/>
  <c r="Y214" i="8"/>
  <c r="Z214" i="8"/>
  <c r="AA214" i="8"/>
  <c r="Y215" i="8"/>
  <c r="Z215" i="8"/>
  <c r="AA215" i="8"/>
  <c r="Y216" i="8"/>
  <c r="Z216" i="8"/>
  <c r="AA216" i="8"/>
  <c r="Y213" i="8"/>
  <c r="Z213" i="8"/>
  <c r="AA213" i="8"/>
  <c r="Y221" i="8"/>
  <c r="Z221" i="8"/>
  <c r="AA221" i="8"/>
  <c r="Y219" i="8"/>
  <c r="Z219" i="8"/>
  <c r="AA219" i="8"/>
  <c r="Y220" i="8"/>
  <c r="Z220" i="8"/>
  <c r="AA220" i="8"/>
  <c r="Y224" i="8"/>
  <c r="Z224" i="8"/>
  <c r="AA224" i="8"/>
  <c r="Y222" i="8"/>
  <c r="Z222" i="8"/>
  <c r="AA222" i="8"/>
  <c r="Y223" i="8"/>
  <c r="Z223" i="8"/>
  <c r="AA223" i="8"/>
  <c r="Y225" i="8"/>
  <c r="Z225" i="8"/>
  <c r="AA225" i="8"/>
  <c r="Y246" i="8"/>
  <c r="Z246" i="8"/>
  <c r="AA246" i="8"/>
  <c r="AA256" i="8"/>
  <c r="Y256" i="8"/>
  <c r="Z256" i="8"/>
  <c r="Y265" i="8"/>
  <c r="Z265" i="8"/>
  <c r="AA265" i="8"/>
  <c r="Y264" i="8"/>
  <c r="Z264" i="8"/>
  <c r="AA264" i="8"/>
  <c r="Y266" i="8"/>
  <c r="Z266" i="8"/>
  <c r="AA266" i="8"/>
  <c r="Y267" i="8"/>
  <c r="Z267" i="8"/>
  <c r="AA267" i="8"/>
  <c r="Y268" i="8"/>
  <c r="Z268" i="8"/>
  <c r="AA268" i="8"/>
  <c r="Y270" i="8"/>
  <c r="Z270" i="8"/>
  <c r="AA270" i="8"/>
  <c r="Y269" i="8"/>
  <c r="Z269" i="8"/>
  <c r="AA269" i="8"/>
  <c r="Y271" i="8"/>
  <c r="Z271" i="8"/>
  <c r="AA271" i="8"/>
  <c r="Y272" i="8"/>
  <c r="Z272" i="8"/>
  <c r="AA272" i="8"/>
  <c r="Y273" i="8"/>
  <c r="Z273" i="8"/>
  <c r="AA273" i="8"/>
  <c r="Y276" i="8"/>
  <c r="Z276" i="8"/>
  <c r="AA276" i="8"/>
  <c r="Y277" i="8"/>
  <c r="Z277" i="8"/>
  <c r="AA277" i="8"/>
  <c r="Y279" i="8"/>
  <c r="AA279" i="8"/>
  <c r="Y278" i="8"/>
  <c r="Z278" i="8"/>
  <c r="AA278" i="8"/>
  <c r="Y280" i="8"/>
  <c r="Z280" i="8"/>
  <c r="AA280" i="8"/>
  <c r="Y281" i="8"/>
  <c r="Z281" i="8"/>
  <c r="AA281" i="8"/>
  <c r="Y282" i="8"/>
  <c r="Z282" i="8"/>
  <c r="AA282" i="8"/>
  <c r="Y283" i="8"/>
  <c r="Z283" i="8"/>
  <c r="AA283" i="8"/>
  <c r="X20" i="6"/>
  <c r="X21" i="6"/>
  <c r="X30" i="6"/>
  <c r="X36" i="6"/>
  <c r="X24" i="4"/>
  <c r="X69" i="4"/>
  <c r="X78" i="4"/>
  <c r="X87" i="4"/>
  <c r="X96" i="4"/>
  <c r="X100" i="4"/>
  <c r="X112" i="4"/>
  <c r="X118" i="4"/>
  <c r="X125" i="4"/>
  <c r="X129" i="4"/>
  <c r="X136" i="4"/>
  <c r="X142" i="4"/>
  <c r="X149" i="4"/>
  <c r="X160" i="4"/>
  <c r="X166" i="4"/>
  <c r="X173" i="4"/>
  <c r="X177" i="4"/>
  <c r="X184" i="4"/>
  <c r="X190" i="4"/>
  <c r="X197" i="4"/>
  <c r="X201" i="4"/>
  <c r="X216" i="4"/>
  <c r="X19" i="3"/>
  <c r="X37" i="3"/>
  <c r="X56" i="3"/>
  <c r="Z101" i="8" l="1"/>
  <c r="Y101" i="8"/>
  <c r="AA101" i="8"/>
  <c r="X101" i="8"/>
  <c r="Z151" i="8"/>
  <c r="E209" i="8"/>
  <c r="Y151" i="8"/>
  <c r="U26" i="2"/>
  <c r="E282" i="8"/>
  <c r="E136" i="8"/>
  <c r="X151" i="8"/>
  <c r="E220" i="8"/>
  <c r="E216" i="8"/>
  <c r="E211" i="8"/>
  <c r="AA151" i="8"/>
  <c r="E21" i="6"/>
  <c r="E56" i="3"/>
  <c r="E37" i="3"/>
  <c r="X205" i="4"/>
  <c r="X175" i="4"/>
  <c r="X220" i="4"/>
  <c r="X219" i="4"/>
  <c r="X168" i="4"/>
  <c r="X218" i="4"/>
  <c r="E103" i="8"/>
  <c r="E280" i="8"/>
  <c r="E277" i="8"/>
  <c r="E273" i="8"/>
  <c r="E270" i="8"/>
  <c r="E271" i="8"/>
  <c r="E267" i="8"/>
  <c r="E222" i="8"/>
  <c r="E221" i="8"/>
  <c r="E198" i="8"/>
  <c r="E180" i="8"/>
  <c r="E214" i="8"/>
  <c r="E132" i="8"/>
  <c r="E80" i="8"/>
  <c r="E72" i="8"/>
  <c r="E283" i="8"/>
  <c r="E278" i="8"/>
  <c r="E276" i="8"/>
  <c r="E266" i="8"/>
  <c r="E256" i="8"/>
  <c r="E212" i="8"/>
  <c r="E199" i="8"/>
  <c r="E137" i="8"/>
  <c r="E14" i="8"/>
  <c r="E268" i="8"/>
  <c r="E265" i="8"/>
  <c r="E223" i="8"/>
  <c r="E219" i="8"/>
  <c r="E215" i="8"/>
  <c r="E81" i="8"/>
  <c r="E71" i="8"/>
  <c r="X37" i="6"/>
  <c r="X60" i="6"/>
  <c r="X31" i="6"/>
  <c r="AA189" i="8"/>
  <c r="AA135" i="8"/>
  <c r="AA131" i="8"/>
  <c r="Y131" i="8"/>
  <c r="Y135" i="8"/>
  <c r="X47" i="3"/>
  <c r="X199" i="4"/>
  <c r="X186" i="4"/>
  <c r="X176" i="4"/>
  <c r="X162" i="4"/>
  <c r="X151" i="4"/>
  <c r="X138" i="4"/>
  <c r="X120" i="4"/>
  <c r="X114" i="4"/>
  <c r="X98" i="4"/>
  <c r="X80" i="4"/>
  <c r="X71" i="4"/>
  <c r="X214" i="4"/>
  <c r="U61" i="2"/>
  <c r="U11" i="2"/>
  <c r="X58" i="3"/>
  <c r="X22" i="6"/>
  <c r="X66" i="3"/>
  <c r="X29" i="3"/>
  <c r="X189" i="8"/>
  <c r="X147" i="8"/>
  <c r="Z147" i="8"/>
  <c r="X13" i="8"/>
  <c r="Y226" i="8"/>
  <c r="X208" i="8"/>
  <c r="X227" i="8"/>
  <c r="AA208" i="8"/>
  <c r="Z227" i="8"/>
  <c r="Z200" i="8"/>
  <c r="Y208" i="8"/>
  <c r="X200" i="8"/>
  <c r="Y284" i="8"/>
  <c r="Y189" i="8"/>
  <c r="X284" i="8"/>
  <c r="AA146" i="8"/>
  <c r="Z146" i="8"/>
  <c r="Y147" i="8"/>
  <c r="AA70" i="8"/>
  <c r="Z13" i="8"/>
  <c r="X257" i="8"/>
  <c r="X226" i="8"/>
  <c r="X74" i="8"/>
  <c r="Y146" i="8"/>
  <c r="Y74" i="8"/>
  <c r="X213" i="8"/>
  <c r="Y257" i="8"/>
  <c r="X274" i="8"/>
  <c r="X146" i="8"/>
  <c r="AA150" i="8"/>
  <c r="X150" i="8"/>
  <c r="AA274" i="8"/>
  <c r="Y274" i="8"/>
  <c r="AA147" i="8"/>
  <c r="Y16" i="8"/>
  <c r="Z274" i="8"/>
  <c r="Z226" i="8"/>
  <c r="AA227" i="8"/>
  <c r="Y200" i="8"/>
  <c r="AA284" i="8"/>
  <c r="Z257" i="8"/>
  <c r="AA200" i="8"/>
  <c r="Z150" i="8"/>
  <c r="Y150" i="8"/>
  <c r="AA16" i="8"/>
  <c r="AA73" i="8"/>
  <c r="AA257" i="8"/>
  <c r="Z279" i="8"/>
  <c r="Y227" i="8"/>
  <c r="Z208" i="8"/>
  <c r="Z189" i="8"/>
  <c r="AA226" i="8"/>
  <c r="Z70" i="8"/>
  <c r="X192" i="4"/>
  <c r="X200" i="4"/>
  <c r="X127" i="4"/>
  <c r="X144" i="4"/>
  <c r="X152" i="4"/>
  <c r="X101" i="4"/>
  <c r="X89" i="4"/>
  <c r="X128" i="4"/>
  <c r="X49" i="6" l="1"/>
  <c r="AA173" i="8"/>
  <c r="Y161" i="8"/>
  <c r="X173" i="8"/>
  <c r="Y173" i="8"/>
  <c r="Z173" i="8"/>
  <c r="E13" i="8"/>
  <c r="Y217" i="8"/>
  <c r="E213" i="8"/>
  <c r="Y201" i="8"/>
  <c r="X55" i="6"/>
  <c r="X51" i="6"/>
  <c r="X52" i="6"/>
  <c r="X48" i="6"/>
  <c r="E22" i="6"/>
  <c r="E37" i="6"/>
  <c r="E31" i="6"/>
  <c r="X56" i="6"/>
  <c r="X53" i="6"/>
  <c r="X47" i="6"/>
  <c r="X54" i="6"/>
  <c r="X57" i="6"/>
  <c r="X50" i="6"/>
  <c r="X58" i="6"/>
  <c r="E189" i="8"/>
  <c r="X59" i="6"/>
  <c r="E70" i="8"/>
  <c r="E227" i="8"/>
  <c r="E226" i="8"/>
  <c r="E200" i="8"/>
  <c r="E58" i="3"/>
  <c r="Z284" i="8"/>
  <c r="E279" i="8"/>
  <c r="X59" i="3"/>
  <c r="Y285" i="8"/>
  <c r="AA201" i="8"/>
  <c r="AA217" i="8"/>
  <c r="AA145" i="8"/>
  <c r="AA161" i="8"/>
  <c r="AA149" i="8"/>
  <c r="X131" i="8"/>
  <c r="X135" i="8"/>
  <c r="X80" i="3"/>
  <c r="Z73" i="8"/>
  <c r="Z131" i="8"/>
  <c r="Z135" i="8"/>
  <c r="Z201" i="8"/>
  <c r="Z217" i="8"/>
  <c r="X201" i="8"/>
  <c r="X73" i="8"/>
  <c r="X16" i="8"/>
  <c r="X178" i="4"/>
  <c r="X154" i="4"/>
  <c r="X130" i="4"/>
  <c r="X77" i="3"/>
  <c r="X74" i="3"/>
  <c r="X75" i="3"/>
  <c r="X79" i="3"/>
  <c r="X222" i="4"/>
  <c r="U62" i="2"/>
  <c r="U12" i="2"/>
  <c r="X40" i="6"/>
  <c r="X34" i="6"/>
  <c r="X39" i="6"/>
  <c r="X33" i="6"/>
  <c r="X73" i="3"/>
  <c r="X76" i="3"/>
  <c r="U10" i="2"/>
  <c r="X78" i="3"/>
  <c r="U14" i="2"/>
  <c r="U35" i="2"/>
  <c r="AA285" i="8"/>
  <c r="X217" i="8"/>
  <c r="Z16" i="8"/>
  <c r="X285" i="8"/>
  <c r="Y73" i="8"/>
  <c r="Y40" i="8"/>
  <c r="AA40" i="8"/>
  <c r="AA76" i="8"/>
  <c r="X202" i="4"/>
  <c r="Y228" i="8" l="1"/>
  <c r="E201" i="8"/>
  <c r="X161" i="8"/>
  <c r="E284" i="8"/>
  <c r="E131" i="8"/>
  <c r="U25" i="2"/>
  <c r="X40" i="8"/>
  <c r="AA228" i="8"/>
  <c r="U15" i="2"/>
  <c r="X91" i="3"/>
  <c r="U24" i="2"/>
  <c r="P45" i="2"/>
  <c r="P52" i="2"/>
  <c r="E74" i="8"/>
  <c r="E73" i="8"/>
  <c r="X89" i="3"/>
  <c r="X94" i="3"/>
  <c r="X93" i="3"/>
  <c r="X92" i="3"/>
  <c r="X90" i="3"/>
  <c r="X88" i="3"/>
  <c r="Z285" i="8"/>
  <c r="Z40" i="8"/>
  <c r="E16" i="8"/>
  <c r="Z161" i="8"/>
  <c r="X145" i="8"/>
  <c r="AA100" i="8"/>
  <c r="AA170" i="8"/>
  <c r="Z145" i="8"/>
  <c r="Z149" i="8"/>
  <c r="Z228" i="8"/>
  <c r="X149" i="8"/>
  <c r="X76" i="8"/>
  <c r="X81" i="3"/>
  <c r="X228" i="8"/>
  <c r="Y44" i="8"/>
  <c r="AA44" i="8"/>
  <c r="Z76" i="8"/>
  <c r="Y76" i="8"/>
  <c r="Y145" i="8"/>
  <c r="Y149" i="8"/>
  <c r="X206" i="4"/>
  <c r="X213" i="4"/>
  <c r="X44" i="8" l="1"/>
  <c r="Y47" i="8"/>
  <c r="E151" i="8"/>
  <c r="U44" i="2"/>
  <c r="U16" i="2"/>
  <c r="X95" i="3"/>
  <c r="Y170" i="8"/>
  <c r="E150" i="8"/>
  <c r="E146" i="8"/>
  <c r="Y100" i="8"/>
  <c r="E145" i="8"/>
  <c r="Z44" i="8"/>
  <c r="Z170" i="8"/>
  <c r="Z100" i="8"/>
  <c r="E76" i="8"/>
  <c r="X100" i="8"/>
  <c r="U33" i="2"/>
  <c r="U34" i="2"/>
  <c r="AA104" i="8"/>
  <c r="AA47" i="8"/>
  <c r="X170" i="8"/>
  <c r="X47" i="8" l="1"/>
  <c r="Y49" i="8"/>
  <c r="AA49" i="8"/>
  <c r="E102" i="8"/>
  <c r="X49" i="8"/>
  <c r="Z47" i="8"/>
  <c r="X107" i="8"/>
  <c r="Y104" i="8"/>
  <c r="Z104" i="8"/>
  <c r="X104" i="8"/>
  <c r="U51" i="2"/>
  <c r="AA107" i="8"/>
  <c r="Y107" i="8" l="1"/>
  <c r="X139" i="8"/>
  <c r="Z49" i="8"/>
  <c r="AA61" i="8"/>
  <c r="Y139" i="8"/>
  <c r="X109" i="8"/>
  <c r="AA139" i="8"/>
  <c r="Y61" i="8"/>
  <c r="AA109" i="8"/>
  <c r="Z107" i="8"/>
  <c r="X61" i="8"/>
  <c r="X153" i="8" l="1"/>
  <c r="U27" i="2"/>
  <c r="Z61" i="8"/>
  <c r="Y109" i="8"/>
  <c r="Z109" i="8"/>
  <c r="Z139" i="8"/>
  <c r="AA121" i="8"/>
  <c r="AA63" i="8"/>
  <c r="AA123" i="8"/>
  <c r="X123" i="8"/>
  <c r="AA153" i="8"/>
  <c r="X121" i="8"/>
  <c r="Y63" i="8"/>
  <c r="X63" i="8"/>
  <c r="U36" i="2" l="1"/>
  <c r="Z121" i="8"/>
  <c r="Z123" i="8"/>
  <c r="Y123" i="8"/>
  <c r="Z63" i="8"/>
  <c r="Y121" i="8"/>
  <c r="Y153" i="8"/>
  <c r="Z153" i="8"/>
  <c r="Y201" i="4"/>
  <c r="Y177" i="4"/>
  <c r="Y129" i="4"/>
  <c r="Y123" i="4"/>
  <c r="Y117" i="4"/>
  <c r="Y100" i="4"/>
  <c r="Y205" i="4" l="1"/>
  <c r="Y24" i="4"/>
  <c r="Y19" i="3"/>
  <c r="Y56" i="3"/>
  <c r="Y37" i="3"/>
  <c r="Y29" i="3" l="1"/>
  <c r="X171" i="8" l="1"/>
  <c r="V71" i="2"/>
  <c r="V72" i="2"/>
  <c r="V59" i="2"/>
  <c r="V50" i="2"/>
  <c r="V43" i="2"/>
  <c r="V10" i="2"/>
  <c r="V26" i="2"/>
  <c r="Y30" i="6"/>
  <c r="Y36" i="6"/>
  <c r="Y20" i="6"/>
  <c r="Y21" i="6"/>
  <c r="Y216" i="4"/>
  <c r="Y197" i="4"/>
  <c r="Y190" i="4"/>
  <c r="Y184" i="4"/>
  <c r="Y173" i="4"/>
  <c r="Y166" i="4"/>
  <c r="Y160" i="4"/>
  <c r="Y149" i="4"/>
  <c r="Y142" i="4"/>
  <c r="Y136" i="4"/>
  <c r="Y125" i="4"/>
  <c r="Y118" i="4"/>
  <c r="Y112" i="4"/>
  <c r="Y96" i="4"/>
  <c r="Y87" i="4"/>
  <c r="Y78" i="4"/>
  <c r="Y69" i="4"/>
  <c r="D31" i="4"/>
  <c r="Y73" i="3"/>
  <c r="Y74" i="3"/>
  <c r="Y75" i="3"/>
  <c r="Y76" i="3"/>
  <c r="Y77" i="3"/>
  <c r="Y78" i="3"/>
  <c r="Y79" i="3"/>
  <c r="Y80" i="3"/>
  <c r="Y66" i="3"/>
  <c r="Y58" i="3"/>
  <c r="D20" i="6" l="1"/>
  <c r="D36" i="6"/>
  <c r="D30" i="6"/>
  <c r="V14" i="2"/>
  <c r="Y218" i="4"/>
  <c r="Y114" i="4"/>
  <c r="X172" i="8"/>
  <c r="Y71" i="4"/>
  <c r="Y99" i="4"/>
  <c r="Y98" i="4"/>
  <c r="Y120" i="4"/>
  <c r="Y138" i="4"/>
  <c r="Y152" i="4"/>
  <c r="Y162" i="4"/>
  <c r="Y176" i="4"/>
  <c r="Y186" i="4"/>
  <c r="Y200" i="4"/>
  <c r="Y144" i="4"/>
  <c r="Y168" i="4"/>
  <c r="Y192" i="4"/>
  <c r="Y80" i="4"/>
  <c r="Y128" i="4"/>
  <c r="Y127" i="4"/>
  <c r="Y151" i="4"/>
  <c r="Y175" i="4"/>
  <c r="Y199" i="4"/>
  <c r="V15" i="2"/>
  <c r="Y31" i="6"/>
  <c r="Y89" i="4"/>
  <c r="Y81" i="3"/>
  <c r="Y37" i="6"/>
  <c r="Y60" i="6"/>
  <c r="V61" i="2"/>
  <c r="V11" i="2"/>
  <c r="V44" i="2"/>
  <c r="V24" i="2"/>
  <c r="V25" i="2"/>
  <c r="Y22" i="6"/>
  <c r="D99" i="4" l="1"/>
  <c r="Y214" i="4"/>
  <c r="Y219" i="4"/>
  <c r="U52" i="2"/>
  <c r="Y59" i="6"/>
  <c r="Y58" i="6"/>
  <c r="Y50" i="6"/>
  <c r="Y47" i="6"/>
  <c r="Y57" i="6"/>
  <c r="Y55" i="6"/>
  <c r="Y53" i="6"/>
  <c r="Y51" i="6"/>
  <c r="Y54" i="6"/>
  <c r="Y56" i="6"/>
  <c r="Y48" i="6"/>
  <c r="Y52" i="6"/>
  <c r="Y49" i="6"/>
  <c r="Y101" i="4"/>
  <c r="V62" i="2"/>
  <c r="Y154" i="4"/>
  <c r="Y130" i="4"/>
  <c r="Y178" i="4"/>
  <c r="Y204" i="4"/>
  <c r="Y202" i="4"/>
  <c r="V12" i="2"/>
  <c r="Y222" i="4"/>
  <c r="Y40" i="6"/>
  <c r="Y39" i="6"/>
  <c r="Y33" i="6"/>
  <c r="Y34" i="6"/>
  <c r="V35" i="2"/>
  <c r="D204" i="4" l="1"/>
  <c r="Y220" i="4"/>
  <c r="Y206" i="4"/>
  <c r="Y213" i="4"/>
  <c r="V34" i="2"/>
  <c r="V33" i="2"/>
  <c r="Y30" i="7"/>
  <c r="Y23" i="7"/>
  <c r="Y18" i="7"/>
  <c r="Y24" i="7" l="1"/>
  <c r="V51" i="2"/>
  <c r="Y33" i="7"/>
  <c r="Y32" i="7" l="1"/>
  <c r="V27" i="2"/>
  <c r="Z201" i="4"/>
  <c r="Z184" i="4"/>
  <c r="Z177" i="4"/>
  <c r="Z173" i="4"/>
  <c r="Z166" i="4"/>
  <c r="Z160" i="4"/>
  <c r="Z136" i="4"/>
  <c r="Z129" i="4"/>
  <c r="Z123" i="4"/>
  <c r="Z117" i="4"/>
  <c r="Z112" i="4"/>
  <c r="Z100" i="4"/>
  <c r="Z96" i="4"/>
  <c r="Z87" i="4"/>
  <c r="Z78" i="4"/>
  <c r="Z69" i="4"/>
  <c r="Z56" i="3"/>
  <c r="Z37" i="3"/>
  <c r="Z19" i="3"/>
  <c r="Z168" i="4" l="1"/>
  <c r="Z71" i="4"/>
  <c r="D37" i="3"/>
  <c r="D56" i="3"/>
  <c r="Z205" i="4"/>
  <c r="Z175" i="4"/>
  <c r="Z162" i="4"/>
  <c r="Z89" i="4"/>
  <c r="Z114" i="4"/>
  <c r="Z142" i="4"/>
  <c r="Z186" i="4"/>
  <c r="Z118" i="4"/>
  <c r="Z138" i="4"/>
  <c r="Z190" i="4"/>
  <c r="Z47" i="3"/>
  <c r="V36" i="2"/>
  <c r="Z80" i="4"/>
  <c r="Z98" i="4"/>
  <c r="Z149" i="4"/>
  <c r="Z99" i="4"/>
  <c r="Z125" i="4"/>
  <c r="Z176" i="4"/>
  <c r="Z197" i="4"/>
  <c r="Z29" i="3"/>
  <c r="Z58" i="3"/>
  <c r="Z36" i="6"/>
  <c r="Z30" i="6"/>
  <c r="Z21" i="6"/>
  <c r="Z20" i="6"/>
  <c r="D58" i="3" l="1"/>
  <c r="Z192" i="4"/>
  <c r="Z144" i="4"/>
  <c r="Z128" i="4"/>
  <c r="Z120" i="4"/>
  <c r="Z218" i="4"/>
  <c r="Z31" i="6"/>
  <c r="D21" i="6"/>
  <c r="Y172" i="8"/>
  <c r="Y171" i="8"/>
  <c r="Z60" i="6"/>
  <c r="Z199" i="4"/>
  <c r="Z178" i="4"/>
  <c r="Z200" i="4"/>
  <c r="Z101" i="4"/>
  <c r="Z152" i="4"/>
  <c r="Z151" i="4"/>
  <c r="Z127" i="4"/>
  <c r="Z37" i="6"/>
  <c r="Z59" i="3"/>
  <c r="Z22" i="6"/>
  <c r="Z214" i="4"/>
  <c r="Z216" i="4"/>
  <c r="Z219" i="4"/>
  <c r="Z130" i="4" l="1"/>
  <c r="D37" i="6"/>
  <c r="D31" i="6"/>
  <c r="D22" i="6"/>
  <c r="V52" i="2"/>
  <c r="Z59" i="6"/>
  <c r="Z58" i="6"/>
  <c r="Z50" i="6"/>
  <c r="Z47" i="6"/>
  <c r="Z55" i="6"/>
  <c r="Z53" i="6"/>
  <c r="Z51" i="6"/>
  <c r="Z49" i="6"/>
  <c r="Z56" i="6"/>
  <c r="Z54" i="6"/>
  <c r="Z57" i="6"/>
  <c r="Z48" i="6"/>
  <c r="Z52" i="6"/>
  <c r="Z154" i="4"/>
  <c r="Z204" i="4"/>
  <c r="Z202" i="4"/>
  <c r="Z222" i="4"/>
  <c r="Z39" i="6"/>
  <c r="Z33" i="6"/>
  <c r="Z40" i="6"/>
  <c r="Z34" i="6"/>
  <c r="Z220" i="4" l="1"/>
  <c r="Z206" i="4"/>
  <c r="Z213" i="4"/>
  <c r="W72" i="2" l="1"/>
  <c r="W71" i="2"/>
  <c r="W62" i="2"/>
  <c r="W61" i="2"/>
  <c r="W59" i="2"/>
  <c r="W50" i="2"/>
  <c r="W43" i="2"/>
  <c r="W12" i="2"/>
  <c r="W10" i="2"/>
  <c r="Z24" i="4" l="1"/>
  <c r="Z80" i="3"/>
  <c r="Z79" i="3"/>
  <c r="Z78" i="3"/>
  <c r="Z77" i="3"/>
  <c r="Z76" i="3"/>
  <c r="Z75" i="3"/>
  <c r="Z74" i="3"/>
  <c r="Z73" i="3"/>
  <c r="Z66" i="3"/>
  <c r="Z92" i="3"/>
  <c r="W14" i="2" l="1"/>
  <c r="W26" i="2"/>
  <c r="W11" i="2"/>
  <c r="W15" i="2"/>
  <c r="Z89" i="3"/>
  <c r="Z93" i="3"/>
  <c r="Z81" i="3"/>
  <c r="Z90" i="3"/>
  <c r="Z94" i="3"/>
  <c r="Z91" i="3"/>
  <c r="Z88" i="3"/>
  <c r="W25" i="2" l="1"/>
  <c r="W35" i="2"/>
  <c r="W24" i="2"/>
  <c r="W16" i="2"/>
  <c r="Z95" i="3"/>
  <c r="W44" i="2" l="1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X72" i="2"/>
  <c r="X71" i="2"/>
  <c r="AA129" i="4" l="1"/>
  <c r="AA123" i="4"/>
  <c r="AA117" i="4"/>
  <c r="AA24" i="4"/>
  <c r="AA56" i="3" l="1"/>
  <c r="AA58" i="3" l="1"/>
  <c r="Z172" i="8" l="1"/>
  <c r="W27" i="2"/>
  <c r="X59" i="2" l="1"/>
  <c r="X50" i="2"/>
  <c r="X43" i="2"/>
  <c r="X26" i="2" l="1"/>
  <c r="X25" i="2" l="1"/>
  <c r="X24" i="2"/>
  <c r="X34" i="2"/>
  <c r="X35" i="2"/>
  <c r="X33" i="2"/>
  <c r="X44" i="2"/>
  <c r="W33" i="2" l="1"/>
  <c r="W34" i="2"/>
  <c r="X51" i="2"/>
  <c r="Z30" i="7"/>
  <c r="Z23" i="7"/>
  <c r="Z18" i="7"/>
  <c r="AA36" i="6"/>
  <c r="AA30" i="6"/>
  <c r="AA21" i="6"/>
  <c r="AA20" i="6"/>
  <c r="AA216" i="4"/>
  <c r="AA201" i="4"/>
  <c r="AA197" i="4"/>
  <c r="AA190" i="4"/>
  <c r="AA177" i="4"/>
  <c r="AA184" i="4"/>
  <c r="AA173" i="4"/>
  <c r="AA166" i="4"/>
  <c r="AA160" i="4"/>
  <c r="AA149" i="4"/>
  <c r="AA142" i="4"/>
  <c r="AA136" i="4"/>
  <c r="AA125" i="4"/>
  <c r="AA118" i="4"/>
  <c r="AA112" i="4"/>
  <c r="AA100" i="4"/>
  <c r="AA96" i="4"/>
  <c r="AA87" i="4"/>
  <c r="AA78" i="4"/>
  <c r="AA69" i="4"/>
  <c r="AA37" i="3"/>
  <c r="AA19" i="3"/>
  <c r="AA98" i="4" l="1"/>
  <c r="AA205" i="4"/>
  <c r="AA218" i="4"/>
  <c r="W51" i="2"/>
  <c r="AA80" i="4"/>
  <c r="AA37" i="6"/>
  <c r="AA138" i="4"/>
  <c r="AA186" i="4"/>
  <c r="AA89" i="4"/>
  <c r="AA114" i="4"/>
  <c r="AA144" i="4"/>
  <c r="AA162" i="4"/>
  <c r="X61" i="2"/>
  <c r="AA99" i="4"/>
  <c r="AA120" i="4"/>
  <c r="AA151" i="4"/>
  <c r="AA168" i="4"/>
  <c r="AA192" i="4"/>
  <c r="AA175" i="4"/>
  <c r="AA199" i="4"/>
  <c r="AA29" i="3"/>
  <c r="AA47" i="3"/>
  <c r="Z33" i="7"/>
  <c r="Z24" i="7"/>
  <c r="AA60" i="6"/>
  <c r="AA22" i="6"/>
  <c r="AA200" i="4"/>
  <c r="AA176" i="4"/>
  <c r="AA152" i="4"/>
  <c r="AA127" i="4"/>
  <c r="AA128" i="4"/>
  <c r="AA71" i="4"/>
  <c r="X11" i="2"/>
  <c r="AA31" i="6"/>
  <c r="AA66" i="3"/>
  <c r="AO189" i="8"/>
  <c r="AP189" i="8"/>
  <c r="AQ189" i="8"/>
  <c r="AR189" i="8"/>
  <c r="AS189" i="8"/>
  <c r="AT189" i="8"/>
  <c r="AU189" i="8"/>
  <c r="AV189" i="8"/>
  <c r="AW189" i="8"/>
  <c r="AX189" i="8"/>
  <c r="AY189" i="8"/>
  <c r="AZ189" i="8"/>
  <c r="BA189" i="8"/>
  <c r="BB189" i="8"/>
  <c r="BC189" i="8"/>
  <c r="BD189" i="8"/>
  <c r="BE189" i="8"/>
  <c r="BF189" i="8"/>
  <c r="BG189" i="8"/>
  <c r="BH189" i="8"/>
  <c r="BI189" i="8"/>
  <c r="BJ189" i="8"/>
  <c r="BK189" i="8"/>
  <c r="BL189" i="8"/>
  <c r="BM189" i="8"/>
  <c r="BN189" i="8"/>
  <c r="BO189" i="8"/>
  <c r="BP189" i="8"/>
  <c r="BQ189" i="8"/>
  <c r="BR189" i="8"/>
  <c r="BS189" i="8"/>
  <c r="AA219" i="4" l="1"/>
  <c r="X14" i="2"/>
  <c r="AA74" i="3"/>
  <c r="AA101" i="4"/>
  <c r="AA80" i="3"/>
  <c r="AA79" i="3"/>
  <c r="AA73" i="3"/>
  <c r="AA214" i="4"/>
  <c r="AA76" i="3"/>
  <c r="AA75" i="3"/>
  <c r="AA78" i="3"/>
  <c r="Z171" i="8"/>
  <c r="AA77" i="3"/>
  <c r="AA178" i="4"/>
  <c r="X62" i="2"/>
  <c r="AA154" i="4"/>
  <c r="AA202" i="4"/>
  <c r="AA59" i="3"/>
  <c r="X10" i="2"/>
  <c r="Z32" i="7"/>
  <c r="X12" i="2"/>
  <c r="AA39" i="6"/>
  <c r="AA33" i="6"/>
  <c r="AA40" i="6"/>
  <c r="AA222" i="4"/>
  <c r="AA204" i="4"/>
  <c r="AA130" i="4"/>
  <c r="AA34" i="6"/>
  <c r="AJ85" i="8"/>
  <c r="AK85" i="8"/>
  <c r="AL85" i="8"/>
  <c r="AM85" i="8"/>
  <c r="AJ86" i="8"/>
  <c r="AK86" i="8"/>
  <c r="AL86" i="8"/>
  <c r="AM86" i="8"/>
  <c r="AJ87" i="8"/>
  <c r="AK87" i="8"/>
  <c r="AL87" i="8"/>
  <c r="AM87" i="8"/>
  <c r="AJ88" i="8"/>
  <c r="AK88" i="8"/>
  <c r="AL88" i="8"/>
  <c r="AM88" i="8"/>
  <c r="AJ89" i="8"/>
  <c r="AK89" i="8"/>
  <c r="AL89" i="8"/>
  <c r="AM89" i="8"/>
  <c r="AJ90" i="8"/>
  <c r="AK90" i="8"/>
  <c r="AL90" i="8"/>
  <c r="AM90" i="8"/>
  <c r="AJ91" i="8"/>
  <c r="AK91" i="8"/>
  <c r="AJ92" i="8"/>
  <c r="AK92" i="8"/>
  <c r="AJ93" i="8"/>
  <c r="AK93" i="8"/>
  <c r="AL93" i="8"/>
  <c r="AM93" i="8"/>
  <c r="AJ94" i="8"/>
  <c r="AK94" i="8"/>
  <c r="AL94" i="8"/>
  <c r="AM94" i="8"/>
  <c r="AJ95" i="8"/>
  <c r="AK95" i="8"/>
  <c r="AL95" i="8"/>
  <c r="AM95" i="8"/>
  <c r="AJ96" i="8"/>
  <c r="AK96" i="8"/>
  <c r="AL96" i="8"/>
  <c r="AM96" i="8"/>
  <c r="AJ97" i="8"/>
  <c r="AK97" i="8"/>
  <c r="AL97" i="8"/>
  <c r="AM97" i="8"/>
  <c r="AJ98" i="8"/>
  <c r="AK98" i="8"/>
  <c r="AL98" i="8"/>
  <c r="AM98" i="8"/>
  <c r="AM84" i="8"/>
  <c r="AL84" i="8"/>
  <c r="AK84" i="8"/>
  <c r="AJ84" i="8"/>
  <c r="AF84" i="8"/>
  <c r="AG84" i="8"/>
  <c r="AH84" i="8"/>
  <c r="AI84" i="8"/>
  <c r="AF85" i="8"/>
  <c r="AG85" i="8"/>
  <c r="AH85" i="8"/>
  <c r="AI85" i="8"/>
  <c r="AF86" i="8"/>
  <c r="AG86" i="8"/>
  <c r="AH86" i="8"/>
  <c r="AI86" i="8"/>
  <c r="AF87" i="8"/>
  <c r="AG87" i="8"/>
  <c r="AH87" i="8"/>
  <c r="AI87" i="8"/>
  <c r="AF88" i="8"/>
  <c r="AG88" i="8"/>
  <c r="AH88" i="8"/>
  <c r="AI88" i="8"/>
  <c r="AF89" i="8"/>
  <c r="AG89" i="8"/>
  <c r="AH89" i="8"/>
  <c r="AI89" i="8"/>
  <c r="AF90" i="8"/>
  <c r="AG90" i="8"/>
  <c r="AH90" i="8"/>
  <c r="AI90" i="8"/>
  <c r="AF91" i="8"/>
  <c r="AG91" i="8"/>
  <c r="AH91" i="8"/>
  <c r="AI91" i="8"/>
  <c r="AF92" i="8"/>
  <c r="AG92" i="8"/>
  <c r="AH92" i="8"/>
  <c r="AI92" i="8"/>
  <c r="AF93" i="8"/>
  <c r="AG93" i="8"/>
  <c r="AH93" i="8"/>
  <c r="AI93" i="8"/>
  <c r="AF94" i="8"/>
  <c r="AG94" i="8"/>
  <c r="AH94" i="8"/>
  <c r="AI94" i="8"/>
  <c r="AF95" i="8"/>
  <c r="AG95" i="8"/>
  <c r="AH95" i="8"/>
  <c r="AI95" i="8"/>
  <c r="AF96" i="8"/>
  <c r="AG96" i="8"/>
  <c r="AH96" i="8"/>
  <c r="AI96" i="8"/>
  <c r="AF97" i="8"/>
  <c r="AG97" i="8"/>
  <c r="AH97" i="8"/>
  <c r="AI97" i="8"/>
  <c r="AF98" i="8"/>
  <c r="AG98" i="8"/>
  <c r="AH98" i="8"/>
  <c r="AI98" i="8"/>
  <c r="AF99" i="8"/>
  <c r="AG99" i="8"/>
  <c r="AH99" i="8"/>
  <c r="AI99" i="8"/>
  <c r="AB83" i="8"/>
  <c r="AC83" i="8"/>
  <c r="AB84" i="8"/>
  <c r="AC84" i="8"/>
  <c r="X15" i="2" l="1"/>
  <c r="AA220" i="4"/>
  <c r="AI151" i="8"/>
  <c r="AM151" i="8"/>
  <c r="AH151" i="8"/>
  <c r="AL151" i="8"/>
  <c r="AG151" i="8"/>
  <c r="AK151" i="8"/>
  <c r="AF151" i="8"/>
  <c r="AJ151" i="8"/>
  <c r="AA81" i="3"/>
  <c r="X27" i="2"/>
  <c r="AA213" i="4"/>
  <c r="AA91" i="3"/>
  <c r="AA88" i="3"/>
  <c r="AA94" i="3"/>
  <c r="AA89" i="3"/>
  <c r="AA92" i="3"/>
  <c r="AA93" i="3"/>
  <c r="AA90" i="3"/>
  <c r="AA206" i="4"/>
  <c r="AC85" i="8"/>
  <c r="AC86" i="8"/>
  <c r="AC87" i="8"/>
  <c r="AC88" i="8"/>
  <c r="AC89" i="8"/>
  <c r="AC90" i="8"/>
  <c r="AC91" i="8"/>
  <c r="AC92" i="8"/>
  <c r="AC94" i="8"/>
  <c r="AC95" i="8"/>
  <c r="AC96" i="8"/>
  <c r="AC97" i="8"/>
  <c r="AB105" i="8"/>
  <c r="AE105" i="8"/>
  <c r="AD105" i="8"/>
  <c r="AF173" i="8" l="1"/>
  <c r="AJ173" i="8"/>
  <c r="AC151" i="8"/>
  <c r="W36" i="2"/>
  <c r="X36" i="2"/>
  <c r="X16" i="2"/>
  <c r="AA95" i="3"/>
  <c r="AE98" i="8"/>
  <c r="AC98" i="8"/>
  <c r="AD98" i="8"/>
  <c r="AB98" i="8"/>
  <c r="AC173" i="8" l="1"/>
  <c r="W52" i="2"/>
  <c r="AG269" i="8"/>
  <c r="AH269" i="8"/>
  <c r="AI269" i="8"/>
  <c r="AE269" i="8" l="1"/>
  <c r="AC269" i="8"/>
  <c r="AD269" i="8"/>
  <c r="AB269" i="8"/>
  <c r="AF269" i="8" l="1"/>
  <c r="AB56" i="3" l="1"/>
  <c r="AB129" i="4" l="1"/>
  <c r="AB123" i="4"/>
  <c r="AB117" i="4"/>
  <c r="AB180" i="8" l="1"/>
  <c r="AB189" i="8" l="1"/>
  <c r="AB265" i="8"/>
  <c r="AB264" i="8"/>
  <c r="AB266" i="8"/>
  <c r="AB267" i="8"/>
  <c r="AB268" i="8"/>
  <c r="AB270" i="8"/>
  <c r="AB271" i="8"/>
  <c r="AB272" i="8"/>
  <c r="AB273" i="8"/>
  <c r="AB276" i="8"/>
  <c r="AB277" i="8"/>
  <c r="AB278" i="8"/>
  <c r="AB280" i="8"/>
  <c r="AB281" i="8"/>
  <c r="AB282" i="8"/>
  <c r="AB283" i="8"/>
  <c r="AB256" i="8"/>
  <c r="AB246" i="8"/>
  <c r="AB210" i="8"/>
  <c r="AB211" i="8"/>
  <c r="AB212" i="8"/>
  <c r="AB214" i="8"/>
  <c r="AB215" i="8"/>
  <c r="AB216" i="8"/>
  <c r="AB213" i="8"/>
  <c r="AB221" i="8"/>
  <c r="AB219" i="8"/>
  <c r="AB220" i="8"/>
  <c r="AB224" i="8"/>
  <c r="AB222" i="8"/>
  <c r="AB223" i="8"/>
  <c r="AB225" i="8"/>
  <c r="AB199" i="8"/>
  <c r="AB198" i="8"/>
  <c r="AB132" i="8"/>
  <c r="AB136" i="8"/>
  <c r="AB70" i="8"/>
  <c r="AB71" i="8"/>
  <c r="AB72" i="8"/>
  <c r="AB74" i="8"/>
  <c r="AB77" i="8"/>
  <c r="AB79" i="8"/>
  <c r="AB80" i="8"/>
  <c r="AB81" i="8"/>
  <c r="AB82" i="8"/>
  <c r="AB85" i="8"/>
  <c r="AB87" i="8"/>
  <c r="AB93" i="8"/>
  <c r="AB97" i="8"/>
  <c r="AB99" i="8"/>
  <c r="AB102" i="8"/>
  <c r="AB103" i="8"/>
  <c r="AB61" i="8"/>
  <c r="AB13" i="8"/>
  <c r="AA30" i="7"/>
  <c r="AA23" i="7"/>
  <c r="AA18" i="7"/>
  <c r="AB36" i="6"/>
  <c r="AB30" i="6"/>
  <c r="AB21" i="6"/>
  <c r="AB20" i="6"/>
  <c r="AB216" i="4"/>
  <c r="AB201" i="4"/>
  <c r="AB197" i="4"/>
  <c r="AB190" i="4"/>
  <c r="AB184" i="4"/>
  <c r="AB177" i="4"/>
  <c r="AB173" i="4"/>
  <c r="AB166" i="4"/>
  <c r="AB160" i="4"/>
  <c r="AB149" i="4"/>
  <c r="AB142" i="4"/>
  <c r="AB136" i="4"/>
  <c r="AB125" i="4"/>
  <c r="AB118" i="4"/>
  <c r="AB112" i="4"/>
  <c r="AB100" i="4"/>
  <c r="AB96" i="4"/>
  <c r="AB87" i="4"/>
  <c r="AB78" i="4"/>
  <c r="AB69" i="4"/>
  <c r="AB58" i="3"/>
  <c r="AB37" i="3"/>
  <c r="AB19" i="3"/>
  <c r="Y43" i="2"/>
  <c r="Y50" i="2"/>
  <c r="Y59" i="2"/>
  <c r="Z43" i="2"/>
  <c r="AA43" i="2"/>
  <c r="AB43" i="2"/>
  <c r="Z50" i="2"/>
  <c r="AA50" i="2"/>
  <c r="AB50" i="2"/>
  <c r="Z59" i="2"/>
  <c r="AA59" i="2"/>
  <c r="AB59" i="2"/>
  <c r="AB101" i="8" l="1"/>
  <c r="AB151" i="8"/>
  <c r="X163" i="8"/>
  <c r="AB218" i="4"/>
  <c r="AB205" i="4"/>
  <c r="AA163" i="8"/>
  <c r="Y163" i="8"/>
  <c r="AA172" i="8"/>
  <c r="Z163" i="8"/>
  <c r="AB135" i="8"/>
  <c r="AB63" i="8"/>
  <c r="Y26" i="2"/>
  <c r="AB60" i="6"/>
  <c r="AB80" i="4"/>
  <c r="AB120" i="4"/>
  <c r="AB151" i="4"/>
  <c r="AB175" i="4"/>
  <c r="AB199" i="4"/>
  <c r="AB127" i="4"/>
  <c r="AB186" i="4"/>
  <c r="Y61" i="2"/>
  <c r="AB144" i="4"/>
  <c r="AB168" i="4"/>
  <c r="AB192" i="4"/>
  <c r="AB37" i="6"/>
  <c r="AB29" i="3"/>
  <c r="AB152" i="4"/>
  <c r="AB128" i="4"/>
  <c r="AB47" i="3"/>
  <c r="AB31" i="6"/>
  <c r="AB22" i="6"/>
  <c r="AB66" i="3"/>
  <c r="AA24" i="7"/>
  <c r="AA33" i="7"/>
  <c r="AB176" i="4"/>
  <c r="AB99" i="4"/>
  <c r="AB89" i="4"/>
  <c r="AB71" i="4"/>
  <c r="AB98" i="4"/>
  <c r="AB114" i="4"/>
  <c r="AB138" i="4"/>
  <c r="AB162" i="4"/>
  <c r="AB200" i="4"/>
  <c r="Y11" i="2"/>
  <c r="AB146" i="8"/>
  <c r="AB147" i="8"/>
  <c r="AB150" i="8"/>
  <c r="AB139" i="8"/>
  <c r="AB257" i="8"/>
  <c r="AB201" i="8"/>
  <c r="AB16" i="8"/>
  <c r="AB131" i="8"/>
  <c r="AB274" i="8"/>
  <c r="AB226" i="8"/>
  <c r="AB200" i="8"/>
  <c r="U45" i="2" l="1"/>
  <c r="AB161" i="8"/>
  <c r="AB173" i="8"/>
  <c r="AB59" i="6"/>
  <c r="Y14" i="2"/>
  <c r="AB59" i="3"/>
  <c r="AB50" i="6"/>
  <c r="AB54" i="6"/>
  <c r="AB47" i="6"/>
  <c r="AB57" i="6"/>
  <c r="AB51" i="6"/>
  <c r="AB56" i="6"/>
  <c r="AB49" i="6"/>
  <c r="AB53" i="6"/>
  <c r="AB58" i="6"/>
  <c r="AB52" i="6"/>
  <c r="AB48" i="6"/>
  <c r="AB55" i="6"/>
  <c r="AB73" i="3"/>
  <c r="X162" i="8"/>
  <c r="AB101" i="4"/>
  <c r="Y10" i="2"/>
  <c r="AA162" i="8"/>
  <c r="Y162" i="8"/>
  <c r="Z162" i="8"/>
  <c r="AA171" i="8"/>
  <c r="AB77" i="3"/>
  <c r="AB75" i="3"/>
  <c r="Y24" i="2"/>
  <c r="AB78" i="3"/>
  <c r="V45" i="2"/>
  <c r="AB214" i="4"/>
  <c r="W45" i="2"/>
  <c r="Y44" i="2"/>
  <c r="Y35" i="2"/>
  <c r="Y25" i="2"/>
  <c r="AA32" i="7"/>
  <c r="AB154" i="4"/>
  <c r="AB178" i="4"/>
  <c r="AB130" i="4"/>
  <c r="AB219" i="4"/>
  <c r="Y62" i="2"/>
  <c r="X52" i="2"/>
  <c r="X45" i="2"/>
  <c r="Y12" i="2"/>
  <c r="AB80" i="3"/>
  <c r="AB79" i="3"/>
  <c r="AB76" i="3"/>
  <c r="AB74" i="3"/>
  <c r="AB33" i="6"/>
  <c r="AB40" i="6"/>
  <c r="AB34" i="6"/>
  <c r="AB39" i="6"/>
  <c r="AB222" i="4"/>
  <c r="AB204" i="4"/>
  <c r="AB202" i="4"/>
  <c r="Y27" i="2"/>
  <c r="AB40" i="8"/>
  <c r="AB91" i="3" l="1"/>
  <c r="AB93" i="3"/>
  <c r="AB92" i="3"/>
  <c r="AB94" i="3"/>
  <c r="AB88" i="3"/>
  <c r="AB90" i="3"/>
  <c r="AB44" i="8"/>
  <c r="AB89" i="3"/>
  <c r="AB220" i="4"/>
  <c r="Y15" i="2"/>
  <c r="AB81" i="3"/>
  <c r="AB206" i="4"/>
  <c r="AB213" i="4"/>
  <c r="AE97" i="8"/>
  <c r="AE99" i="8"/>
  <c r="AB95" i="3" l="1"/>
  <c r="Y16" i="2"/>
  <c r="AC24" i="4"/>
  <c r="Z11" i="2" l="1"/>
  <c r="AC181" i="8"/>
  <c r="AB209" i="8" l="1"/>
  <c r="AG199" i="8"/>
  <c r="AG181" i="8"/>
  <c r="AB208" i="8" l="1"/>
  <c r="AC180" i="8"/>
  <c r="AB217" i="8" l="1"/>
  <c r="AC56" i="3"/>
  <c r="AC251" i="8" l="1"/>
  <c r="AB279" i="8" l="1"/>
  <c r="AC246" i="8"/>
  <c r="AB284" i="8" l="1"/>
  <c r="AC189" i="8"/>
  <c r="AB285" i="8" l="1"/>
  <c r="AC149" i="4"/>
  <c r="AC142" i="4"/>
  <c r="AC123" i="4"/>
  <c r="AC117" i="4"/>
  <c r="AB18" i="7"/>
  <c r="AB23" i="7"/>
  <c r="AB30" i="7"/>
  <c r="AC20" i="6"/>
  <c r="AC21" i="6"/>
  <c r="AC30" i="6"/>
  <c r="AC36" i="6"/>
  <c r="AC69" i="4"/>
  <c r="AC78" i="4"/>
  <c r="AC87" i="4"/>
  <c r="AC96" i="4"/>
  <c r="AC100" i="4"/>
  <c r="AC112" i="4"/>
  <c r="AC129" i="4"/>
  <c r="AC136" i="4"/>
  <c r="AC160" i="4"/>
  <c r="AC166" i="4"/>
  <c r="AC173" i="4"/>
  <c r="AC177" i="4"/>
  <c r="AC184" i="4"/>
  <c r="AC201" i="4"/>
  <c r="AC216" i="4"/>
  <c r="AC19" i="3"/>
  <c r="AC37" i="3"/>
  <c r="AC58" i="3"/>
  <c r="AC74" i="8"/>
  <c r="AC13" i="8"/>
  <c r="AC71" i="8"/>
  <c r="AC72" i="8"/>
  <c r="AC77" i="8"/>
  <c r="AC79" i="8"/>
  <c r="AC80" i="8"/>
  <c r="AC81" i="8"/>
  <c r="AC82" i="8"/>
  <c r="AC93" i="8"/>
  <c r="AC99" i="8"/>
  <c r="AC102" i="8"/>
  <c r="AC103" i="8"/>
  <c r="AC105" i="8"/>
  <c r="AC132" i="8"/>
  <c r="AC133" i="8"/>
  <c r="AC136" i="8"/>
  <c r="AC198" i="8"/>
  <c r="AC199" i="8"/>
  <c r="AC209" i="8"/>
  <c r="AC210" i="8"/>
  <c r="AC211" i="8"/>
  <c r="AC212" i="8"/>
  <c r="AC214" i="8"/>
  <c r="AC215" i="8"/>
  <c r="AC216" i="8"/>
  <c r="AC213" i="8"/>
  <c r="AC221" i="8"/>
  <c r="AC219" i="8"/>
  <c r="AC220" i="8"/>
  <c r="AC224" i="8"/>
  <c r="AC222" i="8"/>
  <c r="AC223" i="8"/>
  <c r="AC256" i="8"/>
  <c r="AC265" i="8"/>
  <c r="AC264" i="8"/>
  <c r="AC266" i="8"/>
  <c r="AC267" i="8"/>
  <c r="AC268" i="8"/>
  <c r="AC270" i="8"/>
  <c r="AC271" i="8"/>
  <c r="AC272" i="8"/>
  <c r="AC276" i="8"/>
  <c r="AC277" i="8"/>
  <c r="AC279" i="8"/>
  <c r="AC278" i="8"/>
  <c r="AC280" i="8"/>
  <c r="AC281" i="8"/>
  <c r="AC282" i="8"/>
  <c r="AC283" i="8"/>
  <c r="AC101" i="8" l="1"/>
  <c r="AC60" i="6"/>
  <c r="AC205" i="4"/>
  <c r="AC135" i="8"/>
  <c r="Z26" i="2"/>
  <c r="AB227" i="8"/>
  <c r="Z61" i="2"/>
  <c r="AC125" i="4"/>
  <c r="AB73" i="8"/>
  <c r="AC47" i="3"/>
  <c r="AC175" i="4"/>
  <c r="AC151" i="4"/>
  <c r="AC89" i="4"/>
  <c r="AC197" i="4"/>
  <c r="AC168" i="4"/>
  <c r="AC144" i="4"/>
  <c r="AC114" i="4"/>
  <c r="AC80" i="4"/>
  <c r="AC186" i="4"/>
  <c r="AC138" i="4"/>
  <c r="AC71" i="4"/>
  <c r="AC99" i="4"/>
  <c r="AC98" i="4"/>
  <c r="AC118" i="4"/>
  <c r="AC190" i="4"/>
  <c r="AC31" i="6"/>
  <c r="AC146" i="8"/>
  <c r="AB33" i="7"/>
  <c r="AC29" i="3"/>
  <c r="AC37" i="6"/>
  <c r="AC22" i="6"/>
  <c r="AC66" i="3"/>
  <c r="AC284" i="8"/>
  <c r="AC176" i="4"/>
  <c r="AC162" i="4"/>
  <c r="AC152" i="4"/>
  <c r="AB24" i="7"/>
  <c r="AC208" i="8"/>
  <c r="AC200" i="8"/>
  <c r="AC201" i="8"/>
  <c r="AC150" i="8"/>
  <c r="AC147" i="8"/>
  <c r="AC16" i="8"/>
  <c r="AC131" i="8"/>
  <c r="BC211" i="8"/>
  <c r="BB211" i="8"/>
  <c r="BA211" i="8"/>
  <c r="AZ211" i="8"/>
  <c r="AY211" i="8"/>
  <c r="AX211" i="8"/>
  <c r="AW211" i="8"/>
  <c r="AV211" i="8"/>
  <c r="AU211" i="8"/>
  <c r="AT211" i="8"/>
  <c r="AS211" i="8"/>
  <c r="AR211" i="8"/>
  <c r="AQ211" i="8"/>
  <c r="AP211" i="8"/>
  <c r="AO211" i="8"/>
  <c r="AN211" i="8"/>
  <c r="BC209" i="8"/>
  <c r="BB209" i="8"/>
  <c r="BA209" i="8"/>
  <c r="AZ209" i="8"/>
  <c r="AY209" i="8"/>
  <c r="AX209" i="8"/>
  <c r="AW209" i="8"/>
  <c r="AV209" i="8"/>
  <c r="AU209" i="8"/>
  <c r="AT209" i="8"/>
  <c r="AS209" i="8"/>
  <c r="AR209" i="8"/>
  <c r="AQ209" i="8"/>
  <c r="AP209" i="8"/>
  <c r="AO209" i="8"/>
  <c r="AN209" i="8"/>
  <c r="Z14" i="2" l="1"/>
  <c r="AC218" i="4"/>
  <c r="AC128" i="4"/>
  <c r="AC127" i="4"/>
  <c r="AB149" i="8"/>
  <c r="Z25" i="2"/>
  <c r="AB228" i="8"/>
  <c r="AB76" i="8"/>
  <c r="Z24" i="2"/>
  <c r="AC200" i="4"/>
  <c r="Z12" i="2"/>
  <c r="Z10" i="2"/>
  <c r="AB145" i="8"/>
  <c r="Z35" i="2"/>
  <c r="AC77" i="3"/>
  <c r="AC59" i="3"/>
  <c r="AC154" i="4"/>
  <c r="AC192" i="4"/>
  <c r="AC120" i="4"/>
  <c r="AC178" i="4"/>
  <c r="AC199" i="4"/>
  <c r="AC34" i="6"/>
  <c r="AC40" i="8"/>
  <c r="AB32" i="7"/>
  <c r="AC75" i="3"/>
  <c r="AC80" i="3"/>
  <c r="AC76" i="3"/>
  <c r="AC79" i="3"/>
  <c r="AC73" i="3"/>
  <c r="AC78" i="3"/>
  <c r="AC74" i="3"/>
  <c r="AC39" i="6"/>
  <c r="AC33" i="6"/>
  <c r="AC161" i="8"/>
  <c r="AC40" i="6"/>
  <c r="AC217" i="8"/>
  <c r="AC214" i="4"/>
  <c r="AC101" i="4"/>
  <c r="AC219" i="4"/>
  <c r="AC130" i="4" l="1"/>
  <c r="AC222" i="4"/>
  <c r="AC44" i="8"/>
  <c r="AC204" i="4"/>
  <c r="AC202" i="4"/>
  <c r="Z44" i="2"/>
  <c r="AB100" i="8"/>
  <c r="Y34" i="2"/>
  <c r="Z62" i="2"/>
  <c r="Z15" i="2"/>
  <c r="AB170" i="8"/>
  <c r="Y33" i="2"/>
  <c r="AC81" i="3"/>
  <c r="AC93" i="3"/>
  <c r="AC90" i="3"/>
  <c r="AC88" i="3"/>
  <c r="AC94" i="3"/>
  <c r="AC89" i="3"/>
  <c r="AC92" i="3"/>
  <c r="AC91" i="3"/>
  <c r="AD166" i="4"/>
  <c r="AD123" i="4"/>
  <c r="AD117" i="4"/>
  <c r="AD24" i="4"/>
  <c r="AC213" i="4" l="1"/>
  <c r="AC206" i="4"/>
  <c r="AC220" i="4"/>
  <c r="AB104" i="8"/>
  <c r="AD168" i="4"/>
  <c r="Y51" i="2"/>
  <c r="AA11" i="2"/>
  <c r="Z16" i="2"/>
  <c r="AC95" i="3"/>
  <c r="AC47" i="8"/>
  <c r="AD180" i="8"/>
  <c r="AD10" i="8"/>
  <c r="AD56" i="3"/>
  <c r="AE56" i="3"/>
  <c r="AC49" i="8" l="1"/>
  <c r="AB107" i="8"/>
  <c r="AD58" i="3"/>
  <c r="AC70" i="8"/>
  <c r="AB109" i="8" l="1"/>
  <c r="AC61" i="8"/>
  <c r="AC139" i="8"/>
  <c r="AB123" i="8" l="1"/>
  <c r="AB153" i="8"/>
  <c r="AB121" i="8"/>
  <c r="Z27" i="2"/>
  <c r="AC63" i="8"/>
  <c r="AB172" i="8" l="1"/>
  <c r="AB171" i="8"/>
  <c r="Y36" i="2"/>
  <c r="AD283" i="8"/>
  <c r="AD282" i="8"/>
  <c r="AD281" i="8"/>
  <c r="AD278" i="8"/>
  <c r="AD280" i="8"/>
  <c r="AD277" i="8"/>
  <c r="AD276" i="8"/>
  <c r="AD273" i="8"/>
  <c r="AD272" i="8"/>
  <c r="AD271" i="8"/>
  <c r="AD270" i="8"/>
  <c r="AD268" i="8"/>
  <c r="AD267" i="8"/>
  <c r="AD266" i="8"/>
  <c r="AD264" i="8"/>
  <c r="AD265" i="8"/>
  <c r="AD246" i="8"/>
  <c r="AD256" i="8"/>
  <c r="AD223" i="8"/>
  <c r="AD222" i="8"/>
  <c r="AD224" i="8"/>
  <c r="AD220" i="8"/>
  <c r="AD219" i="8"/>
  <c r="AD221" i="8"/>
  <c r="AD216" i="8"/>
  <c r="AD213" i="8"/>
  <c r="AD214" i="8"/>
  <c r="AD215" i="8"/>
  <c r="AD212" i="8"/>
  <c r="AD211" i="8"/>
  <c r="AD210" i="8"/>
  <c r="AD209" i="8"/>
  <c r="AD189" i="8"/>
  <c r="AD199" i="8"/>
  <c r="AD103" i="8"/>
  <c r="AD102" i="8"/>
  <c r="AD99" i="8"/>
  <c r="AD97" i="8"/>
  <c r="AD93" i="8"/>
  <c r="AD84" i="8"/>
  <c r="AD82" i="8"/>
  <c r="AD81" i="8"/>
  <c r="AD80" i="8"/>
  <c r="AD79" i="8"/>
  <c r="AD77" i="8"/>
  <c r="AD74" i="8"/>
  <c r="AD72" i="8"/>
  <c r="AD71" i="8"/>
  <c r="AD132" i="8"/>
  <c r="AD133" i="8"/>
  <c r="AD136" i="8"/>
  <c r="AD13" i="8"/>
  <c r="AC18" i="7"/>
  <c r="AC23" i="7"/>
  <c r="AC30" i="7"/>
  <c r="AD20" i="6"/>
  <c r="AD21" i="6"/>
  <c r="AD30" i="6"/>
  <c r="AD36" i="6"/>
  <c r="AD69" i="4"/>
  <c r="AD78" i="4"/>
  <c r="AD87" i="4"/>
  <c r="AD96" i="4"/>
  <c r="AD100" i="4"/>
  <c r="AD112" i="4"/>
  <c r="AD118" i="4"/>
  <c r="AD125" i="4"/>
  <c r="AD129" i="4"/>
  <c r="AD136" i="4"/>
  <c r="AD142" i="4"/>
  <c r="AD149" i="4"/>
  <c r="AD160" i="4"/>
  <c r="AD173" i="4"/>
  <c r="AD177" i="4"/>
  <c r="AD184" i="4"/>
  <c r="AD190" i="4"/>
  <c r="AD197" i="4"/>
  <c r="AD201" i="4"/>
  <c r="AD216" i="4"/>
  <c r="AD19" i="3"/>
  <c r="AD37" i="3"/>
  <c r="AD101" i="8" l="1"/>
  <c r="AD151" i="8"/>
  <c r="AD205" i="4"/>
  <c r="AD218" i="4"/>
  <c r="Y52" i="2"/>
  <c r="AD135" i="8"/>
  <c r="AA26" i="2"/>
  <c r="AA61" i="2"/>
  <c r="AD37" i="6"/>
  <c r="AD138" i="4"/>
  <c r="AD151" i="4"/>
  <c r="AD199" i="4"/>
  <c r="AD175" i="4"/>
  <c r="AD144" i="4"/>
  <c r="AD120" i="4"/>
  <c r="AD89" i="4"/>
  <c r="AD192" i="4"/>
  <c r="AD162" i="4"/>
  <c r="AD114" i="4"/>
  <c r="AD80" i="4"/>
  <c r="AD186" i="4"/>
  <c r="AD71" i="4"/>
  <c r="AD98" i="4"/>
  <c r="AD31" i="6"/>
  <c r="AC73" i="8"/>
  <c r="AC227" i="8"/>
  <c r="AC24" i="7"/>
  <c r="AD146" i="8"/>
  <c r="AD16" i="8"/>
  <c r="AD22" i="6"/>
  <c r="AD47" i="3"/>
  <c r="AD66" i="3"/>
  <c r="AD29" i="3"/>
  <c r="AD208" i="8"/>
  <c r="AD147" i="8"/>
  <c r="AD150" i="8"/>
  <c r="AD257" i="8"/>
  <c r="AD274" i="8"/>
  <c r="AD131" i="8"/>
  <c r="AC33" i="7"/>
  <c r="AD60" i="6"/>
  <c r="AD127" i="4"/>
  <c r="AD176" i="4"/>
  <c r="AD99" i="4"/>
  <c r="AD200" i="4"/>
  <c r="AD152" i="4"/>
  <c r="AD128" i="4"/>
  <c r="AD173" i="8" l="1"/>
  <c r="AD77" i="3"/>
  <c r="AA14" i="2"/>
  <c r="AA24" i="2"/>
  <c r="AC149" i="8"/>
  <c r="AA25" i="2"/>
  <c r="AA62" i="2"/>
  <c r="AA12" i="2"/>
  <c r="AA10" i="2"/>
  <c r="AC145" i="8"/>
  <c r="AA35" i="2"/>
  <c r="AD75" i="3"/>
  <c r="AD78" i="3"/>
  <c r="AD219" i="4"/>
  <c r="AD178" i="4"/>
  <c r="AD130" i="4"/>
  <c r="AD154" i="4"/>
  <c r="AD40" i="6"/>
  <c r="AD217" i="8"/>
  <c r="AC76" i="8"/>
  <c r="AD55" i="6"/>
  <c r="AD53" i="6"/>
  <c r="AD51" i="6"/>
  <c r="AD57" i="6"/>
  <c r="AD48" i="6"/>
  <c r="AD49" i="6"/>
  <c r="AD56" i="6"/>
  <c r="AD50" i="6"/>
  <c r="AD52" i="6"/>
  <c r="AD59" i="6"/>
  <c r="AD58" i="6"/>
  <c r="AD54" i="6"/>
  <c r="AD47" i="6"/>
  <c r="AD40" i="8"/>
  <c r="AC32" i="7"/>
  <c r="AD222" i="4"/>
  <c r="AD161" i="8"/>
  <c r="AD33" i="6"/>
  <c r="AD34" i="6"/>
  <c r="AD39" i="6"/>
  <c r="AD59" i="3"/>
  <c r="AD73" i="3"/>
  <c r="AD80" i="3"/>
  <c r="AD79" i="3"/>
  <c r="AD76" i="3"/>
  <c r="AD74" i="3"/>
  <c r="AD204" i="4"/>
  <c r="AD202" i="4"/>
  <c r="AD101" i="4"/>
  <c r="AD214" i="4"/>
  <c r="AG209" i="8"/>
  <c r="AH209" i="8"/>
  <c r="AG210" i="8"/>
  <c r="AH210" i="8"/>
  <c r="AG211" i="8"/>
  <c r="AH211" i="8"/>
  <c r="AF211" i="8"/>
  <c r="AF210" i="8"/>
  <c r="AF209" i="8"/>
  <c r="AE211" i="8"/>
  <c r="AE210" i="8"/>
  <c r="AE209" i="8"/>
  <c r="AA15" i="2" l="1"/>
  <c r="AD220" i="4"/>
  <c r="AD44" i="8"/>
  <c r="AA44" i="2"/>
  <c r="AC170" i="8"/>
  <c r="AC100" i="8"/>
  <c r="Z33" i="2"/>
  <c r="Z34" i="2"/>
  <c r="AD81" i="3"/>
  <c r="AE208" i="8"/>
  <c r="AD94" i="3"/>
  <c r="AD89" i="3"/>
  <c r="AD93" i="3"/>
  <c r="AD90" i="3"/>
  <c r="AD88" i="3"/>
  <c r="AD91" i="3"/>
  <c r="AD92" i="3"/>
  <c r="AD206" i="4"/>
  <c r="AD213" i="4"/>
  <c r="AC104" i="8" l="1"/>
  <c r="Z51" i="2"/>
  <c r="AA16" i="2"/>
  <c r="AD47" i="8"/>
  <c r="AD95" i="3"/>
  <c r="AH216" i="8"/>
  <c r="AG216" i="8"/>
  <c r="AF216" i="8"/>
  <c r="AH213" i="8"/>
  <c r="AG213" i="8"/>
  <c r="AF213" i="8"/>
  <c r="AH214" i="8"/>
  <c r="AG214" i="8"/>
  <c r="AF214" i="8"/>
  <c r="AH215" i="8"/>
  <c r="AG215" i="8"/>
  <c r="AF215" i="8"/>
  <c r="AH212" i="8"/>
  <c r="AG212" i="8"/>
  <c r="AF212" i="8"/>
  <c r="AH225" i="8"/>
  <c r="AH223" i="8"/>
  <c r="AH222" i="8"/>
  <c r="AH224" i="8"/>
  <c r="AH220" i="8"/>
  <c r="AH219" i="8"/>
  <c r="AH221" i="8"/>
  <c r="AG219" i="8"/>
  <c r="AG220" i="8"/>
  <c r="AG224" i="8"/>
  <c r="AG222" i="8"/>
  <c r="AG223" i="8"/>
  <c r="AG225" i="8"/>
  <c r="AG221" i="8"/>
  <c r="AF219" i="8"/>
  <c r="AF220" i="8"/>
  <c r="AF224" i="8"/>
  <c r="AF222" i="8"/>
  <c r="AF223" i="8"/>
  <c r="AF225" i="8"/>
  <c r="AF221" i="8"/>
  <c r="AE219" i="8"/>
  <c r="AE220" i="8"/>
  <c r="AE224" i="8"/>
  <c r="AE222" i="8"/>
  <c r="AE223" i="8"/>
  <c r="AE225" i="8"/>
  <c r="AE221" i="8"/>
  <c r="AE212" i="8"/>
  <c r="AE215" i="8"/>
  <c r="AE213" i="8"/>
  <c r="AE216" i="8"/>
  <c r="AE214" i="8"/>
  <c r="AD49" i="8" l="1"/>
  <c r="AC107" i="8"/>
  <c r="AD107" i="8"/>
  <c r="AI122" i="8"/>
  <c r="AI121" i="8"/>
  <c r="AE121" i="8"/>
  <c r="AD139" i="8" l="1"/>
  <c r="AD61" i="8"/>
  <c r="AC109" i="8"/>
  <c r="AE180" i="8"/>
  <c r="AE10" i="8"/>
  <c r="AA27" i="2" l="1"/>
  <c r="AC123" i="8"/>
  <c r="AC153" i="8"/>
  <c r="AD70" i="8"/>
  <c r="AC121" i="8"/>
  <c r="AD63" i="8"/>
  <c r="AD121" i="8"/>
  <c r="AE216" i="4"/>
  <c r="AB61" i="2" l="1"/>
  <c r="Z36" i="2"/>
  <c r="AC172" i="8"/>
  <c r="AC171" i="8"/>
  <c r="AE123" i="4"/>
  <c r="AE117" i="4"/>
  <c r="Z52" i="2" l="1"/>
  <c r="AE133" i="8"/>
  <c r="AE189" i="8" l="1"/>
  <c r="AE217" i="8" l="1"/>
  <c r="AE283" i="8"/>
  <c r="AE282" i="8"/>
  <c r="AE281" i="8"/>
  <c r="AE280" i="8"/>
  <c r="AE278" i="8"/>
  <c r="AE277" i="8"/>
  <c r="AE276" i="8"/>
  <c r="AE273" i="8"/>
  <c r="AE272" i="8"/>
  <c r="AE271" i="8"/>
  <c r="AE270" i="8"/>
  <c r="AE268" i="8"/>
  <c r="AE266" i="8"/>
  <c r="AE267" i="8"/>
  <c r="AE265" i="8"/>
  <c r="AE264" i="8"/>
  <c r="AE251" i="8"/>
  <c r="AE246" i="8"/>
  <c r="AE279" i="8" l="1"/>
  <c r="AD279" i="8"/>
  <c r="AE256" i="8"/>
  <c r="AE274" i="8"/>
  <c r="AE284" i="8" l="1"/>
  <c r="AE257" i="8"/>
  <c r="AD284" i="8"/>
  <c r="AE285" i="8" l="1"/>
  <c r="AD285" i="8"/>
  <c r="AE199" i="8"/>
  <c r="AE198" i="8"/>
  <c r="AI180" i="8"/>
  <c r="AE132" i="8"/>
  <c r="AE136" i="8"/>
  <c r="AE103" i="8"/>
  <c r="AE102" i="8"/>
  <c r="AE84" i="8"/>
  <c r="AE82" i="8"/>
  <c r="AE81" i="8"/>
  <c r="AE80" i="8"/>
  <c r="AE79" i="8"/>
  <c r="AE77" i="8"/>
  <c r="AE74" i="8"/>
  <c r="AE72" i="8"/>
  <c r="AE71" i="8"/>
  <c r="AE70" i="8"/>
  <c r="AE107" i="8"/>
  <c r="AE101" i="8" l="1"/>
  <c r="AE151" i="8"/>
  <c r="AB26" i="2"/>
  <c r="AE146" i="8"/>
  <c r="AE227" i="8"/>
  <c r="AD227" i="8"/>
  <c r="AE226" i="8"/>
  <c r="AE200" i="8"/>
  <c r="AE147" i="8"/>
  <c r="AE201" i="8"/>
  <c r="AE150" i="8"/>
  <c r="AE13" i="8"/>
  <c r="AE173" i="8" l="1"/>
  <c r="AE135" i="8"/>
  <c r="AB35" i="2"/>
  <c r="AE228" i="8"/>
  <c r="AD73" i="8"/>
  <c r="AE73" i="8"/>
  <c r="AE131" i="8"/>
  <c r="AE16" i="8"/>
  <c r="AB24" i="2" l="1"/>
  <c r="AD149" i="8"/>
  <c r="AE149" i="8"/>
  <c r="AB25" i="2"/>
  <c r="AD145" i="8"/>
  <c r="AE76" i="8"/>
  <c r="AD76" i="8"/>
  <c r="AE145" i="8"/>
  <c r="AE161" i="8"/>
  <c r="AE40" i="8"/>
  <c r="AD30" i="7"/>
  <c r="AD23" i="7"/>
  <c r="AD18" i="7"/>
  <c r="AE44" i="8" l="1"/>
  <c r="AB33" i="2"/>
  <c r="AA33" i="2"/>
  <c r="AB34" i="2"/>
  <c r="AB44" i="2"/>
  <c r="AA34" i="2"/>
  <c r="AE100" i="8"/>
  <c r="AD170" i="8"/>
  <c r="AD100" i="8"/>
  <c r="AD33" i="7"/>
  <c r="AD24" i="7"/>
  <c r="AE170" i="8"/>
  <c r="AE20" i="6"/>
  <c r="AE21" i="6"/>
  <c r="AE30" i="6"/>
  <c r="AE36" i="6"/>
  <c r="AE24" i="4"/>
  <c r="AE69" i="4"/>
  <c r="AE78" i="4"/>
  <c r="AE87" i="4"/>
  <c r="AE96" i="4"/>
  <c r="AE100" i="4"/>
  <c r="AE112" i="4"/>
  <c r="AE118" i="4"/>
  <c r="AE125" i="4"/>
  <c r="AE129" i="4"/>
  <c r="AE136" i="4"/>
  <c r="AE142" i="4"/>
  <c r="AE149" i="4"/>
  <c r="AE160" i="4"/>
  <c r="AE166" i="4"/>
  <c r="AE173" i="4"/>
  <c r="AE177" i="4"/>
  <c r="AE184" i="4"/>
  <c r="AE190" i="4"/>
  <c r="AE197" i="4"/>
  <c r="AE201" i="4"/>
  <c r="AE49" i="8" l="1"/>
  <c r="AE218" i="4"/>
  <c r="AE205" i="4"/>
  <c r="AE104" i="8"/>
  <c r="AD104" i="8"/>
  <c r="AB51" i="2"/>
  <c r="AA51" i="2"/>
  <c r="AB11" i="2"/>
  <c r="AE199" i="4"/>
  <c r="AE168" i="4"/>
  <c r="AE162" i="4"/>
  <c r="AE114" i="4"/>
  <c r="AE151" i="4"/>
  <c r="AE192" i="4"/>
  <c r="AE186" i="4"/>
  <c r="AE138" i="4"/>
  <c r="AE80" i="4"/>
  <c r="AE71" i="4"/>
  <c r="AE98" i="4"/>
  <c r="AE144" i="4"/>
  <c r="AE120" i="4"/>
  <c r="AE37" i="6"/>
  <c r="AE31" i="6"/>
  <c r="AE89" i="4"/>
  <c r="AE176" i="4"/>
  <c r="AD32" i="7"/>
  <c r="AE22" i="6"/>
  <c r="AE200" i="4"/>
  <c r="AE175" i="4"/>
  <c r="AE60" i="6"/>
  <c r="AE127" i="4"/>
  <c r="AE99" i="4"/>
  <c r="AE152" i="4"/>
  <c r="AE128" i="4"/>
  <c r="AB62" i="2" l="1"/>
  <c r="AB12" i="2"/>
  <c r="AE130" i="4"/>
  <c r="AE178" i="4"/>
  <c r="AE154" i="4"/>
  <c r="AE222" i="4"/>
  <c r="AE202" i="4"/>
  <c r="AD109" i="8"/>
  <c r="AE33" i="6"/>
  <c r="AE139" i="8"/>
  <c r="AE109" i="8"/>
  <c r="AE40" i="6"/>
  <c r="AE34" i="6"/>
  <c r="AE39" i="6"/>
  <c r="AE63" i="8"/>
  <c r="AE204" i="4"/>
  <c r="AE214" i="4"/>
  <c r="AE101" i="4"/>
  <c r="AE219" i="4"/>
  <c r="AE220" i="4" l="1"/>
  <c r="AB27" i="2"/>
  <c r="AD153" i="8"/>
  <c r="AD123" i="8"/>
  <c r="AE123" i="8"/>
  <c r="AE153" i="8"/>
  <c r="AE206" i="4"/>
  <c r="AE213" i="4"/>
  <c r="AA36" i="2" l="1"/>
  <c r="AB36" i="2"/>
  <c r="AE19" i="3"/>
  <c r="AE37" i="3"/>
  <c r="AE58" i="3"/>
  <c r="AD172" i="8" l="1"/>
  <c r="AE47" i="3"/>
  <c r="AE29" i="3"/>
  <c r="AE66" i="3"/>
  <c r="AB14" i="2" l="1"/>
  <c r="AA52" i="2"/>
  <c r="AB10" i="2"/>
  <c r="AD171" i="8"/>
  <c r="AE59" i="3"/>
  <c r="AE78" i="3"/>
  <c r="AE74" i="3"/>
  <c r="AE73" i="3"/>
  <c r="AE76" i="3"/>
  <c r="AE75" i="3"/>
  <c r="AE79" i="3"/>
  <c r="AE80" i="3"/>
  <c r="AE77" i="3"/>
  <c r="AN189" i="8"/>
  <c r="AB15" i="2" l="1"/>
  <c r="AE89" i="3"/>
  <c r="AE93" i="3"/>
  <c r="AE94" i="3"/>
  <c r="AE90" i="3"/>
  <c r="AE92" i="3"/>
  <c r="AE91" i="3"/>
  <c r="AE88" i="3"/>
  <c r="AE81" i="3"/>
  <c r="AM39" i="8"/>
  <c r="AB16" i="2" l="1"/>
  <c r="AE95" i="3"/>
  <c r="AJ246" i="8"/>
  <c r="AG246" i="8"/>
  <c r="AG208" i="8" l="1"/>
  <c r="AI211" i="8"/>
  <c r="AM211" i="8"/>
  <c r="AL211" i="8"/>
  <c r="AK211" i="8"/>
  <c r="AJ211" i="8"/>
  <c r="AM209" i="8"/>
  <c r="AL209" i="8"/>
  <c r="AK209" i="8"/>
  <c r="AJ209" i="8"/>
  <c r="AI209" i="8"/>
  <c r="AH208" i="8"/>
  <c r="AF208" i="8"/>
  <c r="AJ180" i="8"/>
  <c r="AG180" i="8"/>
  <c r="AH180" i="8"/>
  <c r="AI189" i="8"/>
  <c r="AK180" i="8"/>
  <c r="AL180" i="8"/>
  <c r="AM180" i="8"/>
  <c r="AF180" i="8"/>
  <c r="AI210" i="8"/>
  <c r="AJ210" i="8"/>
  <c r="AK210" i="8"/>
  <c r="AL210" i="8"/>
  <c r="AM210" i="8"/>
  <c r="AK189" i="8" l="1"/>
  <c r="AJ189" i="8"/>
  <c r="AJ208" i="8"/>
  <c r="AK208" i="8"/>
  <c r="AM189" i="8"/>
  <c r="AL189" i="8"/>
  <c r="AM208" i="8"/>
  <c r="AG189" i="8"/>
  <c r="AH189" i="8"/>
  <c r="AL208" i="8"/>
  <c r="AI208" i="8"/>
  <c r="AN39" i="8"/>
  <c r="AP39" i="8"/>
  <c r="AQ39" i="8"/>
  <c r="AR39" i="8"/>
  <c r="AS39" i="8"/>
  <c r="AT39" i="8"/>
  <c r="BS283" i="8" l="1"/>
  <c r="BR283" i="8"/>
  <c r="BQ283" i="8"/>
  <c r="BP283" i="8"/>
  <c r="BS281" i="8"/>
  <c r="BR281" i="8"/>
  <c r="BQ281" i="8"/>
  <c r="BP281" i="8"/>
  <c r="BS282" i="8"/>
  <c r="BR282" i="8"/>
  <c r="BQ282" i="8"/>
  <c r="BP282" i="8"/>
  <c r="BS280" i="8"/>
  <c r="BR280" i="8"/>
  <c r="BQ280" i="8"/>
  <c r="BP280" i="8"/>
  <c r="BS278" i="8"/>
  <c r="BR278" i="8"/>
  <c r="BQ278" i="8"/>
  <c r="BP278" i="8"/>
  <c r="BS279" i="8"/>
  <c r="BR279" i="8"/>
  <c r="BQ279" i="8"/>
  <c r="BP279" i="8"/>
  <c r="BS277" i="8"/>
  <c r="BR277" i="8"/>
  <c r="BQ277" i="8"/>
  <c r="BP277" i="8"/>
  <c r="BS276" i="8"/>
  <c r="BR276" i="8"/>
  <c r="BQ276" i="8"/>
  <c r="BP276" i="8"/>
  <c r="BO283" i="8"/>
  <c r="BN283" i="8"/>
  <c r="BM283" i="8"/>
  <c r="BL283" i="8"/>
  <c r="BO281" i="8"/>
  <c r="BN281" i="8"/>
  <c r="BM281" i="8"/>
  <c r="BL281" i="8"/>
  <c r="BO282" i="8"/>
  <c r="BN282" i="8"/>
  <c r="BM282" i="8"/>
  <c r="BL282" i="8"/>
  <c r="BO280" i="8"/>
  <c r="BN280" i="8"/>
  <c r="BM280" i="8"/>
  <c r="BL280" i="8"/>
  <c r="BO278" i="8"/>
  <c r="BN278" i="8"/>
  <c r="BM278" i="8"/>
  <c r="BL278" i="8"/>
  <c r="BO279" i="8"/>
  <c r="BN279" i="8"/>
  <c r="BM279" i="8"/>
  <c r="BL279" i="8"/>
  <c r="BO277" i="8"/>
  <c r="BN277" i="8"/>
  <c r="BM277" i="8"/>
  <c r="BL277" i="8"/>
  <c r="BO276" i="8"/>
  <c r="BN276" i="8"/>
  <c r="BM276" i="8"/>
  <c r="BL276" i="8"/>
  <c r="BK283" i="8"/>
  <c r="BJ283" i="8"/>
  <c r="BI283" i="8"/>
  <c r="BH283" i="8"/>
  <c r="BK281" i="8"/>
  <c r="BJ281" i="8"/>
  <c r="BI281" i="8"/>
  <c r="BH281" i="8"/>
  <c r="BK282" i="8"/>
  <c r="BJ282" i="8"/>
  <c r="BI282" i="8"/>
  <c r="BH282" i="8"/>
  <c r="BK280" i="8"/>
  <c r="BJ280" i="8"/>
  <c r="BI280" i="8"/>
  <c r="BH280" i="8"/>
  <c r="BK278" i="8"/>
  <c r="BJ278" i="8"/>
  <c r="BI278" i="8"/>
  <c r="BH278" i="8"/>
  <c r="BK279" i="8"/>
  <c r="BJ279" i="8"/>
  <c r="BI279" i="8"/>
  <c r="BH279" i="8"/>
  <c r="BK277" i="8"/>
  <c r="BJ277" i="8"/>
  <c r="BI277" i="8"/>
  <c r="BH277" i="8"/>
  <c r="BK276" i="8"/>
  <c r="BJ276" i="8"/>
  <c r="BI276" i="8"/>
  <c r="BH276" i="8"/>
  <c r="BG283" i="8"/>
  <c r="BF283" i="8"/>
  <c r="BE283" i="8"/>
  <c r="BD283" i="8"/>
  <c r="BG281" i="8"/>
  <c r="BF281" i="8"/>
  <c r="BE281" i="8"/>
  <c r="BD281" i="8"/>
  <c r="BG282" i="8"/>
  <c r="BF282" i="8"/>
  <c r="BE282" i="8"/>
  <c r="BD282" i="8"/>
  <c r="BG280" i="8"/>
  <c r="BF280" i="8"/>
  <c r="BE280" i="8"/>
  <c r="BD280" i="8"/>
  <c r="BG278" i="8"/>
  <c r="BF278" i="8"/>
  <c r="BE278" i="8"/>
  <c r="BD278" i="8"/>
  <c r="BG279" i="8"/>
  <c r="BF279" i="8"/>
  <c r="BE279" i="8"/>
  <c r="BD279" i="8"/>
  <c r="BG277" i="8"/>
  <c r="BF277" i="8"/>
  <c r="BE277" i="8"/>
  <c r="BD277" i="8"/>
  <c r="BG276" i="8"/>
  <c r="BF276" i="8"/>
  <c r="BE276" i="8"/>
  <c r="BD276" i="8"/>
  <c r="BC283" i="8"/>
  <c r="BB283" i="8"/>
  <c r="BA283" i="8"/>
  <c r="AZ283" i="8"/>
  <c r="BC281" i="8"/>
  <c r="BB281" i="8"/>
  <c r="BA281" i="8"/>
  <c r="AZ281" i="8"/>
  <c r="BC282" i="8"/>
  <c r="BB282" i="8"/>
  <c r="BA282" i="8"/>
  <c r="AZ282" i="8"/>
  <c r="BC280" i="8"/>
  <c r="BB280" i="8"/>
  <c r="BA280" i="8"/>
  <c r="AZ280" i="8"/>
  <c r="BC278" i="8"/>
  <c r="BB278" i="8"/>
  <c r="BA278" i="8"/>
  <c r="AZ278" i="8"/>
  <c r="BC279" i="8"/>
  <c r="BB279" i="8"/>
  <c r="BA279" i="8"/>
  <c r="AZ279" i="8"/>
  <c r="BC277" i="8"/>
  <c r="BB277" i="8"/>
  <c r="BA277" i="8"/>
  <c r="AZ277" i="8"/>
  <c r="BC276" i="8"/>
  <c r="BB276" i="8"/>
  <c r="BA276" i="8"/>
  <c r="AZ276" i="8"/>
  <c r="AY283" i="8"/>
  <c r="AX283" i="8"/>
  <c r="AW283" i="8"/>
  <c r="AV283" i="8"/>
  <c r="AY281" i="8"/>
  <c r="AX281" i="8"/>
  <c r="AW281" i="8"/>
  <c r="AV281" i="8"/>
  <c r="AY282" i="8"/>
  <c r="AX282" i="8"/>
  <c r="AW282" i="8"/>
  <c r="AV282" i="8"/>
  <c r="AY280" i="8"/>
  <c r="AX280" i="8"/>
  <c r="AW280" i="8"/>
  <c r="AV280" i="8"/>
  <c r="AY278" i="8"/>
  <c r="AX278" i="8"/>
  <c r="AW278" i="8"/>
  <c r="AV278" i="8"/>
  <c r="AY279" i="8"/>
  <c r="AX279" i="8"/>
  <c r="AW279" i="8"/>
  <c r="AV279" i="8"/>
  <c r="AY277" i="8"/>
  <c r="AX277" i="8"/>
  <c r="AW277" i="8"/>
  <c r="AV277" i="8"/>
  <c r="AY276" i="8"/>
  <c r="AX276" i="8"/>
  <c r="AW276" i="8"/>
  <c r="AV276" i="8"/>
  <c r="AU283" i="8"/>
  <c r="AT283" i="8"/>
  <c r="AS283" i="8"/>
  <c r="AR283" i="8"/>
  <c r="AU281" i="8"/>
  <c r="AT281" i="8"/>
  <c r="AS281" i="8"/>
  <c r="AR281" i="8"/>
  <c r="AU282" i="8"/>
  <c r="AT282" i="8"/>
  <c r="AS282" i="8"/>
  <c r="AR282" i="8"/>
  <c r="AU280" i="8"/>
  <c r="AT280" i="8"/>
  <c r="AS280" i="8"/>
  <c r="AR280" i="8"/>
  <c r="AU278" i="8"/>
  <c r="AT278" i="8"/>
  <c r="AS278" i="8"/>
  <c r="AR278" i="8"/>
  <c r="AU279" i="8"/>
  <c r="AT279" i="8"/>
  <c r="AS279" i="8"/>
  <c r="AR279" i="8"/>
  <c r="AU277" i="8"/>
  <c r="AT277" i="8"/>
  <c r="AS277" i="8"/>
  <c r="AR277" i="8"/>
  <c r="AU276" i="8"/>
  <c r="AT276" i="8"/>
  <c r="AS276" i="8"/>
  <c r="AR276" i="8"/>
  <c r="AQ283" i="8"/>
  <c r="AP283" i="8"/>
  <c r="AO283" i="8"/>
  <c r="AN283" i="8"/>
  <c r="AQ281" i="8"/>
  <c r="AP281" i="8"/>
  <c r="AO281" i="8"/>
  <c r="AN281" i="8"/>
  <c r="AQ282" i="8"/>
  <c r="AP282" i="8"/>
  <c r="AO282" i="8"/>
  <c r="AN282" i="8"/>
  <c r="AQ280" i="8"/>
  <c r="AP280" i="8"/>
  <c r="AO280" i="8"/>
  <c r="AN280" i="8"/>
  <c r="AQ278" i="8"/>
  <c r="AP278" i="8"/>
  <c r="AO278" i="8"/>
  <c r="AN278" i="8"/>
  <c r="AQ279" i="8"/>
  <c r="AP279" i="8"/>
  <c r="AO279" i="8"/>
  <c r="AN279" i="8"/>
  <c r="AQ277" i="8"/>
  <c r="AP277" i="8"/>
  <c r="AO277" i="8"/>
  <c r="AN277" i="8"/>
  <c r="AQ276" i="8"/>
  <c r="AP276" i="8"/>
  <c r="AO276" i="8"/>
  <c r="AN276" i="8"/>
  <c r="AM283" i="8"/>
  <c r="AL283" i="8"/>
  <c r="AK283" i="8"/>
  <c r="AJ283" i="8"/>
  <c r="AM281" i="8"/>
  <c r="AL281" i="8"/>
  <c r="AK281" i="8"/>
  <c r="AJ281" i="8"/>
  <c r="AM282" i="8"/>
  <c r="AL282" i="8"/>
  <c r="AK282" i="8"/>
  <c r="AJ282" i="8"/>
  <c r="AM280" i="8"/>
  <c r="AL280" i="8"/>
  <c r="AK280" i="8"/>
  <c r="AJ280" i="8"/>
  <c r="AM278" i="8"/>
  <c r="AL278" i="8"/>
  <c r="AK278" i="8"/>
  <c r="AJ278" i="8"/>
  <c r="AM279" i="8"/>
  <c r="AL279" i="8"/>
  <c r="AK279" i="8"/>
  <c r="AJ279" i="8"/>
  <c r="AM277" i="8"/>
  <c r="AL277" i="8"/>
  <c r="AK277" i="8"/>
  <c r="AJ277" i="8"/>
  <c r="AM276" i="8"/>
  <c r="AL276" i="8"/>
  <c r="AK276" i="8"/>
  <c r="AJ276" i="8"/>
  <c r="AI283" i="8"/>
  <c r="AI281" i="8"/>
  <c r="AI282" i="8"/>
  <c r="AI280" i="8"/>
  <c r="AI278" i="8"/>
  <c r="AI279" i="8"/>
  <c r="AI277" i="8"/>
  <c r="AI276" i="8"/>
  <c r="AH276" i="8"/>
  <c r="AH277" i="8"/>
  <c r="AH279" i="8"/>
  <c r="AH278" i="8"/>
  <c r="AH280" i="8"/>
  <c r="AH282" i="8"/>
  <c r="AH281" i="8"/>
  <c r="AH283" i="8"/>
  <c r="AG283" i="8"/>
  <c r="AG281" i="8"/>
  <c r="AG282" i="8"/>
  <c r="AG280" i="8"/>
  <c r="AG278" i="8"/>
  <c r="AG279" i="8"/>
  <c r="AG277" i="8"/>
  <c r="AG276" i="8"/>
  <c r="AF283" i="8"/>
  <c r="AF281" i="8"/>
  <c r="AF282" i="8"/>
  <c r="AF280" i="8"/>
  <c r="AF278" i="8"/>
  <c r="AF279" i="8"/>
  <c r="AF277" i="8"/>
  <c r="AF276" i="8"/>
  <c r="BS273" i="8"/>
  <c r="BR273" i="8"/>
  <c r="BQ273" i="8"/>
  <c r="BP273" i="8"/>
  <c r="BS272" i="8"/>
  <c r="BR272" i="8"/>
  <c r="BQ272" i="8"/>
  <c r="BP272" i="8"/>
  <c r="BS271" i="8"/>
  <c r="BR271" i="8"/>
  <c r="BQ271" i="8"/>
  <c r="BP271" i="8"/>
  <c r="BS268" i="8"/>
  <c r="BR268" i="8"/>
  <c r="BQ268" i="8"/>
  <c r="BP268" i="8"/>
  <c r="BS270" i="8"/>
  <c r="BR270" i="8"/>
  <c r="BQ270" i="8"/>
  <c r="BP270" i="8"/>
  <c r="BS267" i="8"/>
  <c r="BR267" i="8"/>
  <c r="BQ267" i="8"/>
  <c r="BP267" i="8"/>
  <c r="BS266" i="8"/>
  <c r="BR266" i="8"/>
  <c r="BQ266" i="8"/>
  <c r="BP266" i="8"/>
  <c r="BS264" i="8"/>
  <c r="BR264" i="8"/>
  <c r="BQ264" i="8"/>
  <c r="BP264" i="8"/>
  <c r="BS265" i="8"/>
  <c r="BR265" i="8"/>
  <c r="BQ265" i="8"/>
  <c r="BP265" i="8"/>
  <c r="BO273" i="8"/>
  <c r="BN273" i="8"/>
  <c r="BM273" i="8"/>
  <c r="BL273" i="8"/>
  <c r="BO272" i="8"/>
  <c r="BN272" i="8"/>
  <c r="BM272" i="8"/>
  <c r="BL272" i="8"/>
  <c r="BO271" i="8"/>
  <c r="BN271" i="8"/>
  <c r="BM271" i="8"/>
  <c r="BL271" i="8"/>
  <c r="BO268" i="8"/>
  <c r="BN268" i="8"/>
  <c r="BM268" i="8"/>
  <c r="BL268" i="8"/>
  <c r="BO270" i="8"/>
  <c r="BN270" i="8"/>
  <c r="BM270" i="8"/>
  <c r="BL270" i="8"/>
  <c r="BO267" i="8"/>
  <c r="BN267" i="8"/>
  <c r="BM267" i="8"/>
  <c r="BL267" i="8"/>
  <c r="BO266" i="8"/>
  <c r="BN266" i="8"/>
  <c r="BM266" i="8"/>
  <c r="BL266" i="8"/>
  <c r="BO264" i="8"/>
  <c r="BN264" i="8"/>
  <c r="BM264" i="8"/>
  <c r="BL264" i="8"/>
  <c r="BO265" i="8"/>
  <c r="BN265" i="8"/>
  <c r="BM265" i="8"/>
  <c r="BL265" i="8"/>
  <c r="BK273" i="8"/>
  <c r="BJ273" i="8"/>
  <c r="BI273" i="8"/>
  <c r="BH273" i="8"/>
  <c r="BK272" i="8"/>
  <c r="BJ272" i="8"/>
  <c r="BI272" i="8"/>
  <c r="BH272" i="8"/>
  <c r="BK271" i="8"/>
  <c r="BJ271" i="8"/>
  <c r="BI271" i="8"/>
  <c r="BH271" i="8"/>
  <c r="BK268" i="8"/>
  <c r="BJ268" i="8"/>
  <c r="BI268" i="8"/>
  <c r="BH268" i="8"/>
  <c r="BK270" i="8"/>
  <c r="BJ270" i="8"/>
  <c r="BI270" i="8"/>
  <c r="BH270" i="8"/>
  <c r="BK267" i="8"/>
  <c r="BJ267" i="8"/>
  <c r="BI267" i="8"/>
  <c r="BH267" i="8"/>
  <c r="BK266" i="8"/>
  <c r="BJ266" i="8"/>
  <c r="BI266" i="8"/>
  <c r="BH266" i="8"/>
  <c r="BK264" i="8"/>
  <c r="BJ264" i="8"/>
  <c r="BI264" i="8"/>
  <c r="BH264" i="8"/>
  <c r="BK265" i="8"/>
  <c r="BJ265" i="8"/>
  <c r="BI265" i="8"/>
  <c r="BH265" i="8"/>
  <c r="BG273" i="8"/>
  <c r="BF273" i="8"/>
  <c r="BE273" i="8"/>
  <c r="BD273" i="8"/>
  <c r="BG272" i="8"/>
  <c r="BF272" i="8"/>
  <c r="BE272" i="8"/>
  <c r="BD272" i="8"/>
  <c r="BG271" i="8"/>
  <c r="BF271" i="8"/>
  <c r="BE271" i="8"/>
  <c r="BD271" i="8"/>
  <c r="BG268" i="8"/>
  <c r="BF268" i="8"/>
  <c r="BE268" i="8"/>
  <c r="BD268" i="8"/>
  <c r="BG270" i="8"/>
  <c r="BF270" i="8"/>
  <c r="BE270" i="8"/>
  <c r="BD270" i="8"/>
  <c r="BG267" i="8"/>
  <c r="BF267" i="8"/>
  <c r="BE267" i="8"/>
  <c r="BD267" i="8"/>
  <c r="BG266" i="8"/>
  <c r="BF266" i="8"/>
  <c r="BE266" i="8"/>
  <c r="BD266" i="8"/>
  <c r="BG264" i="8"/>
  <c r="BF264" i="8"/>
  <c r="BE264" i="8"/>
  <c r="BD264" i="8"/>
  <c r="BG265" i="8"/>
  <c r="BF265" i="8"/>
  <c r="BE265" i="8"/>
  <c r="BD265" i="8"/>
  <c r="BC273" i="8"/>
  <c r="BB273" i="8"/>
  <c r="BA273" i="8"/>
  <c r="AZ273" i="8"/>
  <c r="BC272" i="8"/>
  <c r="BB272" i="8"/>
  <c r="BA272" i="8"/>
  <c r="AZ272" i="8"/>
  <c r="BC271" i="8"/>
  <c r="BB271" i="8"/>
  <c r="BA271" i="8"/>
  <c r="AZ271" i="8"/>
  <c r="BC268" i="8"/>
  <c r="BB268" i="8"/>
  <c r="BA268" i="8"/>
  <c r="AZ268" i="8"/>
  <c r="BC270" i="8"/>
  <c r="BB270" i="8"/>
  <c r="BA270" i="8"/>
  <c r="AZ270" i="8"/>
  <c r="BC267" i="8"/>
  <c r="BB267" i="8"/>
  <c r="BA267" i="8"/>
  <c r="AZ267" i="8"/>
  <c r="BC266" i="8"/>
  <c r="BB266" i="8"/>
  <c r="BA266" i="8"/>
  <c r="AZ266" i="8"/>
  <c r="BC264" i="8"/>
  <c r="BB264" i="8"/>
  <c r="BA264" i="8"/>
  <c r="AZ264" i="8"/>
  <c r="BC265" i="8"/>
  <c r="BB265" i="8"/>
  <c r="BA265" i="8"/>
  <c r="AZ265" i="8"/>
  <c r="AY273" i="8"/>
  <c r="AX273" i="8"/>
  <c r="AW273" i="8"/>
  <c r="AV273" i="8"/>
  <c r="AY272" i="8"/>
  <c r="AX272" i="8"/>
  <c r="AW272" i="8"/>
  <c r="AV272" i="8"/>
  <c r="AY271" i="8"/>
  <c r="AX271" i="8"/>
  <c r="AW271" i="8"/>
  <c r="AV271" i="8"/>
  <c r="AY268" i="8"/>
  <c r="AX268" i="8"/>
  <c r="AW268" i="8"/>
  <c r="AV268" i="8"/>
  <c r="AY270" i="8"/>
  <c r="AX270" i="8"/>
  <c r="AW270" i="8"/>
  <c r="AV270" i="8"/>
  <c r="AY267" i="8"/>
  <c r="AX267" i="8"/>
  <c r="AW267" i="8"/>
  <c r="AV267" i="8"/>
  <c r="AY266" i="8"/>
  <c r="AX266" i="8"/>
  <c r="AW266" i="8"/>
  <c r="AV266" i="8"/>
  <c r="AY264" i="8"/>
  <c r="AX264" i="8"/>
  <c r="AW264" i="8"/>
  <c r="AV264" i="8"/>
  <c r="AY265" i="8"/>
  <c r="AX265" i="8"/>
  <c r="AW265" i="8"/>
  <c r="AV265" i="8"/>
  <c r="AU273" i="8"/>
  <c r="AT273" i="8"/>
  <c r="AS273" i="8"/>
  <c r="AR273" i="8"/>
  <c r="AU272" i="8"/>
  <c r="AT272" i="8"/>
  <c r="AS272" i="8"/>
  <c r="AR272" i="8"/>
  <c r="AU271" i="8"/>
  <c r="AT271" i="8"/>
  <c r="AS271" i="8"/>
  <c r="AR271" i="8"/>
  <c r="AU268" i="8"/>
  <c r="AT268" i="8"/>
  <c r="AS268" i="8"/>
  <c r="AR268" i="8"/>
  <c r="AU270" i="8"/>
  <c r="AT270" i="8"/>
  <c r="AS270" i="8"/>
  <c r="AR270" i="8"/>
  <c r="AU267" i="8"/>
  <c r="AT267" i="8"/>
  <c r="AS267" i="8"/>
  <c r="AR267" i="8"/>
  <c r="AU266" i="8"/>
  <c r="AT266" i="8"/>
  <c r="AS266" i="8"/>
  <c r="AR266" i="8"/>
  <c r="AU264" i="8"/>
  <c r="AT264" i="8"/>
  <c r="AS264" i="8"/>
  <c r="AR264" i="8"/>
  <c r="AU265" i="8"/>
  <c r="AT265" i="8"/>
  <c r="AS265" i="8"/>
  <c r="AR265" i="8"/>
  <c r="AQ273" i="8"/>
  <c r="AP273" i="8"/>
  <c r="AO273" i="8"/>
  <c r="AN273" i="8"/>
  <c r="AQ272" i="8"/>
  <c r="AP272" i="8"/>
  <c r="AO272" i="8"/>
  <c r="AN272" i="8"/>
  <c r="AQ271" i="8"/>
  <c r="AP271" i="8"/>
  <c r="AO271" i="8"/>
  <c r="AN271" i="8"/>
  <c r="AQ268" i="8"/>
  <c r="AP268" i="8"/>
  <c r="AO268" i="8"/>
  <c r="AN268" i="8"/>
  <c r="AQ270" i="8"/>
  <c r="AP270" i="8"/>
  <c r="AO270" i="8"/>
  <c r="AN270" i="8"/>
  <c r="AQ267" i="8"/>
  <c r="AP267" i="8"/>
  <c r="AO267" i="8"/>
  <c r="AN267" i="8"/>
  <c r="AQ266" i="8"/>
  <c r="AP266" i="8"/>
  <c r="AO266" i="8"/>
  <c r="AN266" i="8"/>
  <c r="AQ264" i="8"/>
  <c r="AP264" i="8"/>
  <c r="AO264" i="8"/>
  <c r="AN264" i="8"/>
  <c r="AQ265" i="8"/>
  <c r="AP265" i="8"/>
  <c r="AO265" i="8"/>
  <c r="AN265" i="8"/>
  <c r="AM273" i="8"/>
  <c r="AL273" i="8"/>
  <c r="AK273" i="8"/>
  <c r="AJ273" i="8"/>
  <c r="AM272" i="8"/>
  <c r="AL272" i="8"/>
  <c r="AK272" i="8"/>
  <c r="AJ272" i="8"/>
  <c r="AM271" i="8"/>
  <c r="AL271" i="8"/>
  <c r="AK271" i="8"/>
  <c r="AJ271" i="8"/>
  <c r="AM268" i="8"/>
  <c r="AL268" i="8"/>
  <c r="AK268" i="8"/>
  <c r="AJ268" i="8"/>
  <c r="AM270" i="8"/>
  <c r="AL270" i="8"/>
  <c r="AK270" i="8"/>
  <c r="AJ270" i="8"/>
  <c r="AM267" i="8"/>
  <c r="AL267" i="8"/>
  <c r="AK267" i="8"/>
  <c r="AJ267" i="8"/>
  <c r="AM266" i="8"/>
  <c r="AL266" i="8"/>
  <c r="AK266" i="8"/>
  <c r="AJ266" i="8"/>
  <c r="AM264" i="8"/>
  <c r="AL264" i="8"/>
  <c r="AK264" i="8"/>
  <c r="AJ264" i="8"/>
  <c r="AM265" i="8"/>
  <c r="AL265" i="8"/>
  <c r="AK265" i="8"/>
  <c r="AJ265" i="8"/>
  <c r="AI264" i="8"/>
  <c r="AI266" i="8"/>
  <c r="AI267" i="8"/>
  <c r="AI270" i="8"/>
  <c r="AI268" i="8"/>
  <c r="AI271" i="8"/>
  <c r="AI272" i="8"/>
  <c r="AI273" i="8"/>
  <c r="AI265" i="8"/>
  <c r="AH265" i="8"/>
  <c r="AH264" i="8"/>
  <c r="AH266" i="8"/>
  <c r="AH267" i="8"/>
  <c r="AH270" i="8"/>
  <c r="AH268" i="8"/>
  <c r="AH271" i="8"/>
  <c r="AH272" i="8"/>
  <c r="AH273" i="8"/>
  <c r="AG265" i="8"/>
  <c r="AG264" i="8"/>
  <c r="AG266" i="8"/>
  <c r="AG267" i="8"/>
  <c r="AG270" i="8"/>
  <c r="AG268" i="8"/>
  <c r="AG271" i="8"/>
  <c r="AG272" i="8"/>
  <c r="AF272" i="8"/>
  <c r="AF271" i="8"/>
  <c r="AF268" i="8"/>
  <c r="AF270" i="8"/>
  <c r="AF267" i="8"/>
  <c r="AF266" i="8"/>
  <c r="AF264" i="8"/>
  <c r="AF265" i="8"/>
  <c r="BS225" i="8"/>
  <c r="BR225" i="8"/>
  <c r="BQ225" i="8"/>
  <c r="BP225" i="8"/>
  <c r="BS223" i="8"/>
  <c r="BR223" i="8"/>
  <c r="BQ223" i="8"/>
  <c r="BP223" i="8"/>
  <c r="BS222" i="8"/>
  <c r="BR222" i="8"/>
  <c r="BQ222" i="8"/>
  <c r="BP222" i="8"/>
  <c r="BS224" i="8"/>
  <c r="BR224" i="8"/>
  <c r="BQ224" i="8"/>
  <c r="BP224" i="8"/>
  <c r="BS220" i="8"/>
  <c r="BR220" i="8"/>
  <c r="BQ220" i="8"/>
  <c r="BP220" i="8"/>
  <c r="BS219" i="8"/>
  <c r="BR219" i="8"/>
  <c r="BQ219" i="8"/>
  <c r="BP219" i="8"/>
  <c r="BS221" i="8"/>
  <c r="BR221" i="8"/>
  <c r="BQ221" i="8"/>
  <c r="BP221" i="8"/>
  <c r="BO225" i="8"/>
  <c r="BN225" i="8"/>
  <c r="BM225" i="8"/>
  <c r="BL225" i="8"/>
  <c r="BO223" i="8"/>
  <c r="BN223" i="8"/>
  <c r="BM223" i="8"/>
  <c r="BL223" i="8"/>
  <c r="BO222" i="8"/>
  <c r="BN222" i="8"/>
  <c r="BM222" i="8"/>
  <c r="BL222" i="8"/>
  <c r="BO224" i="8"/>
  <c r="BN224" i="8"/>
  <c r="BM224" i="8"/>
  <c r="BL224" i="8"/>
  <c r="BO220" i="8"/>
  <c r="BN220" i="8"/>
  <c r="BM220" i="8"/>
  <c r="BL220" i="8"/>
  <c r="BO219" i="8"/>
  <c r="BN219" i="8"/>
  <c r="BM219" i="8"/>
  <c r="BL219" i="8"/>
  <c r="BO221" i="8"/>
  <c r="BN221" i="8"/>
  <c r="BM221" i="8"/>
  <c r="BL221" i="8"/>
  <c r="BK225" i="8"/>
  <c r="BJ225" i="8"/>
  <c r="BI225" i="8"/>
  <c r="BH225" i="8"/>
  <c r="BK223" i="8"/>
  <c r="BJ223" i="8"/>
  <c r="BI223" i="8"/>
  <c r="BH223" i="8"/>
  <c r="BK222" i="8"/>
  <c r="BJ222" i="8"/>
  <c r="BI222" i="8"/>
  <c r="BH222" i="8"/>
  <c r="BK224" i="8"/>
  <c r="BJ224" i="8"/>
  <c r="BI224" i="8"/>
  <c r="BH224" i="8"/>
  <c r="BK220" i="8"/>
  <c r="BJ220" i="8"/>
  <c r="BI220" i="8"/>
  <c r="BH220" i="8"/>
  <c r="BK219" i="8"/>
  <c r="BJ219" i="8"/>
  <c r="BI219" i="8"/>
  <c r="BH219" i="8"/>
  <c r="BK221" i="8"/>
  <c r="BJ221" i="8"/>
  <c r="BI221" i="8"/>
  <c r="BH221" i="8"/>
  <c r="BG225" i="8"/>
  <c r="BF225" i="8"/>
  <c r="BE225" i="8"/>
  <c r="BD225" i="8"/>
  <c r="BG223" i="8"/>
  <c r="BF223" i="8"/>
  <c r="BE223" i="8"/>
  <c r="BD223" i="8"/>
  <c r="BG222" i="8"/>
  <c r="BF222" i="8"/>
  <c r="BE222" i="8"/>
  <c r="BD222" i="8"/>
  <c r="BG224" i="8"/>
  <c r="BF224" i="8"/>
  <c r="BE224" i="8"/>
  <c r="BD224" i="8"/>
  <c r="BG220" i="8"/>
  <c r="BF220" i="8"/>
  <c r="BE220" i="8"/>
  <c r="BD220" i="8"/>
  <c r="BG219" i="8"/>
  <c r="BF219" i="8"/>
  <c r="BE219" i="8"/>
  <c r="BD219" i="8"/>
  <c r="BG221" i="8"/>
  <c r="BF221" i="8"/>
  <c r="BE221" i="8"/>
  <c r="BD221" i="8"/>
  <c r="BC225" i="8"/>
  <c r="BB225" i="8"/>
  <c r="BA225" i="8"/>
  <c r="AZ225" i="8"/>
  <c r="BC223" i="8"/>
  <c r="BB223" i="8"/>
  <c r="BA223" i="8"/>
  <c r="AZ223" i="8"/>
  <c r="BC222" i="8"/>
  <c r="BB222" i="8"/>
  <c r="BA222" i="8"/>
  <c r="AZ222" i="8"/>
  <c r="BC224" i="8"/>
  <c r="BB224" i="8"/>
  <c r="BA224" i="8"/>
  <c r="AZ224" i="8"/>
  <c r="BC220" i="8"/>
  <c r="BB220" i="8"/>
  <c r="BA220" i="8"/>
  <c r="AZ220" i="8"/>
  <c r="BC219" i="8"/>
  <c r="BB219" i="8"/>
  <c r="BA219" i="8"/>
  <c r="AZ219" i="8"/>
  <c r="BC221" i="8"/>
  <c r="BB221" i="8"/>
  <c r="BA221" i="8"/>
  <c r="AZ221" i="8"/>
  <c r="AY225" i="8"/>
  <c r="AX225" i="8"/>
  <c r="AW225" i="8"/>
  <c r="AV225" i="8"/>
  <c r="AY223" i="8"/>
  <c r="AX223" i="8"/>
  <c r="AW223" i="8"/>
  <c r="AV223" i="8"/>
  <c r="AY222" i="8"/>
  <c r="AX222" i="8"/>
  <c r="AW222" i="8"/>
  <c r="AV222" i="8"/>
  <c r="AY224" i="8"/>
  <c r="AX224" i="8"/>
  <c r="AW224" i="8"/>
  <c r="AV224" i="8"/>
  <c r="AY220" i="8"/>
  <c r="AX220" i="8"/>
  <c r="AW220" i="8"/>
  <c r="AV220" i="8"/>
  <c r="AY219" i="8"/>
  <c r="AX219" i="8"/>
  <c r="AW219" i="8"/>
  <c r="AV219" i="8"/>
  <c r="AY221" i="8"/>
  <c r="AX221" i="8"/>
  <c r="AW221" i="8"/>
  <c r="AV221" i="8"/>
  <c r="AU225" i="8"/>
  <c r="AT225" i="8"/>
  <c r="AS225" i="8"/>
  <c r="AR225" i="8"/>
  <c r="AU223" i="8"/>
  <c r="AT223" i="8"/>
  <c r="AS223" i="8"/>
  <c r="AR223" i="8"/>
  <c r="AU222" i="8"/>
  <c r="AT222" i="8"/>
  <c r="AS222" i="8"/>
  <c r="AR222" i="8"/>
  <c r="AU224" i="8"/>
  <c r="AT224" i="8"/>
  <c r="AS224" i="8"/>
  <c r="AR224" i="8"/>
  <c r="AU220" i="8"/>
  <c r="AT220" i="8"/>
  <c r="AS220" i="8"/>
  <c r="AR220" i="8"/>
  <c r="AU219" i="8"/>
  <c r="AT219" i="8"/>
  <c r="AS219" i="8"/>
  <c r="AR219" i="8"/>
  <c r="AU221" i="8"/>
  <c r="AT221" i="8"/>
  <c r="AS221" i="8"/>
  <c r="AR221" i="8"/>
  <c r="AQ225" i="8"/>
  <c r="AP225" i="8"/>
  <c r="AO225" i="8"/>
  <c r="AN225" i="8"/>
  <c r="AQ223" i="8"/>
  <c r="AP223" i="8"/>
  <c r="AO223" i="8"/>
  <c r="AN223" i="8"/>
  <c r="AQ222" i="8"/>
  <c r="AP222" i="8"/>
  <c r="AO222" i="8"/>
  <c r="AN222" i="8"/>
  <c r="AQ224" i="8"/>
  <c r="AP224" i="8"/>
  <c r="AO224" i="8"/>
  <c r="AN224" i="8"/>
  <c r="AQ220" i="8"/>
  <c r="AP220" i="8"/>
  <c r="AO220" i="8"/>
  <c r="AN220" i="8"/>
  <c r="AQ219" i="8"/>
  <c r="AP219" i="8"/>
  <c r="AO219" i="8"/>
  <c r="AN219" i="8"/>
  <c r="AQ221" i="8"/>
  <c r="AP221" i="8"/>
  <c r="AO221" i="8"/>
  <c r="AN221" i="8"/>
  <c r="AM225" i="8"/>
  <c r="AL225" i="8"/>
  <c r="AK225" i="8"/>
  <c r="AJ225" i="8"/>
  <c r="AM223" i="8"/>
  <c r="AL223" i="8"/>
  <c r="AK223" i="8"/>
  <c r="AJ223" i="8"/>
  <c r="AM222" i="8"/>
  <c r="AL222" i="8"/>
  <c r="AK222" i="8"/>
  <c r="AJ222" i="8"/>
  <c r="AM224" i="8"/>
  <c r="AL224" i="8"/>
  <c r="AK224" i="8"/>
  <c r="AJ224" i="8"/>
  <c r="AM220" i="8"/>
  <c r="AL220" i="8"/>
  <c r="AK220" i="8"/>
  <c r="AJ220" i="8"/>
  <c r="AM219" i="8"/>
  <c r="AL219" i="8"/>
  <c r="AK219" i="8"/>
  <c r="AJ219" i="8"/>
  <c r="AM221" i="8"/>
  <c r="AL221" i="8"/>
  <c r="AK221" i="8"/>
  <c r="AJ221" i="8"/>
  <c r="AI219" i="8"/>
  <c r="AI220" i="8"/>
  <c r="AI224" i="8"/>
  <c r="AI222" i="8"/>
  <c r="AI223" i="8"/>
  <c r="AI225" i="8"/>
  <c r="AI221" i="8"/>
  <c r="BS216" i="8"/>
  <c r="BR216" i="8"/>
  <c r="BQ216" i="8"/>
  <c r="BP216" i="8"/>
  <c r="BS213" i="8"/>
  <c r="BR213" i="8"/>
  <c r="BQ213" i="8"/>
  <c r="BP213" i="8"/>
  <c r="BS215" i="8"/>
  <c r="BR215" i="8"/>
  <c r="BQ215" i="8"/>
  <c r="BP215" i="8"/>
  <c r="BS212" i="8"/>
  <c r="BR212" i="8"/>
  <c r="BQ212" i="8"/>
  <c r="BP212" i="8"/>
  <c r="BS214" i="8"/>
  <c r="BR214" i="8"/>
  <c r="BQ214" i="8"/>
  <c r="BP214" i="8"/>
  <c r="BO216" i="8"/>
  <c r="BN216" i="8"/>
  <c r="BM216" i="8"/>
  <c r="BL216" i="8"/>
  <c r="BO213" i="8"/>
  <c r="BN213" i="8"/>
  <c r="BM213" i="8"/>
  <c r="BL213" i="8"/>
  <c r="BO215" i="8"/>
  <c r="BN215" i="8"/>
  <c r="BM215" i="8"/>
  <c r="BL215" i="8"/>
  <c r="BO212" i="8"/>
  <c r="BN212" i="8"/>
  <c r="BM212" i="8"/>
  <c r="BL212" i="8"/>
  <c r="BO214" i="8"/>
  <c r="BN214" i="8"/>
  <c r="BM214" i="8"/>
  <c r="BL214" i="8"/>
  <c r="BK216" i="8"/>
  <c r="BJ216" i="8"/>
  <c r="BI216" i="8"/>
  <c r="BH216" i="8"/>
  <c r="BK213" i="8"/>
  <c r="BJ213" i="8"/>
  <c r="BI213" i="8"/>
  <c r="BH213" i="8"/>
  <c r="BK215" i="8"/>
  <c r="BJ215" i="8"/>
  <c r="BI215" i="8"/>
  <c r="BH215" i="8"/>
  <c r="BK212" i="8"/>
  <c r="BJ212" i="8"/>
  <c r="BI212" i="8"/>
  <c r="BH212" i="8"/>
  <c r="BK214" i="8"/>
  <c r="BJ214" i="8"/>
  <c r="BI214" i="8"/>
  <c r="BH214" i="8"/>
  <c r="BG216" i="8"/>
  <c r="BF216" i="8"/>
  <c r="BE216" i="8"/>
  <c r="BD216" i="8"/>
  <c r="BG213" i="8"/>
  <c r="BF213" i="8"/>
  <c r="BE213" i="8"/>
  <c r="BD213" i="8"/>
  <c r="BG215" i="8"/>
  <c r="BF215" i="8"/>
  <c r="BE215" i="8"/>
  <c r="BD215" i="8"/>
  <c r="BG212" i="8"/>
  <c r="BF212" i="8"/>
  <c r="BE212" i="8"/>
  <c r="BD212" i="8"/>
  <c r="BG214" i="8"/>
  <c r="BF214" i="8"/>
  <c r="BE214" i="8"/>
  <c r="BD214" i="8"/>
  <c r="BC216" i="8"/>
  <c r="BB216" i="8"/>
  <c r="BA216" i="8"/>
  <c r="AZ216" i="8"/>
  <c r="BC213" i="8"/>
  <c r="BB213" i="8"/>
  <c r="BA213" i="8"/>
  <c r="AZ213" i="8"/>
  <c r="BC215" i="8"/>
  <c r="BB215" i="8"/>
  <c r="BA215" i="8"/>
  <c r="AZ215" i="8"/>
  <c r="BC212" i="8"/>
  <c r="BB212" i="8"/>
  <c r="BA212" i="8"/>
  <c r="AZ212" i="8"/>
  <c r="BC214" i="8"/>
  <c r="BB214" i="8"/>
  <c r="BA214" i="8"/>
  <c r="AZ214" i="8"/>
  <c r="AY216" i="8"/>
  <c r="AX216" i="8"/>
  <c r="AW216" i="8"/>
  <c r="AV216" i="8"/>
  <c r="AY213" i="8"/>
  <c r="AX213" i="8"/>
  <c r="AW213" i="8"/>
  <c r="AV213" i="8"/>
  <c r="AY215" i="8"/>
  <c r="AX215" i="8"/>
  <c r="AW215" i="8"/>
  <c r="AV215" i="8"/>
  <c r="AY212" i="8"/>
  <c r="AX212" i="8"/>
  <c r="AW212" i="8"/>
  <c r="AV212" i="8"/>
  <c r="AY214" i="8"/>
  <c r="AX214" i="8"/>
  <c r="AW214" i="8"/>
  <c r="AV214" i="8"/>
  <c r="AU216" i="8"/>
  <c r="AT216" i="8"/>
  <c r="AS216" i="8"/>
  <c r="AR216" i="8"/>
  <c r="AU213" i="8"/>
  <c r="AT213" i="8"/>
  <c r="AS213" i="8"/>
  <c r="AR213" i="8"/>
  <c r="AU215" i="8"/>
  <c r="AT215" i="8"/>
  <c r="AS215" i="8"/>
  <c r="AR215" i="8"/>
  <c r="AU212" i="8"/>
  <c r="AT212" i="8"/>
  <c r="AS212" i="8"/>
  <c r="AR212" i="8"/>
  <c r="AU214" i="8"/>
  <c r="AT214" i="8"/>
  <c r="AS214" i="8"/>
  <c r="AR214" i="8"/>
  <c r="AQ216" i="8"/>
  <c r="AP216" i="8"/>
  <c r="AO216" i="8"/>
  <c r="AN216" i="8"/>
  <c r="AQ213" i="8"/>
  <c r="AP213" i="8"/>
  <c r="AO213" i="8"/>
  <c r="AN213" i="8"/>
  <c r="AQ215" i="8"/>
  <c r="AP215" i="8"/>
  <c r="AO215" i="8"/>
  <c r="AN215" i="8"/>
  <c r="AQ212" i="8"/>
  <c r="AP212" i="8"/>
  <c r="AO212" i="8"/>
  <c r="AN212" i="8"/>
  <c r="AQ214" i="8"/>
  <c r="AP214" i="8"/>
  <c r="AO214" i="8"/>
  <c r="AN214" i="8"/>
  <c r="AM216" i="8"/>
  <c r="AL216" i="8"/>
  <c r="AK216" i="8"/>
  <c r="AJ216" i="8"/>
  <c r="AM213" i="8"/>
  <c r="AL213" i="8"/>
  <c r="AK213" i="8"/>
  <c r="AJ213" i="8"/>
  <c r="AM215" i="8"/>
  <c r="AL215" i="8"/>
  <c r="AK215" i="8"/>
  <c r="AJ215" i="8"/>
  <c r="AM212" i="8"/>
  <c r="AL212" i="8"/>
  <c r="AK212" i="8"/>
  <c r="AJ212" i="8"/>
  <c r="AM214" i="8"/>
  <c r="AL214" i="8"/>
  <c r="AK214" i="8"/>
  <c r="AJ214" i="8"/>
  <c r="AI216" i="8"/>
  <c r="AI213" i="8"/>
  <c r="AI215" i="8"/>
  <c r="AI212" i="8"/>
  <c r="AI214" i="8"/>
  <c r="AF199" i="8"/>
  <c r="AF189" i="8"/>
  <c r="AF10" i="8"/>
  <c r="AF123" i="4"/>
  <c r="AF117" i="4"/>
  <c r="AH47" i="3"/>
  <c r="AF3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AM217" i="8" l="1"/>
  <c r="AJ217" i="8"/>
  <c r="AK217" i="8"/>
  <c r="AL217" i="8"/>
  <c r="AG217" i="8"/>
  <c r="AH217" i="8"/>
  <c r="AI217" i="8"/>
  <c r="AF47" i="3"/>
  <c r="AF19" i="3" l="1"/>
  <c r="AG19" i="3"/>
  <c r="AH19" i="3"/>
  <c r="AI19" i="3"/>
  <c r="AG29" i="3" l="1"/>
  <c r="AH29" i="3"/>
  <c r="AF29" i="3"/>
  <c r="AF246" i="8"/>
  <c r="AF256" i="8"/>
  <c r="AF217" i="8"/>
  <c r="AF227" i="8"/>
  <c r="AF198" i="8"/>
  <c r="AF132" i="8"/>
  <c r="AF133" i="8"/>
  <c r="AF136" i="8"/>
  <c r="AF71" i="8"/>
  <c r="AF72" i="8"/>
  <c r="AF77" i="8"/>
  <c r="AF79" i="8"/>
  <c r="AF80" i="8"/>
  <c r="AF81" i="8"/>
  <c r="AF82" i="8"/>
  <c r="AF83" i="8"/>
  <c r="AF102" i="8"/>
  <c r="AF103" i="8"/>
  <c r="AF105" i="8"/>
  <c r="AF108" i="8"/>
  <c r="AF121" i="8"/>
  <c r="AF122" i="8"/>
  <c r="AF13" i="8"/>
  <c r="AE18" i="7"/>
  <c r="AE23" i="7"/>
  <c r="AE30" i="7"/>
  <c r="AF30" i="6"/>
  <c r="AF36" i="6"/>
  <c r="AF20" i="6"/>
  <c r="AF21" i="6"/>
  <c r="AF216" i="4"/>
  <c r="AF112" i="4"/>
  <c r="AF118" i="4"/>
  <c r="AF125" i="4"/>
  <c r="AF129" i="4"/>
  <c r="AF136" i="4"/>
  <c r="AF142" i="4"/>
  <c r="AF149" i="4"/>
  <c r="AF160" i="4"/>
  <c r="AF166" i="4"/>
  <c r="AF173" i="4"/>
  <c r="AF177" i="4"/>
  <c r="AF184" i="4"/>
  <c r="AF190" i="4"/>
  <c r="AF197" i="4"/>
  <c r="AF201" i="4"/>
  <c r="AF69" i="4"/>
  <c r="AF78" i="4"/>
  <c r="AF87" i="4"/>
  <c r="AF96" i="4"/>
  <c r="AF100" i="4"/>
  <c r="AF24" i="4"/>
  <c r="AF56" i="3"/>
  <c r="AC43" i="2"/>
  <c r="AC50" i="2"/>
  <c r="AC59" i="2"/>
  <c r="AF101" i="8" l="1"/>
  <c r="AF146" i="8"/>
  <c r="AC10" i="2"/>
  <c r="AF205" i="4"/>
  <c r="AF218" i="4"/>
  <c r="AF135" i="8"/>
  <c r="AB162" i="8"/>
  <c r="AC162" i="8"/>
  <c r="AC61" i="2"/>
  <c r="AF89" i="4"/>
  <c r="AF199" i="4"/>
  <c r="AF175" i="4"/>
  <c r="AF151" i="4"/>
  <c r="AF127" i="4"/>
  <c r="AF98" i="4"/>
  <c r="AF80" i="4"/>
  <c r="AF168" i="4"/>
  <c r="AF120" i="4"/>
  <c r="AF186" i="4"/>
  <c r="AF162" i="4"/>
  <c r="AF138" i="4"/>
  <c r="AF114" i="4"/>
  <c r="AF131" i="8"/>
  <c r="AC26" i="2"/>
  <c r="AD162" i="8"/>
  <c r="AE162" i="8"/>
  <c r="AE171" i="8"/>
  <c r="AF60" i="6"/>
  <c r="AC11" i="2"/>
  <c r="AF31" i="6"/>
  <c r="AF58" i="3"/>
  <c r="AF71" i="4"/>
  <c r="AF99" i="4"/>
  <c r="AF200" i="8"/>
  <c r="AE24" i="7"/>
  <c r="AF176" i="4"/>
  <c r="AF37" i="6"/>
  <c r="AF147" i="8"/>
  <c r="AF284" i="8"/>
  <c r="AF201" i="8"/>
  <c r="AF150" i="8"/>
  <c r="AE33" i="7"/>
  <c r="AF22" i="6"/>
  <c r="AF66" i="3"/>
  <c r="AF79" i="3"/>
  <c r="AF78" i="3"/>
  <c r="AF73" i="3"/>
  <c r="AF75" i="3"/>
  <c r="AF74" i="3"/>
  <c r="AF77" i="3"/>
  <c r="AF80" i="3"/>
  <c r="AF76" i="3"/>
  <c r="AF257" i="8"/>
  <c r="AF226" i="8"/>
  <c r="AF16" i="8"/>
  <c r="AF192" i="4"/>
  <c r="AF200" i="4"/>
  <c r="AF144" i="4"/>
  <c r="AF152" i="4"/>
  <c r="AF128" i="4"/>
  <c r="AC14" i="2" l="1"/>
  <c r="AF50" i="6"/>
  <c r="AC25" i="2"/>
  <c r="AF51" i="6"/>
  <c r="AB163" i="8"/>
  <c r="AC163" i="8"/>
  <c r="AC15" i="2"/>
  <c r="AF154" i="4"/>
  <c r="AF222" i="4"/>
  <c r="AF130" i="4"/>
  <c r="AF178" i="4"/>
  <c r="AF59" i="6"/>
  <c r="AF161" i="8"/>
  <c r="AF49" i="6"/>
  <c r="AF53" i="6"/>
  <c r="AF56" i="6"/>
  <c r="AF58" i="6"/>
  <c r="AF54" i="6"/>
  <c r="AF55" i="6"/>
  <c r="AF52" i="6"/>
  <c r="AF57" i="6"/>
  <c r="AF47" i="6"/>
  <c r="AF48" i="6"/>
  <c r="AF101" i="4"/>
  <c r="AD163" i="8"/>
  <c r="AE172" i="8"/>
  <c r="AE163" i="8"/>
  <c r="AF219" i="4"/>
  <c r="AF59" i="3"/>
  <c r="AC12" i="2"/>
  <c r="AC35" i="2"/>
  <c r="AE32" i="7"/>
  <c r="AC62" i="2"/>
  <c r="AF214" i="4"/>
  <c r="AF39" i="6"/>
  <c r="AF40" i="6"/>
  <c r="AC24" i="2"/>
  <c r="AF33" i="6"/>
  <c r="AF34" i="6"/>
  <c r="AF81" i="3"/>
  <c r="AF228" i="8"/>
  <c r="AF40" i="8"/>
  <c r="AF204" i="4"/>
  <c r="AF202" i="4"/>
  <c r="AG10" i="8"/>
  <c r="AF220" i="4" l="1"/>
  <c r="AF44" i="8"/>
  <c r="Z45" i="2"/>
  <c r="AA45" i="2"/>
  <c r="AB52" i="2"/>
  <c r="Y45" i="2"/>
  <c r="AB45" i="2"/>
  <c r="AC44" i="2"/>
  <c r="AF70" i="8"/>
  <c r="AF88" i="3"/>
  <c r="AF92" i="3"/>
  <c r="AF91" i="3"/>
  <c r="AF94" i="3"/>
  <c r="AF89" i="3"/>
  <c r="AF90" i="3"/>
  <c r="AF93" i="3"/>
  <c r="AF213" i="4"/>
  <c r="AF206" i="4"/>
  <c r="AF18" i="7"/>
  <c r="AF49" i="8" l="1"/>
  <c r="AC16" i="2"/>
  <c r="AF95" i="3"/>
  <c r="AG56" i="3"/>
  <c r="AF63" i="8" l="1"/>
  <c r="AF139" i="8"/>
  <c r="AG58" i="3"/>
  <c r="AF30" i="7"/>
  <c r="AC27" i="2" l="1"/>
  <c r="AG78" i="3"/>
  <c r="AG79" i="3"/>
  <c r="AG184" i="4" l="1"/>
  <c r="AG201" i="4"/>
  <c r="AG160" i="4"/>
  <c r="AG166" i="4"/>
  <c r="AG173" i="4"/>
  <c r="AG177" i="4"/>
  <c r="AG136" i="4"/>
  <c r="AG123" i="4"/>
  <c r="AG117" i="4"/>
  <c r="AG112" i="4"/>
  <c r="AG129" i="4"/>
  <c r="AG69" i="4"/>
  <c r="AG78" i="4"/>
  <c r="AG87" i="4"/>
  <c r="AG96" i="4"/>
  <c r="AG100" i="4"/>
  <c r="AG205" i="4" l="1"/>
  <c r="AG138" i="4"/>
  <c r="AG168" i="4"/>
  <c r="AG190" i="4"/>
  <c r="AG186" i="4"/>
  <c r="AG118" i="4"/>
  <c r="AG125" i="4"/>
  <c r="AG114" i="4"/>
  <c r="AG175" i="4"/>
  <c r="AG80" i="4"/>
  <c r="AG142" i="4"/>
  <c r="AG71" i="4"/>
  <c r="AG149" i="4"/>
  <c r="AG162" i="4"/>
  <c r="AG197" i="4"/>
  <c r="AG98" i="4"/>
  <c r="AG89" i="4"/>
  <c r="AG176" i="4"/>
  <c r="AG99" i="4"/>
  <c r="AG120" i="4" l="1"/>
  <c r="AG152" i="4"/>
  <c r="AG218" i="4"/>
  <c r="AG200" i="4"/>
  <c r="AG128" i="4"/>
  <c r="AG199" i="4"/>
  <c r="AG151" i="4"/>
  <c r="AG127" i="4"/>
  <c r="AG192" i="4"/>
  <c r="AG178" i="4"/>
  <c r="AG219" i="4"/>
  <c r="AG144" i="4"/>
  <c r="AG101" i="4"/>
  <c r="AG154" i="4" l="1"/>
  <c r="AG130" i="4"/>
  <c r="AG202" i="4"/>
  <c r="AG204" i="4"/>
  <c r="AD59" i="2"/>
  <c r="AD50" i="2"/>
  <c r="AD43" i="2"/>
  <c r="AD10" i="2"/>
  <c r="AG220" i="4" l="1"/>
  <c r="AG206" i="4"/>
  <c r="AG21" i="6"/>
  <c r="AH21" i="6"/>
  <c r="AI21" i="6"/>
  <c r="AK132" i="8" l="1"/>
  <c r="AF74" i="8" l="1"/>
  <c r="AI256" i="8"/>
  <c r="AH256" i="8"/>
  <c r="AG256" i="8"/>
  <c r="AI246" i="8"/>
  <c r="AH246" i="8"/>
  <c r="AG257" i="8" l="1"/>
  <c r="AG273" i="8"/>
  <c r="AF273" i="8"/>
  <c r="AH257" i="8"/>
  <c r="AI257" i="8"/>
  <c r="AG213" i="4"/>
  <c r="AG214" i="4"/>
  <c r="AG216" i="4"/>
  <c r="AD62" i="2" l="1"/>
  <c r="AD61" i="2"/>
  <c r="AF274" i="8"/>
  <c r="AG222" i="4"/>
  <c r="BS208" i="8"/>
  <c r="BR208" i="8"/>
  <c r="BQ208" i="8"/>
  <c r="BP208" i="8"/>
  <c r="BO208" i="8"/>
  <c r="BN208" i="8"/>
  <c r="BM208" i="8"/>
  <c r="BL208" i="8"/>
  <c r="BK208" i="8"/>
  <c r="BJ208" i="8"/>
  <c r="BI208" i="8"/>
  <c r="BH208" i="8"/>
  <c r="BG208" i="8"/>
  <c r="BF208" i="8"/>
  <c r="BE208" i="8"/>
  <c r="BD208" i="8"/>
  <c r="BC208" i="8"/>
  <c r="BB208" i="8"/>
  <c r="BA208" i="8"/>
  <c r="AZ208" i="8"/>
  <c r="AY208" i="8"/>
  <c r="AX208" i="8"/>
  <c r="AW208" i="8"/>
  <c r="AV208" i="8"/>
  <c r="AU208" i="8"/>
  <c r="AT208" i="8"/>
  <c r="AS208" i="8"/>
  <c r="AR208" i="8"/>
  <c r="AQ208" i="8"/>
  <c r="AP208" i="8"/>
  <c r="AO208" i="8"/>
  <c r="AN208" i="8"/>
  <c r="AP217" i="8" l="1"/>
  <c r="AT217" i="8"/>
  <c r="AX217" i="8"/>
  <c r="BB217" i="8"/>
  <c r="BF217" i="8"/>
  <c r="BJ217" i="8"/>
  <c r="BN217" i="8"/>
  <c r="BR217" i="8"/>
  <c r="AN217" i="8"/>
  <c r="AR217" i="8"/>
  <c r="AV217" i="8"/>
  <c r="AZ217" i="8"/>
  <c r="BD217" i="8"/>
  <c r="BH217" i="8"/>
  <c r="BL217" i="8"/>
  <c r="BP217" i="8"/>
  <c r="AO217" i="8"/>
  <c r="AS217" i="8"/>
  <c r="AW217" i="8"/>
  <c r="BA217" i="8"/>
  <c r="BE217" i="8"/>
  <c r="BI217" i="8"/>
  <c r="BM217" i="8"/>
  <c r="BQ217" i="8"/>
  <c r="AQ217" i="8"/>
  <c r="AU217" i="8"/>
  <c r="AY217" i="8"/>
  <c r="BC217" i="8"/>
  <c r="BG217" i="8"/>
  <c r="BK217" i="8"/>
  <c r="BO217" i="8"/>
  <c r="BS217" i="8"/>
  <c r="AF285" i="8"/>
  <c r="AM226" i="8"/>
  <c r="AN284" i="8"/>
  <c r="BD284" i="8"/>
  <c r="AS274" i="8"/>
  <c r="BI274" i="8"/>
  <c r="AK274" i="8"/>
  <c r="AO274" i="8"/>
  <c r="AW274" i="8"/>
  <c r="BA274" i="8"/>
  <c r="BE274" i="8"/>
  <c r="BM274" i="8"/>
  <c r="BQ274" i="8"/>
  <c r="AJ284" i="8"/>
  <c r="AR284" i="8"/>
  <c r="AV284" i="8"/>
  <c r="AZ284" i="8"/>
  <c r="BH284" i="8"/>
  <c r="BL284" i="8"/>
  <c r="BP284" i="8"/>
  <c r="AG284" i="8"/>
  <c r="AX226" i="8"/>
  <c r="BF226" i="8"/>
  <c r="BN226" i="8"/>
  <c r="BS226" i="8"/>
  <c r="AL284" i="8"/>
  <c r="AP284" i="8"/>
  <c r="AT284" i="8"/>
  <c r="AX284" i="8"/>
  <c r="BB284" i="8"/>
  <c r="BF284" i="8"/>
  <c r="BJ284" i="8"/>
  <c r="BN284" i="8"/>
  <c r="BR284" i="8"/>
  <c r="AK284" i="8"/>
  <c r="AO284" i="8"/>
  <c r="AS284" i="8"/>
  <c r="AW284" i="8"/>
  <c r="BA284" i="8"/>
  <c r="BE284" i="8"/>
  <c r="BI284" i="8"/>
  <c r="BM284" i="8"/>
  <c r="BQ284" i="8"/>
  <c r="AI226" i="8"/>
  <c r="AQ226" i="8"/>
  <c r="AY226" i="8"/>
  <c r="BG226" i="8"/>
  <c r="BO226" i="8"/>
  <c r="AU226" i="8"/>
  <c r="BK226" i="8"/>
  <c r="AI284" i="8"/>
  <c r="AM284" i="8"/>
  <c r="AQ284" i="8"/>
  <c r="AU284" i="8"/>
  <c r="AY284" i="8"/>
  <c r="BC284" i="8"/>
  <c r="BG284" i="8"/>
  <c r="BK284" i="8"/>
  <c r="BO284" i="8"/>
  <c r="BS284" i="8"/>
  <c r="BC226" i="8"/>
  <c r="AH274" i="8"/>
  <c r="AL274" i="8"/>
  <c r="AP274" i="8"/>
  <c r="AT274" i="8"/>
  <c r="AX274" i="8"/>
  <c r="BB274" i="8"/>
  <c r="BF274" i="8"/>
  <c r="BJ274" i="8"/>
  <c r="BN274" i="8"/>
  <c r="BR274" i="8"/>
  <c r="AI274" i="8"/>
  <c r="AM274" i="8"/>
  <c r="AQ274" i="8"/>
  <c r="AU274" i="8"/>
  <c r="AY274" i="8"/>
  <c r="BC274" i="8"/>
  <c r="BG274" i="8"/>
  <c r="BK274" i="8"/>
  <c r="BO274" i="8"/>
  <c r="BS274" i="8"/>
  <c r="AJ274" i="8"/>
  <c r="AN274" i="8"/>
  <c r="AR274" i="8"/>
  <c r="AV274" i="8"/>
  <c r="AZ274" i="8"/>
  <c r="BD274" i="8"/>
  <c r="BH274" i="8"/>
  <c r="BL274" i="8"/>
  <c r="BP274" i="8"/>
  <c r="AG274" i="8"/>
  <c r="AH284" i="8"/>
  <c r="AJ226" i="8"/>
  <c r="AN226" i="8"/>
  <c r="AR226" i="8"/>
  <c r="AV226" i="8"/>
  <c r="AZ226" i="8"/>
  <c r="BD226" i="8"/>
  <c r="BH226" i="8"/>
  <c r="BL226" i="8"/>
  <c r="BP226" i="8"/>
  <c r="AG226" i="8"/>
  <c r="AK226" i="8"/>
  <c r="AO226" i="8"/>
  <c r="AS226" i="8"/>
  <c r="AW226" i="8"/>
  <c r="BA226" i="8"/>
  <c r="BE226" i="8"/>
  <c r="BI226" i="8"/>
  <c r="BM226" i="8"/>
  <c r="BQ226" i="8"/>
  <c r="AH226" i="8"/>
  <c r="AL226" i="8"/>
  <c r="AP226" i="8"/>
  <c r="AT226" i="8"/>
  <c r="BB226" i="8"/>
  <c r="BJ226" i="8"/>
  <c r="BR226" i="8"/>
  <c r="AO285" i="8" l="1"/>
  <c r="AN285" i="8"/>
  <c r="AZ285" i="8"/>
  <c r="BH285" i="8"/>
  <c r="BM285" i="8"/>
  <c r="BO285" i="8"/>
  <c r="BI285" i="8"/>
  <c r="BR285" i="8"/>
  <c r="BN285" i="8"/>
  <c r="BE285" i="8"/>
  <c r="BG285" i="8"/>
  <c r="AQ285" i="8"/>
  <c r="BC285" i="8"/>
  <c r="AY285" i="8"/>
  <c r="BS285" i="8"/>
  <c r="BK285" i="8"/>
  <c r="BJ285" i="8"/>
  <c r="BD285" i="8"/>
  <c r="BA285" i="8"/>
  <c r="AX285" i="8"/>
  <c r="AU285" i="8"/>
  <c r="AT285" i="8"/>
  <c r="AL285" i="8"/>
  <c r="AM285" i="8"/>
  <c r="BF285" i="8"/>
  <c r="AW285" i="8"/>
  <c r="AR285" i="8"/>
  <c r="AK285" i="8"/>
  <c r="AI285" i="8"/>
  <c r="AJ285" i="8"/>
  <c r="BQ285" i="8"/>
  <c r="AV285" i="8"/>
  <c r="BP285" i="8"/>
  <c r="BB285" i="8"/>
  <c r="AP285" i="8"/>
  <c r="BL285" i="8"/>
  <c r="AS285" i="8"/>
  <c r="AH285" i="8"/>
  <c r="AG285" i="8"/>
  <c r="AF23" i="7"/>
  <c r="AG36" i="6"/>
  <c r="AG37" i="6"/>
  <c r="AG30" i="6"/>
  <c r="AG31" i="6"/>
  <c r="AG20" i="6"/>
  <c r="AG24" i="4"/>
  <c r="D45" i="3"/>
  <c r="AG73" i="3"/>
  <c r="AG74" i="3"/>
  <c r="AG75" i="3"/>
  <c r="AG76" i="3"/>
  <c r="AG77" i="3"/>
  <c r="AG80" i="3"/>
  <c r="AD15" i="2" l="1"/>
  <c r="AG39" i="3"/>
  <c r="AG60" i="6"/>
  <c r="AG38" i="3"/>
  <c r="AD11" i="2"/>
  <c r="AF33" i="7"/>
  <c r="AG22" i="6"/>
  <c r="AG81" i="3"/>
  <c r="AF24" i="7"/>
  <c r="AG37" i="3" l="1"/>
  <c r="AD12" i="2"/>
  <c r="AF32" i="7"/>
  <c r="AG39" i="6"/>
  <c r="AG40" i="6"/>
  <c r="AG33" i="6"/>
  <c r="AG34" i="6"/>
  <c r="AG47" i="3" l="1"/>
  <c r="AG66" i="3"/>
  <c r="AG198" i="8"/>
  <c r="AG132" i="8"/>
  <c r="AG133" i="8"/>
  <c r="AG136" i="8"/>
  <c r="AG71" i="8"/>
  <c r="AG72" i="8"/>
  <c r="AG77" i="8"/>
  <c r="AG79" i="8"/>
  <c r="AG80" i="8"/>
  <c r="AG81" i="8"/>
  <c r="AG82" i="8"/>
  <c r="AG83" i="8"/>
  <c r="AG102" i="8"/>
  <c r="AG103" i="8"/>
  <c r="AG105" i="8"/>
  <c r="AG108" i="8"/>
  <c r="AG121" i="8"/>
  <c r="AG122" i="8"/>
  <c r="AG13" i="8"/>
  <c r="AH10" i="8"/>
  <c r="AH71" i="8"/>
  <c r="AH72" i="8"/>
  <c r="AH74" i="8"/>
  <c r="AH77" i="8"/>
  <c r="AH79" i="8"/>
  <c r="AH80" i="8"/>
  <c r="AH81" i="8"/>
  <c r="AH82" i="8"/>
  <c r="AH83" i="8"/>
  <c r="AH102" i="8"/>
  <c r="AH103" i="8"/>
  <c r="AH105" i="8"/>
  <c r="AH107" i="8"/>
  <c r="AH108" i="8"/>
  <c r="AH121" i="8"/>
  <c r="AH122" i="8"/>
  <c r="AH132" i="8"/>
  <c r="AH133" i="8"/>
  <c r="AH136" i="8"/>
  <c r="AH198" i="8"/>
  <c r="AH199" i="8"/>
  <c r="AG101" i="8" l="1"/>
  <c r="AH101" i="8"/>
  <c r="AD14" i="2"/>
  <c r="AG135" i="8"/>
  <c r="AG200" i="8"/>
  <c r="AD26" i="2"/>
  <c r="AH13" i="8"/>
  <c r="AH200" i="8"/>
  <c r="AF73" i="8"/>
  <c r="AG59" i="3"/>
  <c r="AH146" i="8"/>
  <c r="AG201" i="8"/>
  <c r="AG227" i="8"/>
  <c r="AG74" i="8"/>
  <c r="AG146" i="8"/>
  <c r="AG147" i="8"/>
  <c r="AG150" i="8"/>
  <c r="AG16" i="8"/>
  <c r="AG131" i="8"/>
  <c r="AG70" i="8"/>
  <c r="AH150" i="8"/>
  <c r="AH147" i="8"/>
  <c r="AH201" i="8"/>
  <c r="AF149" i="8" l="1"/>
  <c r="AH135" i="8"/>
  <c r="AG73" i="8"/>
  <c r="AH16" i="8"/>
  <c r="AH131" i="8"/>
  <c r="AF76" i="8"/>
  <c r="AD25" i="2"/>
  <c r="AD24" i="2"/>
  <c r="AG161" i="8"/>
  <c r="AF145" i="8"/>
  <c r="AG91" i="3"/>
  <c r="AG88" i="3"/>
  <c r="AG93" i="3"/>
  <c r="AG90" i="3"/>
  <c r="AG92" i="3"/>
  <c r="AG94" i="3"/>
  <c r="AG89" i="3"/>
  <c r="AD35" i="2"/>
  <c r="AG145" i="8"/>
  <c r="AG40" i="8"/>
  <c r="AH123" i="4"/>
  <c r="AH40" i="8" l="1"/>
  <c r="AG76" i="8"/>
  <c r="AG44" i="8"/>
  <c r="AG149" i="8"/>
  <c r="AH161" i="8"/>
  <c r="AF100" i="8"/>
  <c r="AD16" i="2"/>
  <c r="AD44" i="2"/>
  <c r="AC34" i="2"/>
  <c r="AC33" i="2"/>
  <c r="AF170" i="8"/>
  <c r="AD34" i="2"/>
  <c r="AG95" i="3"/>
  <c r="AG100" i="8" l="1"/>
  <c r="AH44" i="8"/>
  <c r="AG170" i="8"/>
  <c r="AF104" i="8"/>
  <c r="AD33" i="2"/>
  <c r="AG49" i="8"/>
  <c r="AC51" i="2"/>
  <c r="AH117" i="4"/>
  <c r="AG104" i="8" l="1"/>
  <c r="AH49" i="8"/>
  <c r="AD51" i="2"/>
  <c r="AF109" i="8"/>
  <c r="AE43" i="2"/>
  <c r="AE50" i="2"/>
  <c r="AG18" i="7"/>
  <c r="AG23" i="7"/>
  <c r="AG30" i="7"/>
  <c r="AH20" i="6"/>
  <c r="AH30" i="6"/>
  <c r="AH36" i="6"/>
  <c r="AH24" i="4"/>
  <c r="AH69" i="4"/>
  <c r="AH78" i="4"/>
  <c r="AH87" i="4"/>
  <c r="AH96" i="4"/>
  <c r="AH100" i="4"/>
  <c r="AH112" i="4"/>
  <c r="AH118" i="4"/>
  <c r="AH125" i="4"/>
  <c r="AH129" i="4"/>
  <c r="AH136" i="4"/>
  <c r="AH142" i="4"/>
  <c r="AH149" i="4"/>
  <c r="AH160" i="4"/>
  <c r="AH166" i="4"/>
  <c r="AH173" i="4"/>
  <c r="AH177" i="4"/>
  <c r="AH184" i="4"/>
  <c r="AH190" i="4"/>
  <c r="AH197" i="4"/>
  <c r="AH201" i="4"/>
  <c r="AH56" i="3"/>
  <c r="AH139" i="8" l="1"/>
  <c r="AH63" i="8"/>
  <c r="AG109" i="8"/>
  <c r="AH205" i="4"/>
  <c r="AH71" i="4"/>
  <c r="AH199" i="4"/>
  <c r="AH175" i="4"/>
  <c r="AH151" i="4"/>
  <c r="AH127" i="4"/>
  <c r="AH98" i="4"/>
  <c r="AH144" i="4"/>
  <c r="AH168" i="4"/>
  <c r="AH120" i="4"/>
  <c r="AH186" i="4"/>
  <c r="AH162" i="4"/>
  <c r="AH138" i="4"/>
  <c r="AH114" i="4"/>
  <c r="AH80" i="4"/>
  <c r="AH39" i="3"/>
  <c r="AH89" i="4"/>
  <c r="AH31" i="6"/>
  <c r="AH58" i="3"/>
  <c r="AH99" i="4"/>
  <c r="AH55" i="4"/>
  <c r="AE26" i="2"/>
  <c r="AE35" i="2"/>
  <c r="AG24" i="7"/>
  <c r="AG33" i="7"/>
  <c r="AH60" i="6"/>
  <c r="AH176" i="4"/>
  <c r="AH152" i="4"/>
  <c r="AH128" i="4"/>
  <c r="AE11" i="2"/>
  <c r="AH22" i="6"/>
  <c r="AH66" i="3"/>
  <c r="AH37" i="6"/>
  <c r="AH192" i="4"/>
  <c r="AH200" i="4"/>
  <c r="AH243" i="4" l="1"/>
  <c r="AE14" i="2"/>
  <c r="AH218" i="4"/>
  <c r="AH164" i="8"/>
  <c r="AG173" i="8"/>
  <c r="AE59" i="2"/>
  <c r="AH178" i="4"/>
  <c r="AH130" i="4"/>
  <c r="AH154" i="4"/>
  <c r="AH219" i="4"/>
  <c r="AH38" i="3"/>
  <c r="AH59" i="3"/>
  <c r="AH80" i="3"/>
  <c r="AE12" i="2"/>
  <c r="AH216" i="4"/>
  <c r="AH58" i="6"/>
  <c r="AH54" i="6"/>
  <c r="AH52" i="6"/>
  <c r="AH59" i="6"/>
  <c r="AH56" i="6"/>
  <c r="AH48" i="6"/>
  <c r="AH47" i="6"/>
  <c r="AH55" i="6"/>
  <c r="AH49" i="6"/>
  <c r="AH51" i="6"/>
  <c r="AH57" i="6"/>
  <c r="AH53" i="6"/>
  <c r="AH50" i="6"/>
  <c r="AH74" i="3"/>
  <c r="AE27" i="2"/>
  <c r="AE24" i="2"/>
  <c r="AE25" i="2"/>
  <c r="AG32" i="7"/>
  <c r="AH39" i="6"/>
  <c r="AH33" i="6"/>
  <c r="AH34" i="6"/>
  <c r="AH40" i="6"/>
  <c r="AH76" i="3"/>
  <c r="AH75" i="3"/>
  <c r="AE10" i="2"/>
  <c r="AH79" i="3"/>
  <c r="AH77" i="3"/>
  <c r="AH73" i="3"/>
  <c r="AH78" i="3"/>
  <c r="AH214" i="4"/>
  <c r="AH101" i="4"/>
  <c r="AH202" i="4"/>
  <c r="AH204" i="4"/>
  <c r="AH220" i="4" l="1"/>
  <c r="AE15" i="2"/>
  <c r="AE61" i="2"/>
  <c r="AH90" i="3"/>
  <c r="AH88" i="3"/>
  <c r="AH91" i="3"/>
  <c r="AH93" i="3"/>
  <c r="AH94" i="3"/>
  <c r="AH222" i="4"/>
  <c r="AE62" i="2"/>
  <c r="AH92" i="3"/>
  <c r="AH89" i="3"/>
  <c r="AE44" i="2"/>
  <c r="AH81" i="3"/>
  <c r="AH213" i="4"/>
  <c r="AH206" i="4"/>
  <c r="AH18" i="7"/>
  <c r="AH23" i="7"/>
  <c r="AH30" i="7"/>
  <c r="AE16" i="2" l="1"/>
  <c r="AH95" i="3"/>
  <c r="AH24" i="7"/>
  <c r="AH33" i="7"/>
  <c r="AH32" i="7" l="1"/>
  <c r="AF43" i="2"/>
  <c r="AF50" i="2"/>
  <c r="AI108" i="8" l="1"/>
  <c r="AI107" i="8"/>
  <c r="AI105" i="8"/>
  <c r="AI103" i="8"/>
  <c r="AI102" i="8"/>
  <c r="AI83" i="8"/>
  <c r="AI82" i="8"/>
  <c r="AI81" i="8"/>
  <c r="AI80" i="8"/>
  <c r="AI79" i="8"/>
  <c r="AI77" i="8"/>
  <c r="AI74" i="8"/>
  <c r="AI72" i="8"/>
  <c r="AI71" i="8"/>
  <c r="AM48" i="8"/>
  <c r="AM47" i="8"/>
  <c r="AM74" i="8"/>
  <c r="AI10" i="8"/>
  <c r="AI132" i="8"/>
  <c r="AI133" i="8"/>
  <c r="AI136" i="8"/>
  <c r="AI198" i="8"/>
  <c r="AI199" i="8"/>
  <c r="AI20" i="6"/>
  <c r="AI30" i="6"/>
  <c r="AI36" i="6"/>
  <c r="AI101" i="8" l="1"/>
  <c r="AI39" i="3"/>
  <c r="AI200" i="8"/>
  <c r="AH70" i="8"/>
  <c r="AI227" i="8"/>
  <c r="AH227" i="8"/>
  <c r="AI13" i="8"/>
  <c r="AI31" i="6"/>
  <c r="AI70" i="8"/>
  <c r="AF26" i="2"/>
  <c r="AI22" i="6"/>
  <c r="AI201" i="8"/>
  <c r="AI150" i="8"/>
  <c r="AI146" i="8"/>
  <c r="AI147" i="8"/>
  <c r="AI37" i="6"/>
  <c r="AI56" i="3"/>
  <c r="AI27" i="3"/>
  <c r="AI44" i="3"/>
  <c r="AI135" i="8" l="1"/>
  <c r="AI47" i="3"/>
  <c r="AI38" i="3"/>
  <c r="AI228" i="8"/>
  <c r="AI29" i="3"/>
  <c r="AH228" i="8"/>
  <c r="AI16" i="8"/>
  <c r="AH73" i="8"/>
  <c r="AI131" i="8"/>
  <c r="AI39" i="6"/>
  <c r="AI34" i="6"/>
  <c r="AI58" i="3"/>
  <c r="AI73" i="8"/>
  <c r="AF35" i="2"/>
  <c r="AI40" i="6"/>
  <c r="AF12" i="2"/>
  <c r="AI66" i="3"/>
  <c r="AI33" i="6"/>
  <c r="AI24" i="4"/>
  <c r="AF14" i="2" l="1"/>
  <c r="AI149" i="8"/>
  <c r="AH149" i="8"/>
  <c r="AF25" i="2"/>
  <c r="AI161" i="8"/>
  <c r="AH76" i="8"/>
  <c r="AI145" i="8"/>
  <c r="AI40" i="8"/>
  <c r="AI75" i="3"/>
  <c r="AI76" i="8"/>
  <c r="AH145" i="8"/>
  <c r="AF24" i="2"/>
  <c r="AF11" i="2"/>
  <c r="AI77" i="3"/>
  <c r="AI80" i="3"/>
  <c r="AI59" i="3"/>
  <c r="AI78" i="3"/>
  <c r="AI76" i="3"/>
  <c r="AI74" i="3"/>
  <c r="AI79" i="3"/>
  <c r="AF10" i="2"/>
  <c r="AI73" i="3"/>
  <c r="AI55" i="4"/>
  <c r="AI123" i="4"/>
  <c r="AI117" i="4"/>
  <c r="AI243" i="4" l="1"/>
  <c r="AI242" i="4"/>
  <c r="AI241" i="4"/>
  <c r="AI240" i="4"/>
  <c r="AI239" i="4"/>
  <c r="AI238" i="4"/>
  <c r="AI237" i="4"/>
  <c r="AI236" i="4"/>
  <c r="AI235" i="4"/>
  <c r="AI234" i="4"/>
  <c r="AI233" i="4"/>
  <c r="AI232" i="4"/>
  <c r="AI231" i="4"/>
  <c r="AI230" i="4"/>
  <c r="AI229" i="4"/>
  <c r="AI228" i="4"/>
  <c r="AI173" i="8"/>
  <c r="AI164" i="8"/>
  <c r="AH173" i="8"/>
  <c r="AI44" i="8"/>
  <c r="AF15" i="2"/>
  <c r="AH100" i="8"/>
  <c r="AF34" i="2"/>
  <c r="AF44" i="2"/>
  <c r="AI170" i="8"/>
  <c r="AI100" i="8"/>
  <c r="AI91" i="3"/>
  <c r="AI90" i="3"/>
  <c r="AF33" i="2"/>
  <c r="AI81" i="3"/>
  <c r="AI93" i="3"/>
  <c r="AH170" i="8"/>
  <c r="AI89" i="3"/>
  <c r="AI88" i="3"/>
  <c r="AI92" i="3"/>
  <c r="AI94" i="3"/>
  <c r="AE33" i="2"/>
  <c r="AE34" i="2"/>
  <c r="AI118" i="4"/>
  <c r="AK201" i="4"/>
  <c r="AK197" i="4"/>
  <c r="AK190" i="4"/>
  <c r="AK184" i="4"/>
  <c r="AK177" i="4"/>
  <c r="AK173" i="4"/>
  <c r="AK166" i="4"/>
  <c r="AK160" i="4"/>
  <c r="AK149" i="4"/>
  <c r="AK142" i="4"/>
  <c r="AK136" i="4"/>
  <c r="AK129" i="4"/>
  <c r="AK125" i="4"/>
  <c r="AK118" i="4"/>
  <c r="AK112" i="4"/>
  <c r="AK100" i="4"/>
  <c r="AK96" i="4"/>
  <c r="AK87" i="4"/>
  <c r="AK78" i="4"/>
  <c r="AK69" i="4"/>
  <c r="AK24" i="4"/>
  <c r="AI69" i="4"/>
  <c r="AI78" i="4"/>
  <c r="AI87" i="4"/>
  <c r="AI96" i="4"/>
  <c r="AI100" i="4"/>
  <c r="AI112" i="4"/>
  <c r="AI125" i="4"/>
  <c r="AI129" i="4"/>
  <c r="AI136" i="4"/>
  <c r="AI142" i="4"/>
  <c r="AI149" i="4"/>
  <c r="AI160" i="4"/>
  <c r="AI166" i="4"/>
  <c r="AI173" i="4"/>
  <c r="AI177" i="4"/>
  <c r="AI184" i="4"/>
  <c r="AI190" i="4"/>
  <c r="AI197" i="4"/>
  <c r="AI201" i="4"/>
  <c r="AK205" i="4" l="1"/>
  <c r="AI218" i="4"/>
  <c r="AI205" i="4"/>
  <c r="AK218" i="4"/>
  <c r="AI104" i="8"/>
  <c r="AH104" i="8"/>
  <c r="AF16" i="2"/>
  <c r="AI80" i="4"/>
  <c r="AK199" i="4"/>
  <c r="AI186" i="4"/>
  <c r="AI138" i="4"/>
  <c r="AK98" i="4"/>
  <c r="AK151" i="4"/>
  <c r="AK175" i="4"/>
  <c r="AI199" i="4"/>
  <c r="AI175" i="4"/>
  <c r="AI151" i="4"/>
  <c r="AI98" i="4"/>
  <c r="AK80" i="4"/>
  <c r="AK138" i="4"/>
  <c r="AK162" i="4"/>
  <c r="AI192" i="4"/>
  <c r="AI168" i="4"/>
  <c r="AI144" i="4"/>
  <c r="AI120" i="4"/>
  <c r="AK120" i="4"/>
  <c r="AK144" i="4"/>
  <c r="AK168" i="4"/>
  <c r="AK192" i="4"/>
  <c r="AI49" i="8"/>
  <c r="AF51" i="2"/>
  <c r="AI89" i="4"/>
  <c r="AK89" i="4"/>
  <c r="AI95" i="3"/>
  <c r="AK200" i="4"/>
  <c r="AE51" i="2"/>
  <c r="AK128" i="4"/>
  <c r="AI176" i="4"/>
  <c r="AI128" i="4"/>
  <c r="AK99" i="4"/>
  <c r="AI71" i="4"/>
  <c r="AI99" i="4"/>
  <c r="AI200" i="4"/>
  <c r="AI162" i="4"/>
  <c r="AI152" i="4"/>
  <c r="AI114" i="4"/>
  <c r="AK152" i="4"/>
  <c r="AK176" i="4"/>
  <c r="AK186" i="4"/>
  <c r="AK71" i="4"/>
  <c r="AK114" i="4"/>
  <c r="AK127" i="4"/>
  <c r="AI127" i="4"/>
  <c r="AI154" i="4" l="1"/>
  <c r="AK178" i="4"/>
  <c r="AI178" i="4"/>
  <c r="AI130" i="4"/>
  <c r="AK154" i="4"/>
  <c r="AK130" i="4"/>
  <c r="AI202" i="4"/>
  <c r="AK219" i="4"/>
  <c r="AK202" i="4"/>
  <c r="AI219" i="4"/>
  <c r="AI139" i="8"/>
  <c r="AI63" i="8"/>
  <c r="AI109" i="8"/>
  <c r="AH109" i="8"/>
  <c r="AK101" i="4"/>
  <c r="AI101" i="4"/>
  <c r="AI204" i="4"/>
  <c r="AK204" i="4"/>
  <c r="BS18" i="7"/>
  <c r="BR18" i="7"/>
  <c r="BQ18" i="7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K220" i="4" l="1"/>
  <c r="AI220" i="4"/>
  <c r="AI153" i="8"/>
  <c r="AI123" i="8"/>
  <c r="AF27" i="2"/>
  <c r="AH153" i="8"/>
  <c r="AH123" i="8"/>
  <c r="AI206" i="4"/>
  <c r="AK206" i="4"/>
  <c r="AH171" i="8" l="1"/>
  <c r="AH172" i="8"/>
  <c r="AF36" i="2"/>
  <c r="AE36" i="2"/>
  <c r="AM70" i="8"/>
  <c r="AJ70" i="8"/>
  <c r="AL10" i="8"/>
  <c r="AN29" i="8"/>
  <c r="AN30" i="8"/>
  <c r="AN31" i="8"/>
  <c r="AN32" i="8"/>
  <c r="AN33" i="8"/>
  <c r="AN34" i="8"/>
  <c r="AN35" i="8"/>
  <c r="AN36" i="8"/>
  <c r="AN37" i="8"/>
  <c r="AJ123" i="4"/>
  <c r="AN137" i="8" l="1"/>
  <c r="AE52" i="2"/>
  <c r="AK70" i="8"/>
  <c r="AJ56" i="3"/>
  <c r="AK56" i="3"/>
  <c r="AL56" i="3"/>
  <c r="AM56" i="3"/>
  <c r="AG59" i="2"/>
  <c r="AG50" i="2"/>
  <c r="AG43" i="2"/>
  <c r="AJ13" i="8"/>
  <c r="AJ71" i="8"/>
  <c r="AJ72" i="8"/>
  <c r="AJ74" i="8"/>
  <c r="AJ77" i="8"/>
  <c r="AJ79" i="8"/>
  <c r="AJ80" i="8"/>
  <c r="AJ81" i="8"/>
  <c r="AJ82" i="8"/>
  <c r="AJ99" i="8"/>
  <c r="AJ102" i="8"/>
  <c r="AJ103" i="8"/>
  <c r="AJ105" i="8"/>
  <c r="AJ107" i="8"/>
  <c r="AJ108" i="8"/>
  <c r="AJ132" i="8"/>
  <c r="AJ133" i="8"/>
  <c r="AJ136" i="8"/>
  <c r="AJ198" i="8"/>
  <c r="AJ199" i="8"/>
  <c r="AJ256" i="8"/>
  <c r="AI23" i="7"/>
  <c r="AI30" i="7"/>
  <c r="AJ20" i="6"/>
  <c r="AJ21" i="6"/>
  <c r="AJ30" i="6"/>
  <c r="AJ36" i="6"/>
  <c r="AJ24" i="4"/>
  <c r="AJ69" i="4"/>
  <c r="AJ78" i="4"/>
  <c r="AJ87" i="4"/>
  <c r="AJ96" i="4"/>
  <c r="AJ100" i="4"/>
  <c r="AJ112" i="4"/>
  <c r="AJ118" i="4"/>
  <c r="AJ125" i="4"/>
  <c r="AJ129" i="4"/>
  <c r="AJ136" i="4"/>
  <c r="AJ142" i="4"/>
  <c r="AJ149" i="4"/>
  <c r="AJ160" i="4"/>
  <c r="AJ166" i="4"/>
  <c r="AJ173" i="4"/>
  <c r="AJ177" i="4"/>
  <c r="AJ184" i="4"/>
  <c r="AJ190" i="4"/>
  <c r="AJ197" i="4"/>
  <c r="AJ201" i="4"/>
  <c r="AJ216" i="4"/>
  <c r="AJ19" i="3"/>
  <c r="AJ101" i="8" l="1"/>
  <c r="AJ205" i="4"/>
  <c r="AJ218" i="4"/>
  <c r="AJ135" i="8"/>
  <c r="AG61" i="2"/>
  <c r="AJ186" i="4"/>
  <c r="AJ138" i="4"/>
  <c r="AJ114" i="4"/>
  <c r="AJ80" i="4"/>
  <c r="AJ199" i="4"/>
  <c r="AJ98" i="4"/>
  <c r="AJ175" i="4"/>
  <c r="AJ151" i="4"/>
  <c r="AJ127" i="4"/>
  <c r="AJ192" i="4"/>
  <c r="AJ168" i="4"/>
  <c r="AJ144" i="4"/>
  <c r="AJ120" i="4"/>
  <c r="AJ39" i="3"/>
  <c r="AJ89" i="4"/>
  <c r="AJ200" i="8"/>
  <c r="AJ71" i="4"/>
  <c r="AJ99" i="4"/>
  <c r="AJ66" i="3"/>
  <c r="AJ37" i="6"/>
  <c r="AJ58" i="3"/>
  <c r="AJ29" i="3"/>
  <c r="AG11" i="2"/>
  <c r="AI33" i="7"/>
  <c r="AJ60" i="6"/>
  <c r="AJ31" i="6"/>
  <c r="AG26" i="2"/>
  <c r="AJ16" i="8"/>
  <c r="AJ257" i="8"/>
  <c r="AJ201" i="8"/>
  <c r="AJ150" i="8"/>
  <c r="AJ146" i="8"/>
  <c r="AJ147" i="8"/>
  <c r="AJ131" i="8"/>
  <c r="AI24" i="7"/>
  <c r="AJ176" i="4"/>
  <c r="AJ162" i="4"/>
  <c r="AJ152" i="4"/>
  <c r="AJ128" i="4"/>
  <c r="AJ22" i="6"/>
  <c r="AJ200" i="4"/>
  <c r="AG14" i="2" l="1"/>
  <c r="AJ130" i="4"/>
  <c r="AJ178" i="4"/>
  <c r="AG62" i="2"/>
  <c r="AJ154" i="4"/>
  <c r="AJ219" i="4"/>
  <c r="AJ38" i="3"/>
  <c r="AF162" i="8"/>
  <c r="AH162" i="8"/>
  <c r="AI162" i="8"/>
  <c r="AI171" i="8"/>
  <c r="AF163" i="8"/>
  <c r="AH163" i="8"/>
  <c r="AI163" i="8"/>
  <c r="AI172" i="8"/>
  <c r="AJ161" i="8"/>
  <c r="AG24" i="2"/>
  <c r="AJ77" i="3"/>
  <c r="AG10" i="2"/>
  <c r="AJ73" i="3"/>
  <c r="AJ75" i="3"/>
  <c r="AJ59" i="3"/>
  <c r="AJ214" i="4"/>
  <c r="AJ74" i="3"/>
  <c r="AJ78" i="3"/>
  <c r="AJ79" i="3"/>
  <c r="AJ76" i="3"/>
  <c r="AJ80" i="3"/>
  <c r="AI32" i="7"/>
  <c r="AJ59" i="6"/>
  <c r="AJ58" i="6"/>
  <c r="AJ51" i="6"/>
  <c r="AJ47" i="6"/>
  <c r="AJ55" i="6"/>
  <c r="AJ53" i="6"/>
  <c r="AJ50" i="6"/>
  <c r="AJ57" i="6"/>
  <c r="AJ48" i="6"/>
  <c r="AJ52" i="6"/>
  <c r="AJ56" i="6"/>
  <c r="AJ54" i="6"/>
  <c r="AJ49" i="6"/>
  <c r="AG12" i="2"/>
  <c r="AG35" i="2"/>
  <c r="AG25" i="2"/>
  <c r="AJ222" i="4"/>
  <c r="AJ39" i="6"/>
  <c r="AJ34" i="6"/>
  <c r="AJ40" i="6"/>
  <c r="AJ33" i="6"/>
  <c r="AJ101" i="4"/>
  <c r="AJ204" i="4"/>
  <c r="AJ202" i="4"/>
  <c r="AJ220" i="4" l="1"/>
  <c r="AE45" i="2"/>
  <c r="AJ91" i="3"/>
  <c r="AG15" i="2"/>
  <c r="AC45" i="2"/>
  <c r="AJ90" i="3"/>
  <c r="AG44" i="2"/>
  <c r="AJ92" i="3"/>
  <c r="AJ93" i="3"/>
  <c r="AJ88" i="3"/>
  <c r="AJ94" i="3"/>
  <c r="AJ89" i="3"/>
  <c r="AJ81" i="3"/>
  <c r="AF45" i="2"/>
  <c r="AF52" i="2"/>
  <c r="AJ206" i="4"/>
  <c r="AJ213" i="4"/>
  <c r="AK256" i="8"/>
  <c r="AK246" i="8"/>
  <c r="AG16" i="2" l="1"/>
  <c r="AJ95" i="3"/>
  <c r="AK257" i="8"/>
  <c r="AO19" i="8"/>
  <c r="AO20" i="8"/>
  <c r="AM21" i="4" l="1"/>
  <c r="AL21" i="4"/>
  <c r="AL14" i="8"/>
  <c r="AK79" i="8" l="1"/>
  <c r="AH43" i="2"/>
  <c r="AH50" i="2"/>
  <c r="AJ23" i="7"/>
  <c r="AJ30" i="7"/>
  <c r="AK198" i="8"/>
  <c r="AK199" i="8"/>
  <c r="AK200" i="8" l="1"/>
  <c r="AJ227" i="8"/>
  <c r="AJ33" i="7"/>
  <c r="AJ24" i="7"/>
  <c r="AK201" i="8"/>
  <c r="AJ228" i="8" l="1"/>
  <c r="AJ32" i="7"/>
  <c r="AK21" i="6" l="1"/>
  <c r="AK36" i="6"/>
  <c r="AK30" i="6"/>
  <c r="AK20" i="6"/>
  <c r="AK39" i="3" l="1"/>
  <c r="AK31" i="6"/>
  <c r="AK37" i="6"/>
  <c r="AK22" i="6"/>
  <c r="AK38" i="3" l="1"/>
  <c r="AK39" i="6"/>
  <c r="AH12" i="2"/>
  <c r="AH11" i="2"/>
  <c r="AK40" i="6"/>
  <c r="AK34" i="6"/>
  <c r="AK33" i="6"/>
  <c r="AK19" i="3"/>
  <c r="AK29" i="3" l="1"/>
  <c r="AK13" i="8"/>
  <c r="AK135" i="8" l="1"/>
  <c r="AH10" i="2"/>
  <c r="AK79" i="3"/>
  <c r="AK78" i="3"/>
  <c r="AJ73" i="8"/>
  <c r="AJ149" i="8" l="1"/>
  <c r="AJ145" i="8"/>
  <c r="AM14" i="8"/>
  <c r="AJ170" i="8" l="1"/>
  <c r="AG33" i="2"/>
  <c r="AG34" i="2"/>
  <c r="AK74" i="8"/>
  <c r="AG51" i="2" l="1"/>
  <c r="AK71" i="8"/>
  <c r="AK72" i="8"/>
  <c r="AK77" i="8"/>
  <c r="AK80" i="8"/>
  <c r="AK81" i="8"/>
  <c r="AK82" i="8"/>
  <c r="AK99" i="8"/>
  <c r="AK102" i="8"/>
  <c r="AK103" i="8"/>
  <c r="AK105" i="8"/>
  <c r="AK108" i="8"/>
  <c r="AK133" i="8"/>
  <c r="AK136" i="8"/>
  <c r="AK66" i="3"/>
  <c r="AK74" i="3"/>
  <c r="AK101" i="8" l="1"/>
  <c r="AH14" i="2"/>
  <c r="AK161" i="8"/>
  <c r="AH26" i="2"/>
  <c r="AK58" i="3"/>
  <c r="AK16" i="8"/>
  <c r="AH24" i="2"/>
  <c r="AK150" i="8"/>
  <c r="AK146" i="8"/>
  <c r="AK147" i="8"/>
  <c r="AK131" i="8"/>
  <c r="AK75" i="3"/>
  <c r="AK77" i="3"/>
  <c r="AK73" i="3"/>
  <c r="AK80" i="3"/>
  <c r="AK76" i="3"/>
  <c r="AH15" i="2" l="1"/>
  <c r="AJ76" i="8"/>
  <c r="AH25" i="2"/>
  <c r="AK59" i="3"/>
  <c r="AH35" i="2"/>
  <c r="AH44" i="2"/>
  <c r="AK81" i="3"/>
  <c r="AK91" i="3" l="1"/>
  <c r="AK90" i="3"/>
  <c r="AK93" i="3"/>
  <c r="AK94" i="3"/>
  <c r="AK92" i="3"/>
  <c r="AK88" i="3"/>
  <c r="AK89" i="3"/>
  <c r="AK107" i="8"/>
  <c r="AH16" i="2" l="1"/>
  <c r="AK95" i="3"/>
  <c r="AL133" i="8" l="1"/>
  <c r="AL24" i="4" l="1"/>
  <c r="AL55" i="4" l="1"/>
  <c r="AL197" i="4"/>
  <c r="AL201" i="4"/>
  <c r="AM197" i="4"/>
  <c r="AL173" i="4"/>
  <c r="AM172" i="4"/>
  <c r="AM149" i="4"/>
  <c r="AL149" i="4"/>
  <c r="AL136" i="4"/>
  <c r="AL129" i="4"/>
  <c r="AM125" i="4"/>
  <c r="AL125" i="4"/>
  <c r="AL118" i="4"/>
  <c r="AL112" i="4"/>
  <c r="AM100" i="4"/>
  <c r="AM96" i="4"/>
  <c r="AL96" i="4"/>
  <c r="AL87" i="4"/>
  <c r="AM87" i="4"/>
  <c r="AL78" i="4"/>
  <c r="AM78" i="4"/>
  <c r="AM69" i="4"/>
  <c r="AL69" i="4"/>
  <c r="AL243" i="4" l="1"/>
  <c r="AL242" i="4"/>
  <c r="AL241" i="4"/>
  <c r="AL240" i="4"/>
  <c r="AL239" i="4"/>
  <c r="AL238" i="4"/>
  <c r="AL237" i="4"/>
  <c r="AL236" i="4"/>
  <c r="AL235" i="4"/>
  <c r="AL234" i="4"/>
  <c r="AL233" i="4"/>
  <c r="AL232" i="4"/>
  <c r="AL231" i="4"/>
  <c r="AL230" i="4"/>
  <c r="AL229" i="4"/>
  <c r="AL228" i="4"/>
  <c r="AL218" i="4"/>
  <c r="AL164" i="8"/>
  <c r="AK173" i="8"/>
  <c r="AM127" i="4"/>
  <c r="AM80" i="4"/>
  <c r="AL120" i="4"/>
  <c r="AM173" i="4"/>
  <c r="AL127" i="4"/>
  <c r="AL175" i="4"/>
  <c r="AM99" i="4"/>
  <c r="AL99" i="4"/>
  <c r="AL128" i="4"/>
  <c r="AL114" i="4"/>
  <c r="AM219" i="4" l="1"/>
  <c r="AM175" i="4"/>
  <c r="AL219" i="4"/>
  <c r="BL99" i="8"/>
  <c r="AL13" i="8" l="1"/>
  <c r="AL135" i="8" l="1"/>
  <c r="AK73" i="8"/>
  <c r="AL184" i="4"/>
  <c r="AK149" i="8" l="1"/>
  <c r="AK145" i="8"/>
  <c r="AI24" i="2"/>
  <c r="AM20" i="3"/>
  <c r="AI50" i="2"/>
  <c r="AI43" i="2"/>
  <c r="AL108" i="8"/>
  <c r="AL199" i="8"/>
  <c r="AL132" i="8"/>
  <c r="AL136" i="8"/>
  <c r="AL198" i="8"/>
  <c r="AL246" i="8"/>
  <c r="AL256" i="8"/>
  <c r="AK30" i="7"/>
  <c r="AK23" i="7"/>
  <c r="AL36" i="6"/>
  <c r="AL30" i="6"/>
  <c r="AL21" i="6"/>
  <c r="AL20" i="6"/>
  <c r="AI11" i="2"/>
  <c r="AL71" i="4"/>
  <c r="AL80" i="4"/>
  <c r="AL89" i="4"/>
  <c r="AL98" i="4"/>
  <c r="AL100" i="4"/>
  <c r="AL138" i="4"/>
  <c r="AL142" i="4"/>
  <c r="AL151" i="4"/>
  <c r="AL160" i="4"/>
  <c r="AL166" i="4"/>
  <c r="AL177" i="4"/>
  <c r="AL186" i="4"/>
  <c r="AL190" i="4"/>
  <c r="AL199" i="4"/>
  <c r="AL205" i="4" l="1"/>
  <c r="AL168" i="4"/>
  <c r="AL192" i="4"/>
  <c r="AL39" i="3"/>
  <c r="AL200" i="8"/>
  <c r="AK227" i="8"/>
  <c r="AH34" i="2"/>
  <c r="AH33" i="2"/>
  <c r="AK170" i="8"/>
  <c r="AI26" i="2"/>
  <c r="AL161" i="8"/>
  <c r="AL60" i="6"/>
  <c r="AK33" i="7"/>
  <c r="AL162" i="4"/>
  <c r="AL176" i="4"/>
  <c r="AL144" i="4"/>
  <c r="AL152" i="4"/>
  <c r="AL200" i="4"/>
  <c r="AL257" i="8"/>
  <c r="AL201" i="8"/>
  <c r="AL131" i="8"/>
  <c r="AL16" i="8"/>
  <c r="AK24" i="7"/>
  <c r="AL22" i="6"/>
  <c r="AL31" i="6"/>
  <c r="AL37" i="6"/>
  <c r="AL130" i="4"/>
  <c r="AL154" i="4" l="1"/>
  <c r="AL178" i="4"/>
  <c r="AL38" i="3"/>
  <c r="AL59" i="6"/>
  <c r="AK228" i="8"/>
  <c r="AL50" i="6"/>
  <c r="AL51" i="6"/>
  <c r="AL47" i="6"/>
  <c r="AL48" i="6"/>
  <c r="AL52" i="6"/>
  <c r="AL57" i="6"/>
  <c r="AL49" i="6"/>
  <c r="AL54" i="6"/>
  <c r="AL56" i="6"/>
  <c r="AL53" i="6"/>
  <c r="AL55" i="6"/>
  <c r="AL58" i="6"/>
  <c r="AI12" i="2"/>
  <c r="AK32" i="7"/>
  <c r="AK76" i="8"/>
  <c r="AL202" i="4"/>
  <c r="AL204" i="4"/>
  <c r="AL101" i="4"/>
  <c r="AL33" i="6"/>
  <c r="AI25" i="2"/>
  <c r="AL40" i="6"/>
  <c r="AL34" i="6"/>
  <c r="AL39" i="6"/>
  <c r="AL220" i="4" l="1"/>
  <c r="AH51" i="2"/>
  <c r="AI44" i="2"/>
  <c r="AL206" i="4"/>
  <c r="AL19" i="3" l="1"/>
  <c r="AL29" i="3" l="1"/>
  <c r="AL66" i="3"/>
  <c r="AL58" i="3"/>
  <c r="AM246" i="8"/>
  <c r="AI14" i="2" l="1"/>
  <c r="AL78" i="3"/>
  <c r="AL79" i="3"/>
  <c r="AL77" i="3"/>
  <c r="AL59" i="3"/>
  <c r="AI10" i="2"/>
  <c r="AL76" i="3"/>
  <c r="AL80" i="3"/>
  <c r="AL75" i="3"/>
  <c r="AL74" i="3"/>
  <c r="AL73" i="3"/>
  <c r="BS12" i="8"/>
  <c r="BR12" i="8"/>
  <c r="BQ12" i="8"/>
  <c r="BP12" i="8"/>
  <c r="BO12" i="8"/>
  <c r="BN12" i="8"/>
  <c r="BM12" i="8"/>
  <c r="BL12" i="8"/>
  <c r="BK12" i="8"/>
  <c r="BJ12" i="8"/>
  <c r="BI12" i="8"/>
  <c r="BH12" i="8"/>
  <c r="AI15" i="2" l="1"/>
  <c r="AL92" i="3"/>
  <c r="AL91" i="3"/>
  <c r="AL90" i="3"/>
  <c r="AL89" i="3"/>
  <c r="AL93" i="3"/>
  <c r="AL81" i="3"/>
  <c r="AL94" i="3"/>
  <c r="AL88" i="3"/>
  <c r="BE12" i="8"/>
  <c r="BG12" i="8"/>
  <c r="BF12" i="8"/>
  <c r="BD12" i="8"/>
  <c r="AI16" i="2" l="1"/>
  <c r="AL95" i="3"/>
  <c r="BC12" i="8"/>
  <c r="BB12" i="8"/>
  <c r="BA12" i="8"/>
  <c r="AZ12" i="8"/>
  <c r="AY12" i="8" l="1"/>
  <c r="AX12" i="8"/>
  <c r="AW12" i="8"/>
  <c r="AV12" i="8"/>
  <c r="AU12" i="8" l="1"/>
  <c r="AT12" i="8"/>
  <c r="AS12" i="8"/>
  <c r="AR12" i="8"/>
  <c r="AL74" i="8" l="1"/>
  <c r="AM201" i="4" l="1"/>
  <c r="AM199" i="4"/>
  <c r="AM190" i="4"/>
  <c r="AM184" i="4"/>
  <c r="AM177" i="4"/>
  <c r="AM166" i="4"/>
  <c r="AM160" i="4"/>
  <c r="AM142" i="4"/>
  <c r="AM136" i="4"/>
  <c r="AM129" i="4"/>
  <c r="AM118" i="4"/>
  <c r="AM112" i="4"/>
  <c r="AM98" i="4"/>
  <c r="AM71" i="4"/>
  <c r="AM205" i="4" l="1"/>
  <c r="AM120" i="4"/>
  <c r="AM168" i="4"/>
  <c r="AM192" i="4"/>
  <c r="AM114" i="4"/>
  <c r="AM144" i="4"/>
  <c r="AM186" i="4"/>
  <c r="AM200" i="4"/>
  <c r="AM162" i="4"/>
  <c r="AM176" i="4"/>
  <c r="AM151" i="4"/>
  <c r="AM89" i="4"/>
  <c r="AM152" i="4"/>
  <c r="AM138" i="4"/>
  <c r="AM128" i="4"/>
  <c r="AM154" i="4" l="1"/>
  <c r="AM178" i="4"/>
  <c r="AM130" i="4"/>
  <c r="AM101" i="4"/>
  <c r="AM204" i="4"/>
  <c r="AM202" i="4"/>
  <c r="AJ50" i="2"/>
  <c r="AJ43" i="2"/>
  <c r="AM220" i="4" l="1"/>
  <c r="AM206" i="4"/>
  <c r="AR199" i="8"/>
  <c r="AS199" i="8"/>
  <c r="AT199" i="8"/>
  <c r="AU199" i="8"/>
  <c r="AV199" i="8"/>
  <c r="AW199" i="8"/>
  <c r="AX199" i="8"/>
  <c r="AY199" i="8"/>
  <c r="AZ199" i="8"/>
  <c r="BA199" i="8"/>
  <c r="BB199" i="8"/>
  <c r="BC199" i="8"/>
  <c r="BD199" i="8"/>
  <c r="BE199" i="8"/>
  <c r="BF199" i="8"/>
  <c r="BH199" i="8"/>
  <c r="BI199" i="8"/>
  <c r="BJ199" i="8"/>
  <c r="BK199" i="8"/>
  <c r="BL199" i="8"/>
  <c r="BM199" i="8"/>
  <c r="BN199" i="8"/>
  <c r="BO199" i="8"/>
  <c r="BP199" i="8"/>
  <c r="BQ199" i="8"/>
  <c r="BR199" i="8"/>
  <c r="BS199" i="8"/>
  <c r="AN12" i="8"/>
  <c r="AO12" i="8"/>
  <c r="AP12" i="8"/>
  <c r="AQ12" i="8"/>
  <c r="AM62" i="8"/>
  <c r="AM61" i="8"/>
  <c r="AM12" i="8"/>
  <c r="AM45" i="8"/>
  <c r="AM42" i="8"/>
  <c r="AL99" i="8"/>
  <c r="AM22" i="8"/>
  <c r="AM11" i="8"/>
  <c r="AN73" i="8"/>
  <c r="AO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H73" i="8"/>
  <c r="BI73" i="8"/>
  <c r="BJ73" i="8"/>
  <c r="BK73" i="8"/>
  <c r="BL73" i="8"/>
  <c r="BM73" i="8"/>
  <c r="BN73" i="8"/>
  <c r="BO73" i="8"/>
  <c r="BP73" i="8"/>
  <c r="BQ73" i="8"/>
  <c r="BR73" i="8"/>
  <c r="BS73" i="8"/>
  <c r="AM256" i="8"/>
  <c r="AM198" i="8"/>
  <c r="AM150" i="8"/>
  <c r="AM146" i="8"/>
  <c r="AM41" i="8" l="1"/>
  <c r="BQ149" i="8"/>
  <c r="BM149" i="8"/>
  <c r="BI149" i="8"/>
  <c r="BC149" i="8"/>
  <c r="AY149" i="8"/>
  <c r="AU149" i="8"/>
  <c r="AQ149" i="8"/>
  <c r="BP149" i="8"/>
  <c r="BL149" i="8"/>
  <c r="BH149" i="8"/>
  <c r="BB149" i="8"/>
  <c r="AX149" i="8"/>
  <c r="AT149" i="8"/>
  <c r="AO149" i="8"/>
  <c r="BS149" i="8"/>
  <c r="BO149" i="8"/>
  <c r="BK149" i="8"/>
  <c r="BE149" i="8"/>
  <c r="BA149" i="8"/>
  <c r="AW149" i="8"/>
  <c r="AS149" i="8"/>
  <c r="AN149" i="8"/>
  <c r="BR149" i="8"/>
  <c r="BN149" i="8"/>
  <c r="BJ149" i="8"/>
  <c r="BD149" i="8"/>
  <c r="AZ149" i="8"/>
  <c r="AV149" i="8"/>
  <c r="AR149" i="8"/>
  <c r="BC227" i="8"/>
  <c r="AY227" i="8"/>
  <c r="AU227" i="8"/>
  <c r="AL105" i="8"/>
  <c r="AQ199" i="8"/>
  <c r="BS227" i="8"/>
  <c r="BO227" i="8"/>
  <c r="BK227" i="8"/>
  <c r="AL82" i="8"/>
  <c r="BR227" i="8"/>
  <c r="BN227" i="8"/>
  <c r="BJ227" i="8"/>
  <c r="BE227" i="8"/>
  <c r="BA227" i="8"/>
  <c r="AW227" i="8"/>
  <c r="AS227" i="8"/>
  <c r="BQ227" i="8"/>
  <c r="BM227" i="8"/>
  <c r="BI227" i="8"/>
  <c r="BD227" i="8"/>
  <c r="AZ227" i="8"/>
  <c r="AV227" i="8"/>
  <c r="AR227" i="8"/>
  <c r="BP227" i="8"/>
  <c r="BL227" i="8"/>
  <c r="BH227" i="8"/>
  <c r="BB227" i="8"/>
  <c r="AX227" i="8"/>
  <c r="AT227" i="8"/>
  <c r="AL80" i="8"/>
  <c r="AL103" i="8"/>
  <c r="AL81" i="8"/>
  <c r="AL102" i="8"/>
  <c r="AL72" i="8"/>
  <c r="AM257" i="8"/>
  <c r="AN199" i="8"/>
  <c r="AO199" i="8"/>
  <c r="AL77" i="8"/>
  <c r="AL71" i="8"/>
  <c r="AP199" i="8"/>
  <c r="AJ35" i="2"/>
  <c r="AM199" i="8"/>
  <c r="AM136" i="8"/>
  <c r="AM132" i="8"/>
  <c r="AL23" i="7"/>
  <c r="AL30" i="7"/>
  <c r="AM30" i="7"/>
  <c r="AM23" i="7"/>
  <c r="AL101" i="8" l="1"/>
  <c r="BH228" i="8"/>
  <c r="AV228" i="8"/>
  <c r="BM228" i="8"/>
  <c r="BA228" i="8"/>
  <c r="BR228" i="8"/>
  <c r="AM200" i="8"/>
  <c r="AT228" i="8"/>
  <c r="BL228" i="8"/>
  <c r="AZ228" i="8"/>
  <c r="BQ228" i="8"/>
  <c r="BE228" i="8"/>
  <c r="BK228" i="8"/>
  <c r="BO228" i="8"/>
  <c r="BS228" i="8"/>
  <c r="AQ227" i="8"/>
  <c r="AU228" i="8"/>
  <c r="AY228" i="8"/>
  <c r="BC228" i="8"/>
  <c r="AP227" i="8"/>
  <c r="BB228" i="8"/>
  <c r="AR228" i="8"/>
  <c r="BI228" i="8"/>
  <c r="AW228" i="8"/>
  <c r="BN228" i="8"/>
  <c r="AX228" i="8"/>
  <c r="BP228" i="8"/>
  <c r="BD228" i="8"/>
  <c r="AS228" i="8"/>
  <c r="BJ228" i="8"/>
  <c r="AO227" i="8"/>
  <c r="AM227" i="8"/>
  <c r="AL227" i="8"/>
  <c r="AN227" i="8"/>
  <c r="AL150" i="8"/>
  <c r="AL146" i="8"/>
  <c r="AL24" i="7"/>
  <c r="AM133" i="8"/>
  <c r="AJ26" i="2"/>
  <c r="AM24" i="7"/>
  <c r="AM201" i="8"/>
  <c r="AL33" i="7"/>
  <c r="AM33" i="7"/>
  <c r="AM30" i="6"/>
  <c r="AM36" i="6"/>
  <c r="AM20" i="6"/>
  <c r="AM21" i="6"/>
  <c r="AM19" i="3"/>
  <c r="AM39" i="3" l="1"/>
  <c r="AO228" i="8"/>
  <c r="AM228" i="8"/>
  <c r="AN228" i="8"/>
  <c r="AL228" i="8"/>
  <c r="AQ228" i="8"/>
  <c r="AP228" i="8"/>
  <c r="AI35" i="2"/>
  <c r="AM29" i="3"/>
  <c r="AM32" i="7"/>
  <c r="AM66" i="3"/>
  <c r="AL147" i="8"/>
  <c r="AM147" i="8"/>
  <c r="AM24" i="4"/>
  <c r="AM31" i="6"/>
  <c r="AM58" i="3"/>
  <c r="AL32" i="7"/>
  <c r="AM22" i="6"/>
  <c r="AM37" i="6"/>
  <c r="AJ14" i="2" l="1"/>
  <c r="AM77" i="3"/>
  <c r="AM38" i="3"/>
  <c r="AM55" i="4"/>
  <c r="AM59" i="3"/>
  <c r="AM78" i="3"/>
  <c r="AM79" i="3"/>
  <c r="AM39" i="6"/>
  <c r="AJ11" i="2"/>
  <c r="AM33" i="6"/>
  <c r="AM40" i="6"/>
  <c r="AM75" i="3"/>
  <c r="AJ10" i="2"/>
  <c r="AM34" i="6"/>
  <c r="AJ12" i="2"/>
  <c r="AM76" i="3"/>
  <c r="AM73" i="3"/>
  <c r="AM74" i="3"/>
  <c r="AM80" i="3"/>
  <c r="AR23" i="8"/>
  <c r="AR27" i="8"/>
  <c r="AM243" i="4" l="1"/>
  <c r="AM242" i="4"/>
  <c r="AM241" i="4"/>
  <c r="AM240" i="4"/>
  <c r="AM239" i="4"/>
  <c r="AM238" i="4"/>
  <c r="AM237" i="4"/>
  <c r="AM236" i="4"/>
  <c r="AM235" i="4"/>
  <c r="AM234" i="4"/>
  <c r="AM233" i="4"/>
  <c r="AM232" i="4"/>
  <c r="AM231" i="4"/>
  <c r="AM230" i="4"/>
  <c r="AM229" i="4"/>
  <c r="AM228" i="4"/>
  <c r="AM218" i="4"/>
  <c r="AL173" i="8"/>
  <c r="AJ15" i="2"/>
  <c r="AM90" i="3"/>
  <c r="AM89" i="3"/>
  <c r="AM91" i="3"/>
  <c r="AM88" i="3"/>
  <c r="AM94" i="3"/>
  <c r="AM93" i="3"/>
  <c r="AM92" i="3"/>
  <c r="AM81" i="3"/>
  <c r="AN62" i="8"/>
  <c r="AN48" i="8"/>
  <c r="AN45" i="8"/>
  <c r="AN42" i="8"/>
  <c r="AN20" i="8"/>
  <c r="AN21" i="8"/>
  <c r="AN23" i="8"/>
  <c r="AN27" i="8"/>
  <c r="AN14" i="8"/>
  <c r="AN11" i="8"/>
  <c r="AN41" i="8" l="1"/>
  <c r="AJ16" i="2"/>
  <c r="AM95" i="3"/>
  <c r="AN133" i="8"/>
  <c r="AN146" i="8"/>
  <c r="C91" i="5"/>
  <c r="C80" i="5"/>
  <c r="C72" i="5"/>
  <c r="C61" i="5"/>
  <c r="C59" i="5"/>
  <c r="C58" i="5"/>
  <c r="C20" i="5"/>
  <c r="C18" i="5"/>
  <c r="C17" i="5"/>
  <c r="C15" i="5"/>
  <c r="C13" i="5"/>
  <c r="C12" i="5"/>
  <c r="C11" i="5"/>
  <c r="D91" i="5"/>
  <c r="D80" i="5"/>
  <c r="D72" i="5"/>
  <c r="D61" i="5"/>
  <c r="D59" i="5"/>
  <c r="D58" i="5"/>
  <c r="D20" i="5"/>
  <c r="D18" i="5"/>
  <c r="D17" i="5"/>
  <c r="D15" i="5"/>
  <c r="D13" i="5"/>
  <c r="D12" i="5"/>
  <c r="D11" i="5"/>
  <c r="AK43" i="2" l="1"/>
  <c r="AK50" i="2"/>
  <c r="AN76" i="8"/>
  <c r="AN132" i="8"/>
  <c r="AN136" i="8"/>
  <c r="AN150" i="8"/>
  <c r="AN198" i="8"/>
  <c r="AN246" i="8"/>
  <c r="AN256" i="8"/>
  <c r="AN20" i="6"/>
  <c r="AN21" i="6"/>
  <c r="AN30" i="6"/>
  <c r="AN36" i="6"/>
  <c r="E21" i="5"/>
  <c r="E70" i="5"/>
  <c r="E71" i="5"/>
  <c r="E89" i="5"/>
  <c r="AN19" i="3"/>
  <c r="AN56" i="3"/>
  <c r="AN29" i="3" l="1"/>
  <c r="AN39" i="3"/>
  <c r="AN200" i="8"/>
  <c r="AN170" i="8"/>
  <c r="AN201" i="8"/>
  <c r="E50" i="5"/>
  <c r="E102" i="5" s="1"/>
  <c r="E73" i="5"/>
  <c r="E90" i="5"/>
  <c r="AN60" i="6"/>
  <c r="AN31" i="6"/>
  <c r="AK26" i="2"/>
  <c r="AN58" i="3"/>
  <c r="AN257" i="8"/>
  <c r="AN145" i="8"/>
  <c r="AN22" i="6"/>
  <c r="E106" i="5"/>
  <c r="AK11" i="2"/>
  <c r="AN66" i="3"/>
  <c r="AN37" i="6"/>
  <c r="E92" i="5"/>
  <c r="E110" i="5"/>
  <c r="E105" i="5"/>
  <c r="E109" i="5"/>
  <c r="E107" i="5"/>
  <c r="AO56" i="3"/>
  <c r="AK14" i="2" l="1"/>
  <c r="E104" i="5"/>
  <c r="E100" i="5"/>
  <c r="E99" i="5"/>
  <c r="AM173" i="8"/>
  <c r="AM164" i="8"/>
  <c r="AK59" i="2"/>
  <c r="AN38" i="3"/>
  <c r="AN59" i="6"/>
  <c r="AN78" i="3"/>
  <c r="AK63" i="2"/>
  <c r="AK64" i="2"/>
  <c r="AN59" i="3"/>
  <c r="AK61" i="2"/>
  <c r="E49" i="5"/>
  <c r="E45" i="5"/>
  <c r="E41" i="5"/>
  <c r="E38" i="5"/>
  <c r="E48" i="5"/>
  <c r="E35" i="5"/>
  <c r="E47" i="5"/>
  <c r="E43" i="5"/>
  <c r="E42" i="5"/>
  <c r="E36" i="5"/>
  <c r="E44" i="5"/>
  <c r="E46" i="5"/>
  <c r="E39" i="5"/>
  <c r="E37" i="5"/>
  <c r="E40" i="5"/>
  <c r="AN56" i="6"/>
  <c r="AN50" i="6"/>
  <c r="AN57" i="6"/>
  <c r="AN52" i="6"/>
  <c r="AN55" i="6"/>
  <c r="AN49" i="6"/>
  <c r="AN58" i="6"/>
  <c r="AN47" i="6"/>
  <c r="AN54" i="6"/>
  <c r="AN53" i="6"/>
  <c r="AN48" i="6"/>
  <c r="AN51" i="6"/>
  <c r="AN74" i="3"/>
  <c r="AN76" i="3"/>
  <c r="AN80" i="3"/>
  <c r="AN75" i="3"/>
  <c r="AK10" i="2"/>
  <c r="AN33" i="6"/>
  <c r="AN77" i="3"/>
  <c r="AN79" i="3"/>
  <c r="AN73" i="3"/>
  <c r="AK34" i="2"/>
  <c r="AN39" i="6"/>
  <c r="AK12" i="2"/>
  <c r="AN34" i="6"/>
  <c r="AN40" i="6"/>
  <c r="AK15" i="2" l="1"/>
  <c r="AN89" i="3"/>
  <c r="AN91" i="3"/>
  <c r="AN90" i="3"/>
  <c r="AN88" i="3"/>
  <c r="AN93" i="3"/>
  <c r="AN94" i="3"/>
  <c r="AN92" i="3"/>
  <c r="AK62" i="2"/>
  <c r="AN81" i="3"/>
  <c r="AO62" i="8"/>
  <c r="AO48" i="8"/>
  <c r="AO45" i="8"/>
  <c r="AO42" i="8"/>
  <c r="AO21" i="8"/>
  <c r="AO14" i="8"/>
  <c r="AO11" i="8"/>
  <c r="AO41" i="8" l="1"/>
  <c r="AK16" i="2"/>
  <c r="AK35" i="2"/>
  <c r="AN95" i="3"/>
  <c r="AL50" i="2"/>
  <c r="AL43" i="2"/>
  <c r="AO23" i="8"/>
  <c r="AO132" i="8"/>
  <c r="AO136" i="8"/>
  <c r="AO146" i="8"/>
  <c r="AO150" i="8"/>
  <c r="AO198" i="8"/>
  <c r="AO246" i="8"/>
  <c r="AO256" i="8"/>
  <c r="AN23" i="7"/>
  <c r="AN30" i="7"/>
  <c r="AO20" i="6"/>
  <c r="AO21" i="6"/>
  <c r="AO30" i="6"/>
  <c r="AO36" i="6"/>
  <c r="F21" i="5"/>
  <c r="C21" i="5" s="1"/>
  <c r="C28" i="5"/>
  <c r="F70" i="5"/>
  <c r="C70" i="5" s="1"/>
  <c r="F89" i="5"/>
  <c r="C89" i="5" s="1"/>
  <c r="AO19" i="3"/>
  <c r="AO58" i="3"/>
  <c r="AO200" i="8" l="1"/>
  <c r="AO39" i="3"/>
  <c r="AN147" i="8"/>
  <c r="AO133" i="8"/>
  <c r="AO201" i="8"/>
  <c r="AO37" i="6"/>
  <c r="AL26" i="2"/>
  <c r="AO76" i="8"/>
  <c r="AL33" i="2"/>
  <c r="AL35" i="2"/>
  <c r="F110" i="5"/>
  <c r="F90" i="5"/>
  <c r="C90" i="5" s="1"/>
  <c r="AL11" i="2"/>
  <c r="AO22" i="6"/>
  <c r="AO31" i="6"/>
  <c r="AO66" i="3"/>
  <c r="AO59" i="3"/>
  <c r="AO257" i="8"/>
  <c r="AN24" i="7"/>
  <c r="AN33" i="7"/>
  <c r="F71" i="5"/>
  <c r="C71" i="5" s="1"/>
  <c r="F106" i="5"/>
  <c r="F50" i="5"/>
  <c r="AO29" i="3"/>
  <c r="AO145" i="8"/>
  <c r="F109" i="5"/>
  <c r="F107" i="5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AP36" i="6"/>
  <c r="AL14" i="2" l="1"/>
  <c r="AN173" i="8"/>
  <c r="AO91" i="3"/>
  <c r="AO75" i="3"/>
  <c r="AO39" i="6"/>
  <c r="AO38" i="3"/>
  <c r="F105" i="5"/>
  <c r="C105" i="5" s="1"/>
  <c r="C50" i="5"/>
  <c r="AO89" i="3"/>
  <c r="AO33" i="6"/>
  <c r="AL10" i="2"/>
  <c r="AL34" i="2"/>
  <c r="AN32" i="7"/>
  <c r="AO40" i="6"/>
  <c r="AL64" i="2"/>
  <c r="F92" i="5"/>
  <c r="C92" i="5" s="1"/>
  <c r="F46" i="5"/>
  <c r="F44" i="5"/>
  <c r="F37" i="5"/>
  <c r="F35" i="5"/>
  <c r="F48" i="5"/>
  <c r="F41" i="5"/>
  <c r="F42" i="5"/>
  <c r="F49" i="5"/>
  <c r="F45" i="5"/>
  <c r="F40" i="5"/>
  <c r="F38" i="5"/>
  <c r="F47" i="5"/>
  <c r="F43" i="5"/>
  <c r="F39" i="5"/>
  <c r="F36" i="5"/>
  <c r="F73" i="5"/>
  <c r="C73" i="5" s="1"/>
  <c r="AO79" i="3"/>
  <c r="AL12" i="2"/>
  <c r="AO76" i="3"/>
  <c r="AO94" i="3"/>
  <c r="AO93" i="3"/>
  <c r="AO34" i="6"/>
  <c r="AO88" i="3"/>
  <c r="AO92" i="3"/>
  <c r="F104" i="5"/>
  <c r="C104" i="5" s="1"/>
  <c r="AL59" i="2"/>
  <c r="F100" i="5"/>
  <c r="C100" i="5" s="1"/>
  <c r="F99" i="5"/>
  <c r="C99" i="5" s="1"/>
  <c r="F102" i="5"/>
  <c r="C102" i="5" s="1"/>
  <c r="AO73" i="3"/>
  <c r="AO77" i="3"/>
  <c r="AO80" i="3"/>
  <c r="AO74" i="3"/>
  <c r="AO78" i="3"/>
  <c r="AO90" i="3" l="1"/>
  <c r="AL16" i="2"/>
  <c r="AL15" i="2"/>
  <c r="AL61" i="2"/>
  <c r="AL63" i="2"/>
  <c r="AO81" i="3"/>
  <c r="AO95" i="3"/>
  <c r="AL62" i="2" l="1"/>
  <c r="AP62" i="8" l="1"/>
  <c r="AP48" i="8"/>
  <c r="AP45" i="8"/>
  <c r="AP42" i="8"/>
  <c r="AP20" i="8"/>
  <c r="AP21" i="8"/>
  <c r="AP23" i="8"/>
  <c r="AP14" i="8"/>
  <c r="AP11" i="8"/>
  <c r="AP150" i="8"/>
  <c r="AM50" i="2"/>
  <c r="AM43" i="2"/>
  <c r="AP146" i="8"/>
  <c r="AP198" i="8"/>
  <c r="AP246" i="8"/>
  <c r="AP256" i="8"/>
  <c r="AO23" i="7"/>
  <c r="AO30" i="7"/>
  <c r="AP20" i="6"/>
  <c r="AP21" i="6"/>
  <c r="AP30" i="6"/>
  <c r="G21" i="5"/>
  <c r="G70" i="5"/>
  <c r="G89" i="5"/>
  <c r="AP19" i="3"/>
  <c r="AP56" i="3"/>
  <c r="AP41" i="8" l="1"/>
  <c r="AP200" i="8"/>
  <c r="AP39" i="3"/>
  <c r="AP13" i="8"/>
  <c r="AP201" i="8"/>
  <c r="AO33" i="7"/>
  <c r="AM11" i="2"/>
  <c r="AP37" i="6"/>
  <c r="AP132" i="8"/>
  <c r="G90" i="5"/>
  <c r="AM35" i="2"/>
  <c r="AP29" i="3"/>
  <c r="G50" i="5"/>
  <c r="AP58" i="3"/>
  <c r="AP60" i="6"/>
  <c r="AP136" i="8"/>
  <c r="AO24" i="7"/>
  <c r="AP257" i="8"/>
  <c r="AP31" i="6"/>
  <c r="AP22" i="6"/>
  <c r="G110" i="5"/>
  <c r="G109" i="5"/>
  <c r="G71" i="5"/>
  <c r="AP66" i="3"/>
  <c r="AM14" i="2" l="1"/>
  <c r="AO173" i="8"/>
  <c r="AP135" i="8"/>
  <c r="AP131" i="8"/>
  <c r="AP38" i="3"/>
  <c r="AP59" i="6"/>
  <c r="AP133" i="8"/>
  <c r="AP16" i="8"/>
  <c r="AM26" i="2"/>
  <c r="G102" i="5"/>
  <c r="G92" i="5"/>
  <c r="AP59" i="3"/>
  <c r="AP39" i="6"/>
  <c r="AP77" i="3"/>
  <c r="G104" i="5"/>
  <c r="G105" i="5"/>
  <c r="AP40" i="6"/>
  <c r="AP79" i="3"/>
  <c r="G99" i="5"/>
  <c r="AP73" i="3"/>
  <c r="AP76" i="3"/>
  <c r="AM61" i="2"/>
  <c r="AM10" i="2"/>
  <c r="AP75" i="3"/>
  <c r="AP78" i="3"/>
  <c r="G107" i="5"/>
  <c r="AP74" i="3"/>
  <c r="AP80" i="3"/>
  <c r="AP55" i="6"/>
  <c r="AP56" i="6"/>
  <c r="AP50" i="6"/>
  <c r="AP47" i="6"/>
  <c r="AP53" i="6"/>
  <c r="AP49" i="6"/>
  <c r="AP57" i="6"/>
  <c r="AP54" i="6"/>
  <c r="AP48" i="6"/>
  <c r="AP58" i="6"/>
  <c r="AP51" i="6"/>
  <c r="AP52" i="6"/>
  <c r="AM59" i="2"/>
  <c r="G45" i="5"/>
  <c r="G41" i="5"/>
  <c r="G37" i="5"/>
  <c r="G49" i="5"/>
  <c r="G46" i="5"/>
  <c r="G40" i="5"/>
  <c r="G38" i="5"/>
  <c r="G47" i="5"/>
  <c r="G43" i="5"/>
  <c r="G39" i="5"/>
  <c r="G36" i="5"/>
  <c r="G48" i="5"/>
  <c r="G44" i="5"/>
  <c r="G42" i="5"/>
  <c r="G35" i="5"/>
  <c r="AO32" i="7"/>
  <c r="AP33" i="6"/>
  <c r="AM12" i="2"/>
  <c r="AP34" i="6"/>
  <c r="G100" i="5"/>
  <c r="G73" i="5"/>
  <c r="G106" i="5"/>
  <c r="H70" i="5"/>
  <c r="AP90" i="3" l="1"/>
  <c r="AM15" i="2"/>
  <c r="AP40" i="8"/>
  <c r="AP89" i="3"/>
  <c r="AP91" i="3"/>
  <c r="AO100" i="8"/>
  <c r="AO147" i="8"/>
  <c r="AP94" i="3"/>
  <c r="AP92" i="3"/>
  <c r="AP88" i="3"/>
  <c r="AM64" i="2"/>
  <c r="AM63" i="2"/>
  <c r="AP93" i="3"/>
  <c r="AP81" i="3"/>
  <c r="AO104" i="8" l="1"/>
  <c r="AP44" i="8"/>
  <c r="AM16" i="2"/>
  <c r="AP161" i="8"/>
  <c r="AO170" i="8"/>
  <c r="AM62" i="2"/>
  <c r="AP95" i="3"/>
  <c r="AQ31" i="8"/>
  <c r="AQ32" i="8"/>
  <c r="AL51" i="2" l="1"/>
  <c r="AO109" i="8"/>
  <c r="AQ56" i="3"/>
  <c r="AQ21" i="6"/>
  <c r="AN43" i="2"/>
  <c r="AN50" i="2"/>
  <c r="H21" i="5"/>
  <c r="H89" i="5"/>
  <c r="AQ20" i="6"/>
  <c r="AQ30" i="6"/>
  <c r="AP23" i="7"/>
  <c r="AP30" i="7"/>
  <c r="AQ246" i="8"/>
  <c r="AQ256" i="8"/>
  <c r="AQ198" i="8"/>
  <c r="AQ146" i="8"/>
  <c r="AQ150" i="8"/>
  <c r="AQ45" i="8"/>
  <c r="AQ42" i="8"/>
  <c r="AQ22" i="8"/>
  <c r="AQ21" i="8"/>
  <c r="AQ20" i="8"/>
  <c r="AQ14" i="8"/>
  <c r="AQ11" i="8"/>
  <c r="AQ10" i="8"/>
  <c r="AQ41" i="8" l="1"/>
  <c r="AQ200" i="8"/>
  <c r="AQ39" i="3"/>
  <c r="AP82" i="8"/>
  <c r="AO153" i="8"/>
  <c r="AQ133" i="8"/>
  <c r="AQ147" i="8"/>
  <c r="AP147" i="8"/>
  <c r="AQ13" i="8"/>
  <c r="AQ201" i="8"/>
  <c r="AQ37" i="6"/>
  <c r="AQ58" i="3"/>
  <c r="AQ145" i="8"/>
  <c r="AN35" i="2"/>
  <c r="H90" i="5"/>
  <c r="H50" i="5"/>
  <c r="AP33" i="7"/>
  <c r="AP24" i="7"/>
  <c r="AQ132" i="8"/>
  <c r="AQ76" i="8"/>
  <c r="AQ257" i="8"/>
  <c r="AN11" i="2"/>
  <c r="AQ19" i="3"/>
  <c r="AQ136" i="8"/>
  <c r="H109" i="5"/>
  <c r="H71" i="5"/>
  <c r="H110" i="5"/>
  <c r="AR21" i="8"/>
  <c r="AO22" i="8" l="1"/>
  <c r="AP173" i="8"/>
  <c r="AQ135" i="8"/>
  <c r="AN22" i="8"/>
  <c r="AO172" i="8"/>
  <c r="AO171" i="8"/>
  <c r="AL36" i="2"/>
  <c r="AQ16" i="8"/>
  <c r="H92" i="5"/>
  <c r="H99" i="5"/>
  <c r="AN59" i="2"/>
  <c r="AQ59" i="3"/>
  <c r="H102" i="5"/>
  <c r="H104" i="5"/>
  <c r="H105" i="5"/>
  <c r="AN26" i="2"/>
  <c r="H107" i="5"/>
  <c r="AQ66" i="3"/>
  <c r="H45" i="5"/>
  <c r="H40" i="5"/>
  <c r="H42" i="5"/>
  <c r="H49" i="5"/>
  <c r="H46" i="5"/>
  <c r="H41" i="5"/>
  <c r="H36" i="5"/>
  <c r="H47" i="5"/>
  <c r="H43" i="5"/>
  <c r="H37" i="5"/>
  <c r="H39" i="5"/>
  <c r="H48" i="5"/>
  <c r="H44" i="5"/>
  <c r="H38" i="5"/>
  <c r="H35" i="5"/>
  <c r="AQ131" i="8"/>
  <c r="AN33" i="2"/>
  <c r="AN34" i="2"/>
  <c r="H106" i="5"/>
  <c r="AP32" i="7"/>
  <c r="AQ100" i="8"/>
  <c r="AQ29" i="3"/>
  <c r="H73" i="5"/>
  <c r="H100" i="5"/>
  <c r="AR150" i="8"/>
  <c r="AR146" i="8"/>
  <c r="AR45" i="8"/>
  <c r="AR42" i="8"/>
  <c r="AR20" i="8"/>
  <c r="AR29" i="8"/>
  <c r="AR22" i="8"/>
  <c r="AR30" i="8"/>
  <c r="AR32" i="8"/>
  <c r="AR35" i="8"/>
  <c r="AR36" i="8"/>
  <c r="AR14" i="8"/>
  <c r="AR11" i="8"/>
  <c r="AR10" i="8"/>
  <c r="AR41" i="8" l="1"/>
  <c r="AR137" i="8"/>
  <c r="AQ104" i="8"/>
  <c r="AN14" i="2"/>
  <c r="AQ91" i="3"/>
  <c r="AL52" i="2"/>
  <c r="AQ40" i="8"/>
  <c r="AQ170" i="8"/>
  <c r="AR13" i="8"/>
  <c r="AN24" i="2"/>
  <c r="AQ94" i="3"/>
  <c r="AQ88" i="3"/>
  <c r="AQ89" i="3"/>
  <c r="AQ93" i="3"/>
  <c r="AN63" i="2"/>
  <c r="AN61" i="2"/>
  <c r="AN64" i="2"/>
  <c r="AQ92" i="3"/>
  <c r="AN25" i="2"/>
  <c r="AQ77" i="3"/>
  <c r="AQ79" i="3"/>
  <c r="AN10" i="2"/>
  <c r="AQ78" i="3"/>
  <c r="AQ75" i="3"/>
  <c r="AQ76" i="3"/>
  <c r="AQ80" i="3"/>
  <c r="AQ73" i="3"/>
  <c r="AQ74" i="3"/>
  <c r="AR136" i="8"/>
  <c r="AQ44" i="8" l="1"/>
  <c r="AR135" i="8"/>
  <c r="AN16" i="2"/>
  <c r="AN15" i="2"/>
  <c r="AQ161" i="8"/>
  <c r="AR133" i="8"/>
  <c r="AN62" i="2"/>
  <c r="AQ95" i="3"/>
  <c r="AN51" i="2"/>
  <c r="AQ109" i="8"/>
  <c r="AQ81" i="3"/>
  <c r="AR132" i="8"/>
  <c r="AO50" i="2"/>
  <c r="AO43" i="2"/>
  <c r="AO35" i="2"/>
  <c r="AR198" i="8"/>
  <c r="AR246" i="8"/>
  <c r="AR256" i="8"/>
  <c r="AQ23" i="7"/>
  <c r="AQ30" i="7"/>
  <c r="AR20" i="6"/>
  <c r="AR21" i="6"/>
  <c r="AR30" i="6"/>
  <c r="I21" i="5"/>
  <c r="D21" i="5" s="1"/>
  <c r="D28" i="5"/>
  <c r="I70" i="5"/>
  <c r="D70" i="5" s="1"/>
  <c r="I89" i="5"/>
  <c r="D89" i="5" s="1"/>
  <c r="AR56" i="3"/>
  <c r="AQ49" i="8" l="1"/>
  <c r="AN44" i="2"/>
  <c r="AR200" i="8"/>
  <c r="AR39" i="3"/>
  <c r="AR201" i="8"/>
  <c r="AO26" i="2"/>
  <c r="AR37" i="6"/>
  <c r="AR58" i="3"/>
  <c r="AQ107" i="8"/>
  <c r="AQ123" i="8"/>
  <c r="AQ153" i="8"/>
  <c r="I71" i="5"/>
  <c r="D71" i="5" s="1"/>
  <c r="AR60" i="6"/>
  <c r="AQ31" i="6"/>
  <c r="AQ22" i="6"/>
  <c r="AO11" i="2"/>
  <c r="I50" i="5"/>
  <c r="AQ24" i="7"/>
  <c r="AR76" i="8"/>
  <c r="AR145" i="8"/>
  <c r="AR257" i="8"/>
  <c r="AQ33" i="7"/>
  <c r="I90" i="5"/>
  <c r="D90" i="5" s="1"/>
  <c r="AR31" i="6"/>
  <c r="AR22" i="6"/>
  <c r="I110" i="5"/>
  <c r="I109" i="5"/>
  <c r="AQ63" i="8" l="1"/>
  <c r="AQ47" i="8"/>
  <c r="AQ139" i="8"/>
  <c r="AN164" i="8"/>
  <c r="AO164" i="8"/>
  <c r="AP164" i="8"/>
  <c r="AQ164" i="8"/>
  <c r="AQ173" i="8"/>
  <c r="AR38" i="3"/>
  <c r="AR59" i="6"/>
  <c r="AQ38" i="3"/>
  <c r="AN47" i="8"/>
  <c r="AQ61" i="8"/>
  <c r="AQ121" i="8"/>
  <c r="AQ172" i="8"/>
  <c r="AR55" i="6"/>
  <c r="D50" i="5"/>
  <c r="AR57" i="6"/>
  <c r="AR49" i="6"/>
  <c r="AR59" i="3"/>
  <c r="AP47" i="8"/>
  <c r="AO47" i="8"/>
  <c r="AR39" i="6"/>
  <c r="I73" i="5"/>
  <c r="D73" i="5" s="1"/>
  <c r="AQ39" i="6"/>
  <c r="AQ40" i="6"/>
  <c r="AR40" i="6"/>
  <c r="AR56" i="6"/>
  <c r="AR47" i="6"/>
  <c r="AR51" i="6"/>
  <c r="AR50" i="6"/>
  <c r="AR48" i="6"/>
  <c r="AR54" i="6"/>
  <c r="AR58" i="6"/>
  <c r="AR53" i="6"/>
  <c r="AR52" i="6"/>
  <c r="I47" i="5"/>
  <c r="AN36" i="2"/>
  <c r="AO33" i="2"/>
  <c r="AQ33" i="6"/>
  <c r="I92" i="5"/>
  <c r="D92" i="5" s="1"/>
  <c r="I106" i="5"/>
  <c r="AN12" i="2"/>
  <c r="AQ34" i="6"/>
  <c r="I104" i="5"/>
  <c r="D104" i="5" s="1"/>
  <c r="I49" i="5"/>
  <c r="I46" i="5"/>
  <c r="I42" i="5"/>
  <c r="I38" i="5"/>
  <c r="I37" i="5"/>
  <c r="I43" i="5"/>
  <c r="I41" i="5"/>
  <c r="I36" i="5"/>
  <c r="I48" i="5"/>
  <c r="I45" i="5"/>
  <c r="I40" i="5"/>
  <c r="I39" i="5"/>
  <c r="I44" i="5"/>
  <c r="I35" i="5"/>
  <c r="AR131" i="8"/>
  <c r="AO34" i="2"/>
  <c r="AQ32" i="7"/>
  <c r="I107" i="5"/>
  <c r="AR20" i="3"/>
  <c r="I105" i="5"/>
  <c r="D105" i="5" s="1"/>
  <c r="AO59" i="2"/>
  <c r="I102" i="5"/>
  <c r="D102" i="5" s="1"/>
  <c r="I99" i="5"/>
  <c r="D99" i="5" s="1"/>
  <c r="I100" i="5"/>
  <c r="D100" i="5" s="1"/>
  <c r="AR34" i="6"/>
  <c r="AR16" i="8"/>
  <c r="AR33" i="6"/>
  <c r="AO12" i="2"/>
  <c r="AR30" i="7"/>
  <c r="AQ163" i="8" l="1"/>
  <c r="AP61" i="8"/>
  <c r="AN27" i="2"/>
  <c r="AO61" i="8"/>
  <c r="AR91" i="3"/>
  <c r="AQ90" i="3"/>
  <c r="AN61" i="8"/>
  <c r="AR90" i="3"/>
  <c r="AR94" i="3"/>
  <c r="AR89" i="3"/>
  <c r="AO25" i="2"/>
  <c r="AR88" i="3"/>
  <c r="AR93" i="3"/>
  <c r="AR92" i="3"/>
  <c r="AN52" i="2"/>
  <c r="AO61" i="2"/>
  <c r="AR21" i="3"/>
  <c r="AO63" i="2"/>
  <c r="AO64" i="2"/>
  <c r="AS45" i="8"/>
  <c r="AS42" i="8"/>
  <c r="AS22" i="8"/>
  <c r="AS27" i="8"/>
  <c r="AS21" i="8"/>
  <c r="AS20" i="8"/>
  <c r="AS14" i="8"/>
  <c r="AS11" i="8"/>
  <c r="AS10" i="8"/>
  <c r="AS41" i="8" l="1"/>
  <c r="AN45" i="2"/>
  <c r="AO16" i="2"/>
  <c r="AS13" i="8"/>
  <c r="AO62" i="2"/>
  <c r="AR95" i="3"/>
  <c r="AR19" i="3"/>
  <c r="AS133" i="8"/>
  <c r="AS30" i="6"/>
  <c r="AP50" i="2"/>
  <c r="AP43" i="2"/>
  <c r="AS132" i="8"/>
  <c r="AS136" i="8"/>
  <c r="AS146" i="8"/>
  <c r="AS150" i="8"/>
  <c r="AS198" i="8"/>
  <c r="AS246" i="8"/>
  <c r="AS256" i="8"/>
  <c r="AR23" i="7"/>
  <c r="AS20" i="6"/>
  <c r="AS21" i="6"/>
  <c r="J21" i="5"/>
  <c r="J70" i="5"/>
  <c r="J89" i="5"/>
  <c r="AS56" i="3"/>
  <c r="AS135" i="8" l="1"/>
  <c r="AS200" i="8"/>
  <c r="AS58" i="3"/>
  <c r="AS37" i="6"/>
  <c r="AS39" i="3"/>
  <c r="AS201" i="8"/>
  <c r="AR66" i="3"/>
  <c r="AR29" i="3"/>
  <c r="J71" i="5"/>
  <c r="AP11" i="2"/>
  <c r="J90" i="5"/>
  <c r="J92" i="5" s="1"/>
  <c r="AS76" i="8"/>
  <c r="AP35" i="2"/>
  <c r="AP26" i="2"/>
  <c r="AS22" i="6"/>
  <c r="AS31" i="6"/>
  <c r="AS257" i="8"/>
  <c r="AR24" i="7"/>
  <c r="AR33" i="7"/>
  <c r="J50" i="5"/>
  <c r="AS131" i="8"/>
  <c r="AS16" i="8"/>
  <c r="AS145" i="8"/>
  <c r="J110" i="5"/>
  <c r="J109" i="5"/>
  <c r="AO14" i="2" l="1"/>
  <c r="AS59" i="3"/>
  <c r="AR173" i="8"/>
  <c r="AS38" i="3"/>
  <c r="AS39" i="6"/>
  <c r="AQ162" i="8"/>
  <c r="AQ171" i="8"/>
  <c r="AS90" i="3"/>
  <c r="AR100" i="8"/>
  <c r="AR147" i="8"/>
  <c r="AS40" i="8"/>
  <c r="AS40" i="6"/>
  <c r="AR79" i="3"/>
  <c r="AR80" i="3"/>
  <c r="AO10" i="2"/>
  <c r="AR78" i="3"/>
  <c r="AR73" i="3"/>
  <c r="AR75" i="3"/>
  <c r="AR74" i="3"/>
  <c r="AR76" i="3"/>
  <c r="AR77" i="3"/>
  <c r="AS89" i="3"/>
  <c r="J106" i="5"/>
  <c r="J73" i="5"/>
  <c r="AS20" i="3" s="1"/>
  <c r="AS21" i="3"/>
  <c r="J107" i="5"/>
  <c r="AS34" i="6"/>
  <c r="AP12" i="2"/>
  <c r="AP24" i="2"/>
  <c r="AP33" i="2"/>
  <c r="AP25" i="2"/>
  <c r="AP34" i="2"/>
  <c r="AR32" i="7"/>
  <c r="AS33" i="6"/>
  <c r="AP59" i="2"/>
  <c r="J104" i="5"/>
  <c r="J47" i="5"/>
  <c r="J44" i="5"/>
  <c r="J38" i="5"/>
  <c r="J36" i="5"/>
  <c r="J37" i="5"/>
  <c r="J45" i="5"/>
  <c r="J43" i="5"/>
  <c r="J41" i="5"/>
  <c r="J35" i="5"/>
  <c r="J49" i="5"/>
  <c r="J46" i="5"/>
  <c r="J42" i="5"/>
  <c r="J39" i="5"/>
  <c r="J48" i="5"/>
  <c r="J40" i="5"/>
  <c r="J105" i="5"/>
  <c r="J99" i="5"/>
  <c r="J100" i="5"/>
  <c r="J102" i="5"/>
  <c r="AS93" i="3" l="1"/>
  <c r="AS92" i="3"/>
  <c r="AS88" i="3"/>
  <c r="AS91" i="3"/>
  <c r="AS94" i="3"/>
  <c r="AR104" i="8"/>
  <c r="AS44" i="8"/>
  <c r="AO15" i="2"/>
  <c r="AP16" i="2"/>
  <c r="AR170" i="8"/>
  <c r="AS161" i="8"/>
  <c r="AR81" i="3"/>
  <c r="AP64" i="2"/>
  <c r="AS19" i="3"/>
  <c r="AP61" i="2"/>
  <c r="AP63" i="2"/>
  <c r="AS95" i="3" l="1"/>
  <c r="AP62" i="2"/>
  <c r="AP44" i="2"/>
  <c r="AS29" i="3"/>
  <c r="AS66" i="3"/>
  <c r="AS49" i="8"/>
  <c r="AP14" i="2" l="1"/>
  <c r="AS77" i="3"/>
  <c r="AS47" i="8"/>
  <c r="AS80" i="3"/>
  <c r="AS73" i="3"/>
  <c r="AS74" i="3"/>
  <c r="AS75" i="3"/>
  <c r="AP10" i="2"/>
  <c r="AS76" i="3"/>
  <c r="AS78" i="3"/>
  <c r="AS79" i="3"/>
  <c r="AS63" i="8"/>
  <c r="AS139" i="8"/>
  <c r="AT45" i="8"/>
  <c r="AT42" i="8"/>
  <c r="AT22" i="8"/>
  <c r="AT27" i="8"/>
  <c r="AT21" i="8"/>
  <c r="AT20" i="8"/>
  <c r="AT14" i="8"/>
  <c r="AT11" i="8"/>
  <c r="AT10" i="8"/>
  <c r="AT41" i="8" l="1"/>
  <c r="AP15" i="2"/>
  <c r="AS61" i="8"/>
  <c r="AT13" i="8"/>
  <c r="AS81" i="3"/>
  <c r="AP27" i="2"/>
  <c r="AQ50" i="2"/>
  <c r="AQ43" i="2"/>
  <c r="AT136" i="8"/>
  <c r="AT132" i="8"/>
  <c r="AT146" i="8"/>
  <c r="AT150" i="8"/>
  <c r="AT198" i="8"/>
  <c r="AT246" i="8"/>
  <c r="AT256" i="8"/>
  <c r="AS23" i="7"/>
  <c r="AS30" i="7"/>
  <c r="AT20" i="6"/>
  <c r="AT21" i="6"/>
  <c r="AT30" i="6"/>
  <c r="K21" i="5"/>
  <c r="K70" i="5"/>
  <c r="K89" i="5"/>
  <c r="AT56" i="3"/>
  <c r="AT135" i="8" l="1"/>
  <c r="AT200" i="8"/>
  <c r="AT58" i="3"/>
  <c r="AT39" i="3"/>
  <c r="AT37" i="6"/>
  <c r="AT133" i="8"/>
  <c r="AT201" i="8"/>
  <c r="AQ26" i="2"/>
  <c r="AQ35" i="2"/>
  <c r="AT76" i="8"/>
  <c r="AT22" i="6"/>
  <c r="K90" i="5"/>
  <c r="K50" i="5"/>
  <c r="AT31" i="6"/>
  <c r="AT257" i="8"/>
  <c r="AT145" i="8"/>
  <c r="AS33" i="7"/>
  <c r="AT60" i="6"/>
  <c r="K110" i="5"/>
  <c r="AQ11" i="2"/>
  <c r="AT131" i="8"/>
  <c r="AT16" i="8"/>
  <c r="AS24" i="7"/>
  <c r="K109" i="5"/>
  <c r="K71" i="5"/>
  <c r="AT59" i="3" l="1"/>
  <c r="K105" i="5"/>
  <c r="AS173" i="8"/>
  <c r="AT59" i="6"/>
  <c r="AT39" i="6"/>
  <c r="AT38" i="3"/>
  <c r="AS100" i="8"/>
  <c r="AS147" i="8"/>
  <c r="AT40" i="6"/>
  <c r="AT40" i="8"/>
  <c r="K104" i="5"/>
  <c r="AQ63" i="2" s="1"/>
  <c r="K102" i="5"/>
  <c r="AQ61" i="2" s="1"/>
  <c r="K99" i="5"/>
  <c r="K107" i="5"/>
  <c r="AT33" i="6"/>
  <c r="AT34" i="6"/>
  <c r="AQ33" i="2"/>
  <c r="AQ25" i="2"/>
  <c r="AQ24" i="2"/>
  <c r="AQ34" i="2"/>
  <c r="AS32" i="7"/>
  <c r="AT57" i="6"/>
  <c r="AT56" i="6"/>
  <c r="AT48" i="6"/>
  <c r="AT47" i="6"/>
  <c r="AT55" i="6"/>
  <c r="AT53" i="6"/>
  <c r="AT50" i="6"/>
  <c r="AT58" i="6"/>
  <c r="AT54" i="6"/>
  <c r="AT52" i="6"/>
  <c r="AT51" i="6"/>
  <c r="AT49" i="6"/>
  <c r="AQ12" i="2"/>
  <c r="AQ64" i="2"/>
  <c r="K92" i="5"/>
  <c r="AT21" i="3" s="1"/>
  <c r="AQ59" i="2"/>
  <c r="K48" i="5"/>
  <c r="K40" i="5"/>
  <c r="K37" i="5"/>
  <c r="K47" i="5"/>
  <c r="K44" i="5"/>
  <c r="K38" i="5"/>
  <c r="K36" i="5"/>
  <c r="K45" i="5"/>
  <c r="K43" i="5"/>
  <c r="K41" i="5"/>
  <c r="K35" i="5"/>
  <c r="K49" i="5"/>
  <c r="K46" i="5"/>
  <c r="K42" i="5"/>
  <c r="K39" i="5"/>
  <c r="AT89" i="3"/>
  <c r="K100" i="5"/>
  <c r="K73" i="5"/>
  <c r="AT20" i="3" s="1"/>
  <c r="K106" i="5"/>
  <c r="AR50" i="2"/>
  <c r="AR43" i="2"/>
  <c r="AT88" i="3" l="1"/>
  <c r="AT91" i="3"/>
  <c r="AT92" i="3"/>
  <c r="AT93" i="3"/>
  <c r="AT94" i="3"/>
  <c r="AS104" i="8"/>
  <c r="AT44" i="8"/>
  <c r="AT90" i="3"/>
  <c r="AQ16" i="2"/>
  <c r="AT161" i="8"/>
  <c r="AS170" i="8"/>
  <c r="AQ62" i="2"/>
  <c r="AT19" i="3"/>
  <c r="AT95" i="3" l="1"/>
  <c r="AS109" i="8"/>
  <c r="AP51" i="2"/>
  <c r="AT29" i="3"/>
  <c r="AT66" i="3"/>
  <c r="AQ44" i="2"/>
  <c r="AT49" i="8"/>
  <c r="AU45" i="8"/>
  <c r="AU42" i="8"/>
  <c r="AU39" i="8"/>
  <c r="AU22" i="8"/>
  <c r="AU21" i="8"/>
  <c r="AU20" i="8"/>
  <c r="AU14" i="8"/>
  <c r="AU11" i="8"/>
  <c r="AU10" i="8"/>
  <c r="AU41" i="8" l="1"/>
  <c r="AQ14" i="2"/>
  <c r="AS123" i="8"/>
  <c r="AS153" i="8"/>
  <c r="AT77" i="3"/>
  <c r="AS107" i="8"/>
  <c r="AU13" i="8"/>
  <c r="AT47" i="8"/>
  <c r="AT80" i="3"/>
  <c r="AT73" i="3"/>
  <c r="AT76" i="3"/>
  <c r="AT75" i="3"/>
  <c r="AQ10" i="2"/>
  <c r="AT74" i="3"/>
  <c r="AT79" i="3"/>
  <c r="AT78" i="3"/>
  <c r="AT139" i="8"/>
  <c r="AU30" i="6"/>
  <c r="AU136" i="8"/>
  <c r="AU132" i="8"/>
  <c r="AU146" i="8"/>
  <c r="AU150" i="8"/>
  <c r="AU198" i="8"/>
  <c r="AU246" i="8"/>
  <c r="AU256" i="8"/>
  <c r="AT23" i="7"/>
  <c r="AT30" i="7"/>
  <c r="AU20" i="6"/>
  <c r="AU21" i="6"/>
  <c r="L21" i="5"/>
  <c r="L70" i="5"/>
  <c r="L89" i="5"/>
  <c r="AU56" i="3"/>
  <c r="AS121" i="8" l="1"/>
  <c r="AS171" i="8"/>
  <c r="AS172" i="8"/>
  <c r="AP36" i="2"/>
  <c r="AU135" i="8"/>
  <c r="AU200" i="8"/>
  <c r="AU58" i="3"/>
  <c r="AQ15" i="2"/>
  <c r="AU39" i="3"/>
  <c r="AU37" i="6"/>
  <c r="AU147" i="8"/>
  <c r="AU133" i="8"/>
  <c r="AU201" i="8"/>
  <c r="AT81" i="3"/>
  <c r="AU145" i="8"/>
  <c r="AQ27" i="2"/>
  <c r="AR26" i="2"/>
  <c r="AU76" i="8"/>
  <c r="AR35" i="2"/>
  <c r="AU16" i="8"/>
  <c r="L90" i="5"/>
  <c r="L50" i="5"/>
  <c r="AR11" i="2"/>
  <c r="AU31" i="6"/>
  <c r="AT24" i="7"/>
  <c r="AU257" i="8"/>
  <c r="AT33" i="7"/>
  <c r="L109" i="5"/>
  <c r="L71" i="5"/>
  <c r="L110" i="5"/>
  <c r="AU22" i="6"/>
  <c r="AU59" i="3" l="1"/>
  <c r="AT173" i="8"/>
  <c r="AP52" i="2"/>
  <c r="AU39" i="6"/>
  <c r="AU38" i="3"/>
  <c r="AT100" i="8"/>
  <c r="AT147" i="8"/>
  <c r="AU40" i="6"/>
  <c r="L102" i="5"/>
  <c r="AR61" i="2" s="1"/>
  <c r="L107" i="5"/>
  <c r="AR34" i="2"/>
  <c r="AU100" i="8"/>
  <c r="AU40" i="8"/>
  <c r="L92" i="5"/>
  <c r="AR24" i="2"/>
  <c r="AR33" i="2"/>
  <c r="AR59" i="2"/>
  <c r="L47" i="5"/>
  <c r="L44" i="5"/>
  <c r="L38" i="5"/>
  <c r="L36" i="5"/>
  <c r="L48" i="5"/>
  <c r="L43" i="5"/>
  <c r="L41" i="5"/>
  <c r="L35" i="5"/>
  <c r="L104" i="5"/>
  <c r="L45" i="5"/>
  <c r="L40" i="5"/>
  <c r="L37" i="5"/>
  <c r="L49" i="5"/>
  <c r="L46" i="5"/>
  <c r="L42" i="5"/>
  <c r="L39" i="5"/>
  <c r="L99" i="5"/>
  <c r="L105" i="5"/>
  <c r="L73" i="5"/>
  <c r="AU33" i="6"/>
  <c r="AR12" i="2"/>
  <c r="AT32" i="7"/>
  <c r="L100" i="5"/>
  <c r="L106" i="5"/>
  <c r="AU131" i="8"/>
  <c r="AU34" i="6"/>
  <c r="AU92" i="3" l="1"/>
  <c r="AU93" i="3"/>
  <c r="AU88" i="3"/>
  <c r="AU94" i="3"/>
  <c r="AU91" i="3"/>
  <c r="AU89" i="3"/>
  <c r="AT104" i="8"/>
  <c r="AU104" i="8"/>
  <c r="AU44" i="8"/>
  <c r="AU90" i="3"/>
  <c r="AU170" i="8"/>
  <c r="AU161" i="8"/>
  <c r="AT170" i="8"/>
  <c r="AU20" i="3"/>
  <c r="AU21" i="3"/>
  <c r="AR25" i="2"/>
  <c r="AR63" i="2"/>
  <c r="AR64" i="2"/>
  <c r="AS50" i="2"/>
  <c r="AS43" i="2"/>
  <c r="AV45" i="8"/>
  <c r="AV42" i="8"/>
  <c r="AV20" i="8"/>
  <c r="AV21" i="8"/>
  <c r="AV23" i="8"/>
  <c r="AV22" i="8"/>
  <c r="AV30" i="8"/>
  <c r="AV39" i="8"/>
  <c r="AV14" i="8"/>
  <c r="AV11" i="8"/>
  <c r="AV10" i="8"/>
  <c r="AR16" i="2" l="1"/>
  <c r="AU95" i="3"/>
  <c r="AV41" i="8"/>
  <c r="AT109" i="8"/>
  <c r="AQ51" i="2"/>
  <c r="AV13" i="8"/>
  <c r="AR62" i="2"/>
  <c r="AR44" i="2"/>
  <c r="AU19" i="3"/>
  <c r="AU49" i="8"/>
  <c r="AU109" i="8"/>
  <c r="AR51" i="2"/>
  <c r="AV135" i="8" l="1"/>
  <c r="AT153" i="8"/>
  <c r="AU66" i="3"/>
  <c r="AU107" i="8"/>
  <c r="AT107" i="8"/>
  <c r="AV133" i="8"/>
  <c r="AU29" i="3"/>
  <c r="AU139" i="8"/>
  <c r="AU47" i="8"/>
  <c r="AU153" i="8"/>
  <c r="AV132" i="8"/>
  <c r="AV136" i="8"/>
  <c r="AV146" i="8"/>
  <c r="AV150" i="8"/>
  <c r="AV198" i="8"/>
  <c r="AV246" i="8"/>
  <c r="AV256" i="8"/>
  <c r="AU23" i="7"/>
  <c r="AU30" i="7"/>
  <c r="AV20" i="6"/>
  <c r="AV21" i="6"/>
  <c r="AV30" i="6"/>
  <c r="M21" i="5"/>
  <c r="M70" i="5"/>
  <c r="M89" i="5"/>
  <c r="AV56" i="3"/>
  <c r="AR14" i="2" l="1"/>
  <c r="AT172" i="8"/>
  <c r="AQ36" i="2"/>
  <c r="AV200" i="8"/>
  <c r="AV58" i="3"/>
  <c r="AU73" i="3"/>
  <c r="AV39" i="3"/>
  <c r="AV37" i="6"/>
  <c r="AS163" i="8"/>
  <c r="AT171" i="8"/>
  <c r="AR27" i="2"/>
  <c r="AV201" i="8"/>
  <c r="AU79" i="3"/>
  <c r="AU74" i="3"/>
  <c r="AU80" i="3"/>
  <c r="AU76" i="3"/>
  <c r="AU77" i="3"/>
  <c r="AU78" i="3"/>
  <c r="AR10" i="2"/>
  <c r="AU75" i="3"/>
  <c r="AS26" i="2"/>
  <c r="AV76" i="8"/>
  <c r="AR36" i="2"/>
  <c r="M71" i="5"/>
  <c r="M106" i="5" s="1"/>
  <c r="AS35" i="2"/>
  <c r="M50" i="5"/>
  <c r="AS11" i="2"/>
  <c r="AV31" i="6"/>
  <c r="AV60" i="6"/>
  <c r="AV16" i="8"/>
  <c r="AV257" i="8"/>
  <c r="AV145" i="8"/>
  <c r="AU33" i="7"/>
  <c r="M110" i="5"/>
  <c r="AV22" i="6"/>
  <c r="AV131" i="8"/>
  <c r="AU24" i="7"/>
  <c r="M109" i="5"/>
  <c r="M90" i="5"/>
  <c r="AU163" i="8" l="1"/>
  <c r="M105" i="5"/>
  <c r="AR164" i="8"/>
  <c r="AS164" i="8"/>
  <c r="AT164" i="8"/>
  <c r="AU164" i="8"/>
  <c r="AU173" i="8"/>
  <c r="AQ52" i="2"/>
  <c r="AU172" i="8"/>
  <c r="AT163" i="8"/>
  <c r="AV59" i="3"/>
  <c r="AR15" i="2"/>
  <c r="AV59" i="6"/>
  <c r="AV38" i="3"/>
  <c r="AV39" i="6"/>
  <c r="AV48" i="6"/>
  <c r="M104" i="5"/>
  <c r="AS63" i="2" s="1"/>
  <c r="AU81" i="3"/>
  <c r="AV40" i="6"/>
  <c r="M102" i="5"/>
  <c r="AS61" i="2" s="1"/>
  <c r="AV40" i="8"/>
  <c r="AS25" i="2"/>
  <c r="AS24" i="2"/>
  <c r="AP45" i="2"/>
  <c r="M100" i="5"/>
  <c r="M73" i="5"/>
  <c r="AV53" i="6"/>
  <c r="AV50" i="6"/>
  <c r="AV49" i="6"/>
  <c r="AS64" i="2"/>
  <c r="M107" i="5"/>
  <c r="M43" i="5"/>
  <c r="M49" i="5"/>
  <c r="AS59" i="2"/>
  <c r="M45" i="5"/>
  <c r="M42" i="5"/>
  <c r="M37" i="5"/>
  <c r="M46" i="5"/>
  <c r="M38" i="5"/>
  <c r="M36" i="5"/>
  <c r="M44" i="5"/>
  <c r="M41" i="5"/>
  <c r="M35" i="5"/>
  <c r="M48" i="5"/>
  <c r="M40" i="5"/>
  <c r="M39" i="5"/>
  <c r="M47" i="5"/>
  <c r="AU32" i="7"/>
  <c r="AV34" i="6"/>
  <c r="AS12" i="2"/>
  <c r="AV56" i="6"/>
  <c r="AV54" i="6"/>
  <c r="AV57" i="6"/>
  <c r="AV55" i="6"/>
  <c r="AV47" i="6"/>
  <c r="AV51" i="6"/>
  <c r="AV52" i="6"/>
  <c r="AV58" i="6"/>
  <c r="AV33" i="6"/>
  <c r="AS33" i="2"/>
  <c r="AS34" i="2"/>
  <c r="M99" i="5"/>
  <c r="M92" i="5"/>
  <c r="AR45" i="2" l="1"/>
  <c r="AV93" i="3"/>
  <c r="AV94" i="3"/>
  <c r="AV44" i="8"/>
  <c r="AR52" i="2"/>
  <c r="AV89" i="3"/>
  <c r="AQ45" i="2"/>
  <c r="AV88" i="3"/>
  <c r="AV92" i="3"/>
  <c r="AV91" i="3"/>
  <c r="AV90" i="3"/>
  <c r="AV161" i="8"/>
  <c r="AS62" i="2"/>
  <c r="AV20" i="3"/>
  <c r="AV21" i="3"/>
  <c r="BB37" i="8"/>
  <c r="AS16" i="2" l="1"/>
  <c r="AV95" i="3"/>
  <c r="AV19" i="3"/>
  <c r="AV49" i="8"/>
  <c r="AS44" i="2"/>
  <c r="AT50" i="2"/>
  <c r="AT43" i="2"/>
  <c r="AV47" i="8" l="1"/>
  <c r="AV29" i="3"/>
  <c r="AV66" i="3"/>
  <c r="AV63" i="8"/>
  <c r="AV139" i="8"/>
  <c r="AW45" i="8"/>
  <c r="AW42" i="8"/>
  <c r="AW20" i="8"/>
  <c r="AW21" i="8"/>
  <c r="AW22" i="8"/>
  <c r="AW39" i="8"/>
  <c r="AW14" i="8"/>
  <c r="AW11" i="8"/>
  <c r="AW10" i="8"/>
  <c r="AW150" i="8"/>
  <c r="AW198" i="8"/>
  <c r="AW246" i="8"/>
  <c r="AW256" i="8"/>
  <c r="AV23" i="7"/>
  <c r="AV30" i="7"/>
  <c r="AW20" i="6"/>
  <c r="AW21" i="6"/>
  <c r="AW30" i="6"/>
  <c r="N21" i="5"/>
  <c r="N70" i="5"/>
  <c r="N89" i="5"/>
  <c r="AW56" i="3"/>
  <c r="AW41" i="8" l="1"/>
  <c r="AS14" i="2"/>
  <c r="AW200" i="8"/>
  <c r="AW58" i="3"/>
  <c r="AW39" i="3"/>
  <c r="AW37" i="6"/>
  <c r="AV61" i="8"/>
  <c r="AV77" i="3"/>
  <c r="AS162" i="8"/>
  <c r="AT162" i="8"/>
  <c r="AU171" i="8"/>
  <c r="AU162" i="8"/>
  <c r="AW13" i="8"/>
  <c r="AW201" i="8"/>
  <c r="AV80" i="3"/>
  <c r="AV74" i="3"/>
  <c r="AV73" i="3"/>
  <c r="AS10" i="2"/>
  <c r="AV75" i="3"/>
  <c r="AV76" i="3"/>
  <c r="AV78" i="3"/>
  <c r="AV79" i="3"/>
  <c r="AS27" i="2"/>
  <c r="N50" i="5"/>
  <c r="AW31" i="6"/>
  <c r="AW136" i="8"/>
  <c r="AW132" i="8"/>
  <c r="N90" i="5"/>
  <c r="N71" i="5"/>
  <c r="N106" i="5" s="1"/>
  <c r="AT11" i="2"/>
  <c r="AW257" i="8"/>
  <c r="AV33" i="7"/>
  <c r="N109" i="5"/>
  <c r="AW145" i="8"/>
  <c r="AW76" i="8"/>
  <c r="AV24" i="7"/>
  <c r="AW22" i="6"/>
  <c r="N110" i="5"/>
  <c r="N46" i="5" l="1"/>
  <c r="AV173" i="8"/>
  <c r="AW135" i="8"/>
  <c r="AW59" i="3"/>
  <c r="AS15" i="2"/>
  <c r="AW39" i="6"/>
  <c r="AW38" i="3"/>
  <c r="AW133" i="8"/>
  <c r="AW40" i="6"/>
  <c r="N105" i="5"/>
  <c r="AT64" i="2" s="1"/>
  <c r="N45" i="5"/>
  <c r="N37" i="5"/>
  <c r="N104" i="5"/>
  <c r="AT63" i="2" s="1"/>
  <c r="N47" i="5"/>
  <c r="AV81" i="3"/>
  <c r="N38" i="5"/>
  <c r="AT26" i="2"/>
  <c r="AW131" i="8"/>
  <c r="N43" i="5"/>
  <c r="N39" i="5"/>
  <c r="AT59" i="2"/>
  <c r="N41" i="5"/>
  <c r="N36" i="5"/>
  <c r="N42" i="5"/>
  <c r="N35" i="5"/>
  <c r="N40" i="5"/>
  <c r="N44" i="5"/>
  <c r="N49" i="5"/>
  <c r="AW16" i="8"/>
  <c r="N102" i="5"/>
  <c r="AT61" i="2" s="1"/>
  <c r="N99" i="5"/>
  <c r="N100" i="5"/>
  <c r="N92" i="5"/>
  <c r="AW21" i="3" s="1"/>
  <c r="N48" i="5"/>
  <c r="N73" i="5"/>
  <c r="AW20" i="3" s="1"/>
  <c r="N107" i="5"/>
  <c r="AW33" i="6"/>
  <c r="AT12" i="2"/>
  <c r="AT34" i="2"/>
  <c r="AV32" i="7"/>
  <c r="AW34" i="6"/>
  <c r="AW92" i="3" l="1"/>
  <c r="AW88" i="3"/>
  <c r="AW93" i="3"/>
  <c r="AW91" i="3"/>
  <c r="AW94" i="3"/>
  <c r="AW89" i="3"/>
  <c r="AW90" i="3"/>
  <c r="AW40" i="8"/>
  <c r="AT25" i="2"/>
  <c r="AV100" i="8"/>
  <c r="AV147" i="8"/>
  <c r="AT62" i="2"/>
  <c r="AW19" i="3"/>
  <c r="AT24" i="2"/>
  <c r="AU50" i="2"/>
  <c r="AU43" i="2"/>
  <c r="AV104" i="8" l="1"/>
  <c r="AT16" i="2"/>
  <c r="AW95" i="3"/>
  <c r="AW44" i="8"/>
  <c r="AW161" i="8"/>
  <c r="AV170" i="8"/>
  <c r="AW29" i="3"/>
  <c r="AW66" i="3"/>
  <c r="AX45" i="8"/>
  <c r="AX42" i="8"/>
  <c r="AX20" i="8"/>
  <c r="AX21" i="8"/>
  <c r="AX22" i="8"/>
  <c r="AX30" i="8"/>
  <c r="AX39" i="8"/>
  <c r="AX14" i="8"/>
  <c r="AX11" i="8"/>
  <c r="AX10" i="8"/>
  <c r="AX41" i="8" l="1"/>
  <c r="AT14" i="2"/>
  <c r="AW77" i="3"/>
  <c r="AV109" i="8"/>
  <c r="AS51" i="2"/>
  <c r="AX13" i="8"/>
  <c r="AW80" i="3"/>
  <c r="AW75" i="3"/>
  <c r="AT10" i="2"/>
  <c r="AW76" i="3"/>
  <c r="AW74" i="3"/>
  <c r="AW73" i="3"/>
  <c r="AW79" i="3"/>
  <c r="AW78" i="3"/>
  <c r="AW146" i="8"/>
  <c r="AX136" i="8"/>
  <c r="AX132" i="8"/>
  <c r="AX146" i="8"/>
  <c r="AX150" i="8"/>
  <c r="AX198" i="8"/>
  <c r="AX246" i="8"/>
  <c r="AX256" i="8"/>
  <c r="AW23" i="7"/>
  <c r="AW30" i="7"/>
  <c r="AX20" i="6"/>
  <c r="AX21" i="6"/>
  <c r="AX30" i="6"/>
  <c r="O21" i="5"/>
  <c r="O70" i="5"/>
  <c r="O89" i="5"/>
  <c r="AX56" i="3"/>
  <c r="AV153" i="8" l="1"/>
  <c r="AV123" i="8"/>
  <c r="AX135" i="8"/>
  <c r="AX200" i="8"/>
  <c r="AX58" i="3"/>
  <c r="AT15" i="2"/>
  <c r="AX39" i="3"/>
  <c r="AX37" i="6"/>
  <c r="AV107" i="8"/>
  <c r="AX133" i="8"/>
  <c r="AX201" i="8"/>
  <c r="AW81" i="3"/>
  <c r="O71" i="5"/>
  <c r="O73" i="5" s="1"/>
  <c r="AX20" i="3" s="1"/>
  <c r="AT33" i="2"/>
  <c r="AT35" i="2"/>
  <c r="AX76" i="8"/>
  <c r="AU35" i="2"/>
  <c r="AU26" i="2"/>
  <c r="AX60" i="6"/>
  <c r="AU11" i="2"/>
  <c r="O90" i="5"/>
  <c r="O107" i="5" s="1"/>
  <c r="O50" i="5"/>
  <c r="AX31" i="6"/>
  <c r="AW33" i="7"/>
  <c r="O109" i="5"/>
  <c r="AX22" i="6"/>
  <c r="AX257" i="8"/>
  <c r="AX16" i="8"/>
  <c r="AX131" i="8"/>
  <c r="AX145" i="8"/>
  <c r="AW24" i="7"/>
  <c r="O110" i="5"/>
  <c r="AS36" i="2" l="1"/>
  <c r="AV172" i="8"/>
  <c r="AV171" i="8"/>
  <c r="AV121" i="8"/>
  <c r="AX59" i="3"/>
  <c r="O102" i="5"/>
  <c r="AW173" i="8"/>
  <c r="AX38" i="3"/>
  <c r="AX59" i="6"/>
  <c r="AX39" i="6"/>
  <c r="AX40" i="8"/>
  <c r="AW100" i="8"/>
  <c r="AW147" i="8"/>
  <c r="AX40" i="6"/>
  <c r="O106" i="5"/>
  <c r="O105" i="5"/>
  <c r="AU64" i="2" s="1"/>
  <c r="O104" i="5"/>
  <c r="AU63" i="2" s="1"/>
  <c r="O100" i="5"/>
  <c r="O92" i="5"/>
  <c r="AX21" i="3" s="1"/>
  <c r="AX34" i="6"/>
  <c r="AU34" i="2"/>
  <c r="AU25" i="2"/>
  <c r="AU33" i="2"/>
  <c r="AU24" i="2"/>
  <c r="AW32" i="7"/>
  <c r="AX55" i="6"/>
  <c r="AX53" i="6"/>
  <c r="AX50" i="6"/>
  <c r="AX58" i="6"/>
  <c r="AX51" i="6"/>
  <c r="AX49" i="6"/>
  <c r="AX56" i="6"/>
  <c r="AX54" i="6"/>
  <c r="AX52" i="6"/>
  <c r="AX57" i="6"/>
  <c r="AX48" i="6"/>
  <c r="AX47" i="6"/>
  <c r="AU61" i="2"/>
  <c r="AU59" i="2"/>
  <c r="O45" i="5"/>
  <c r="O40" i="5"/>
  <c r="O39" i="5"/>
  <c r="O48" i="5"/>
  <c r="O44" i="5"/>
  <c r="O38" i="5"/>
  <c r="O36" i="5"/>
  <c r="O47" i="5"/>
  <c r="O43" i="5"/>
  <c r="O41" i="5"/>
  <c r="O35" i="5"/>
  <c r="O49" i="5"/>
  <c r="O46" i="5"/>
  <c r="O42" i="5"/>
  <c r="O37" i="5"/>
  <c r="O99" i="5"/>
  <c r="AX33" i="6"/>
  <c r="AU12" i="2"/>
  <c r="AX93" i="3" l="1"/>
  <c r="AX94" i="3"/>
  <c r="AS52" i="2"/>
  <c r="AX88" i="3"/>
  <c r="AX89" i="3"/>
  <c r="AX92" i="3"/>
  <c r="AX91" i="3"/>
  <c r="AW104" i="8"/>
  <c r="AX44" i="8"/>
  <c r="AX161" i="8"/>
  <c r="AX90" i="3"/>
  <c r="AW170" i="8"/>
  <c r="AU62" i="2"/>
  <c r="AX19" i="3"/>
  <c r="AY45" i="8"/>
  <c r="AY42" i="8"/>
  <c r="AY39" i="8"/>
  <c r="AY22" i="8"/>
  <c r="AY21" i="8"/>
  <c r="AY20" i="8"/>
  <c r="AY14" i="8"/>
  <c r="AY11" i="8"/>
  <c r="AY10" i="8"/>
  <c r="AX95" i="3" l="1"/>
  <c r="AY41" i="8"/>
  <c r="AU16" i="2"/>
  <c r="AY13" i="8"/>
  <c r="AX29" i="3"/>
  <c r="AX66" i="3"/>
  <c r="AY133" i="8"/>
  <c r="AX49" i="8"/>
  <c r="AU44" i="2"/>
  <c r="AU14" i="2" l="1"/>
  <c r="AY135" i="8"/>
  <c r="AX77" i="3"/>
  <c r="AY147" i="8"/>
  <c r="AX139" i="8"/>
  <c r="AX47" i="8"/>
  <c r="AX80" i="3"/>
  <c r="AX76" i="3"/>
  <c r="AX74" i="3"/>
  <c r="AX75" i="3"/>
  <c r="AU10" i="2"/>
  <c r="AX73" i="3"/>
  <c r="AX79" i="3"/>
  <c r="AX78" i="3"/>
  <c r="AY16" i="8"/>
  <c r="AV50" i="2"/>
  <c r="AV43" i="2"/>
  <c r="AY132" i="8"/>
  <c r="AY136" i="8"/>
  <c r="AY146" i="8"/>
  <c r="AY150" i="8"/>
  <c r="AY198" i="8"/>
  <c r="AY246" i="8"/>
  <c r="AY256" i="8"/>
  <c r="AX23" i="7"/>
  <c r="AX30" i="7"/>
  <c r="AY20" i="6"/>
  <c r="AY21" i="6"/>
  <c r="AY30" i="6"/>
  <c r="P21" i="5"/>
  <c r="P70" i="5"/>
  <c r="P89" i="5"/>
  <c r="AY56" i="3"/>
  <c r="AY200" i="8" l="1"/>
  <c r="AU15" i="2"/>
  <c r="AY58" i="3"/>
  <c r="AY39" i="3"/>
  <c r="AY37" i="6"/>
  <c r="AY40" i="8"/>
  <c r="AU27" i="2"/>
  <c r="AX100" i="8"/>
  <c r="AX147" i="8"/>
  <c r="AY201" i="8"/>
  <c r="AX81" i="3"/>
  <c r="AY22" i="6"/>
  <c r="P71" i="5"/>
  <c r="AV11" i="2"/>
  <c r="AY31" i="6"/>
  <c r="AV35" i="2"/>
  <c r="AV26" i="2"/>
  <c r="AY145" i="8"/>
  <c r="AY257" i="8"/>
  <c r="AY76" i="8"/>
  <c r="AV24" i="2"/>
  <c r="AY131" i="8"/>
  <c r="AX24" i="7"/>
  <c r="AX33" i="7"/>
  <c r="P110" i="5"/>
  <c r="P50" i="5"/>
  <c r="P109" i="5"/>
  <c r="P90" i="5"/>
  <c r="AK48" i="5"/>
  <c r="AJ48" i="5"/>
  <c r="AI48" i="5"/>
  <c r="AH48" i="5"/>
  <c r="AG48" i="5"/>
  <c r="AF48" i="5"/>
  <c r="AE48" i="5"/>
  <c r="AD48" i="5"/>
  <c r="AC48" i="5"/>
  <c r="AB48" i="5"/>
  <c r="Z48" i="5"/>
  <c r="Y48" i="5"/>
  <c r="AK45" i="5"/>
  <c r="AJ45" i="5"/>
  <c r="AI45" i="5"/>
  <c r="AH45" i="5"/>
  <c r="AG45" i="5"/>
  <c r="AF45" i="5"/>
  <c r="AE45" i="5"/>
  <c r="AD45" i="5"/>
  <c r="AC45" i="5"/>
  <c r="AB45" i="5"/>
  <c r="Z45" i="5"/>
  <c r="Y45" i="5"/>
  <c r="AK47" i="5"/>
  <c r="AJ47" i="5"/>
  <c r="AI47" i="5"/>
  <c r="AH47" i="5"/>
  <c r="AG47" i="5"/>
  <c r="AF47" i="5"/>
  <c r="AE47" i="5"/>
  <c r="AD47" i="5"/>
  <c r="AC47" i="5"/>
  <c r="AB47" i="5"/>
  <c r="Z47" i="5"/>
  <c r="Y47" i="5"/>
  <c r="AK46" i="5"/>
  <c r="AJ46" i="5"/>
  <c r="AI46" i="5"/>
  <c r="AH46" i="5"/>
  <c r="AG46" i="5"/>
  <c r="AF46" i="5"/>
  <c r="AE46" i="5"/>
  <c r="AD46" i="5"/>
  <c r="AC46" i="5"/>
  <c r="AB46" i="5"/>
  <c r="Z46" i="5"/>
  <c r="Y46" i="5"/>
  <c r="AK44" i="5"/>
  <c r="AJ44" i="5"/>
  <c r="AI44" i="5"/>
  <c r="AH44" i="5"/>
  <c r="AG44" i="5"/>
  <c r="AF44" i="5"/>
  <c r="AE44" i="5"/>
  <c r="AD44" i="5"/>
  <c r="AC44" i="5"/>
  <c r="AB44" i="5"/>
  <c r="Z44" i="5"/>
  <c r="Y44" i="5"/>
  <c r="AK40" i="5"/>
  <c r="AJ40" i="5"/>
  <c r="AI40" i="5"/>
  <c r="AH40" i="5"/>
  <c r="AG40" i="5"/>
  <c r="AF40" i="5"/>
  <c r="AE40" i="5"/>
  <c r="AD40" i="5"/>
  <c r="AC40" i="5"/>
  <c r="AB40" i="5"/>
  <c r="Z40" i="5"/>
  <c r="Y40" i="5"/>
  <c r="AK43" i="5"/>
  <c r="AJ43" i="5"/>
  <c r="AI43" i="5"/>
  <c r="AH43" i="5"/>
  <c r="AG43" i="5"/>
  <c r="AF43" i="5"/>
  <c r="AE43" i="5"/>
  <c r="AD43" i="5"/>
  <c r="AC43" i="5"/>
  <c r="AB43" i="5"/>
  <c r="Z43" i="5"/>
  <c r="Y43" i="5"/>
  <c r="AK42" i="5"/>
  <c r="AJ42" i="5"/>
  <c r="AI42" i="5"/>
  <c r="AH42" i="5"/>
  <c r="AG42" i="5"/>
  <c r="AF42" i="5"/>
  <c r="AE42" i="5"/>
  <c r="AD42" i="5"/>
  <c r="AC42" i="5"/>
  <c r="AB42" i="5"/>
  <c r="Z42" i="5"/>
  <c r="Y42" i="5"/>
  <c r="AK38" i="5"/>
  <c r="AJ38" i="5"/>
  <c r="AI38" i="5"/>
  <c r="AH38" i="5"/>
  <c r="AG38" i="5"/>
  <c r="AF38" i="5"/>
  <c r="AE38" i="5"/>
  <c r="AD38" i="5"/>
  <c r="AC38" i="5"/>
  <c r="AB38" i="5"/>
  <c r="Z38" i="5"/>
  <c r="Y38" i="5"/>
  <c r="AK39" i="5"/>
  <c r="AJ39" i="5"/>
  <c r="AI39" i="5"/>
  <c r="AH39" i="5"/>
  <c r="AG39" i="5"/>
  <c r="AF39" i="5"/>
  <c r="AE39" i="5"/>
  <c r="AD39" i="5"/>
  <c r="AC39" i="5"/>
  <c r="AB39" i="5"/>
  <c r="Z39" i="5"/>
  <c r="Y39" i="5"/>
  <c r="AK41" i="5"/>
  <c r="AJ41" i="5"/>
  <c r="AI41" i="5"/>
  <c r="AH41" i="5"/>
  <c r="AG41" i="5"/>
  <c r="AF41" i="5"/>
  <c r="AE41" i="5"/>
  <c r="AD41" i="5"/>
  <c r="AC41" i="5"/>
  <c r="AB41" i="5"/>
  <c r="Z41" i="5"/>
  <c r="Y41" i="5"/>
  <c r="AK37" i="5"/>
  <c r="AJ37" i="5"/>
  <c r="AI37" i="5"/>
  <c r="AH37" i="5"/>
  <c r="AG37" i="5"/>
  <c r="AF37" i="5"/>
  <c r="AE37" i="5"/>
  <c r="AD37" i="5"/>
  <c r="AC37" i="5"/>
  <c r="AB37" i="5"/>
  <c r="Z37" i="5"/>
  <c r="Y37" i="5"/>
  <c r="AK36" i="5"/>
  <c r="AJ36" i="5"/>
  <c r="AI36" i="5"/>
  <c r="AH36" i="5"/>
  <c r="AG36" i="5"/>
  <c r="AF36" i="5"/>
  <c r="AE36" i="5"/>
  <c r="AD36" i="5"/>
  <c r="AC36" i="5"/>
  <c r="AB36" i="5"/>
  <c r="Z36" i="5"/>
  <c r="Y36" i="5"/>
  <c r="AK35" i="5"/>
  <c r="AJ35" i="5"/>
  <c r="AI35" i="5"/>
  <c r="AH35" i="5"/>
  <c r="AG35" i="5"/>
  <c r="AF35" i="5"/>
  <c r="AE35" i="5"/>
  <c r="AD35" i="5"/>
  <c r="AC35" i="5"/>
  <c r="AB35" i="5"/>
  <c r="Z35" i="5"/>
  <c r="Y35" i="5"/>
  <c r="AX104" i="8" l="1"/>
  <c r="AX173" i="8"/>
  <c r="AY44" i="8"/>
  <c r="AY161" i="8"/>
  <c r="AY59" i="3"/>
  <c r="AY38" i="3"/>
  <c r="AY39" i="6"/>
  <c r="AY100" i="8"/>
  <c r="AX170" i="8"/>
  <c r="AY40" i="6"/>
  <c r="AY33" i="6"/>
  <c r="AV33" i="2"/>
  <c r="P106" i="5"/>
  <c r="AY34" i="6"/>
  <c r="AV12" i="2"/>
  <c r="P49" i="5"/>
  <c r="P46" i="5"/>
  <c r="P42" i="5"/>
  <c r="P37" i="5"/>
  <c r="P48" i="5"/>
  <c r="P44" i="5"/>
  <c r="P38" i="5"/>
  <c r="P36" i="5"/>
  <c r="P45" i="5"/>
  <c r="P40" i="5"/>
  <c r="P39" i="5"/>
  <c r="P35" i="5"/>
  <c r="P47" i="5"/>
  <c r="P43" i="5"/>
  <c r="P41" i="5"/>
  <c r="P73" i="5"/>
  <c r="AY20" i="3" s="1"/>
  <c r="AV25" i="2"/>
  <c r="AV34" i="2"/>
  <c r="AX32" i="7"/>
  <c r="P102" i="5"/>
  <c r="AV59" i="2"/>
  <c r="P104" i="5"/>
  <c r="P105" i="5"/>
  <c r="P100" i="5"/>
  <c r="P99" i="5"/>
  <c r="P92" i="5"/>
  <c r="AY21" i="3" s="1"/>
  <c r="P107" i="5"/>
  <c r="AY94" i="3" l="1"/>
  <c r="AY104" i="8"/>
  <c r="AY93" i="3"/>
  <c r="AY88" i="3"/>
  <c r="AY91" i="3"/>
  <c r="AY89" i="3"/>
  <c r="AY92" i="3"/>
  <c r="AY49" i="8"/>
  <c r="AY90" i="3"/>
  <c r="AU51" i="2"/>
  <c r="AY170" i="8"/>
  <c r="AX109" i="8"/>
  <c r="AY19" i="3"/>
  <c r="AV44" i="2"/>
  <c r="AV61" i="2"/>
  <c r="AV64" i="2"/>
  <c r="AV63" i="2"/>
  <c r="AW43" i="2"/>
  <c r="AW50" i="2"/>
  <c r="AZ21" i="6"/>
  <c r="AZ45" i="8"/>
  <c r="AZ42" i="8"/>
  <c r="AZ39" i="8"/>
  <c r="AZ37" i="8"/>
  <c r="AZ34" i="8"/>
  <c r="AZ33" i="8"/>
  <c r="AZ22" i="8"/>
  <c r="AZ20" i="8"/>
  <c r="AZ21" i="8"/>
  <c r="AZ14" i="8"/>
  <c r="AZ11" i="8"/>
  <c r="AZ10" i="8"/>
  <c r="AZ150" i="8"/>
  <c r="AZ246" i="8"/>
  <c r="AZ256" i="8"/>
  <c r="AZ198" i="8"/>
  <c r="AZ146" i="8"/>
  <c r="AV16" i="2" l="1"/>
  <c r="AZ41" i="8"/>
  <c r="AY95" i="3"/>
  <c r="AY47" i="8"/>
  <c r="AZ200" i="8"/>
  <c r="AY139" i="8"/>
  <c r="AX153" i="8"/>
  <c r="AZ37" i="6"/>
  <c r="AX107" i="8"/>
  <c r="AZ201" i="8"/>
  <c r="AZ13" i="8"/>
  <c r="AV62" i="2"/>
  <c r="AY29" i="3"/>
  <c r="AY66" i="3"/>
  <c r="AV51" i="2"/>
  <c r="AY109" i="8"/>
  <c r="AZ31" i="6"/>
  <c r="AZ132" i="8"/>
  <c r="AZ136" i="8"/>
  <c r="AW35" i="2"/>
  <c r="AZ257" i="8"/>
  <c r="AZ145" i="8"/>
  <c r="AZ76" i="8"/>
  <c r="AY30" i="7"/>
  <c r="AY23" i="7"/>
  <c r="AZ30" i="6"/>
  <c r="AZ20" i="6"/>
  <c r="Q89" i="5"/>
  <c r="Q70" i="5"/>
  <c r="Q21" i="5"/>
  <c r="AZ56" i="3"/>
  <c r="AU36" i="2" l="1"/>
  <c r="AV27" i="2"/>
  <c r="AV14" i="2"/>
  <c r="AX172" i="8"/>
  <c r="AZ135" i="8"/>
  <c r="AZ58" i="3"/>
  <c r="AZ39" i="3"/>
  <c r="AZ38" i="3"/>
  <c r="AY107" i="8"/>
  <c r="AX171" i="8"/>
  <c r="AZ133" i="8"/>
  <c r="AY80" i="3"/>
  <c r="AY75" i="3"/>
  <c r="AY73" i="3"/>
  <c r="AY74" i="3"/>
  <c r="AV10" i="2"/>
  <c r="AY76" i="3"/>
  <c r="AY79" i="3"/>
  <c r="AY78" i="3"/>
  <c r="AY77" i="3"/>
  <c r="Q50" i="5"/>
  <c r="AY153" i="8"/>
  <c r="Q110" i="5"/>
  <c r="AZ131" i="8"/>
  <c r="AW11" i="2"/>
  <c r="AZ22" i="6"/>
  <c r="AY33" i="7"/>
  <c r="AZ16" i="8"/>
  <c r="Q109" i="5"/>
  <c r="AW34" i="2"/>
  <c r="AW26" i="2"/>
  <c r="AW33" i="2"/>
  <c r="AY24" i="7"/>
  <c r="AZ60" i="6"/>
  <c r="Q90" i="5"/>
  <c r="Q71" i="5"/>
  <c r="AX163" i="8" l="1"/>
  <c r="AU52" i="2"/>
  <c r="Q104" i="5"/>
  <c r="AV164" i="8"/>
  <c r="AW164" i="8"/>
  <c r="AX164" i="8"/>
  <c r="AY164" i="8"/>
  <c r="AY173" i="8"/>
  <c r="AV163" i="8"/>
  <c r="AZ59" i="3"/>
  <c r="AV15" i="2"/>
  <c r="AY163" i="8"/>
  <c r="AZ59" i="6"/>
  <c r="AZ40" i="8"/>
  <c r="AY172" i="8"/>
  <c r="AZ39" i="6"/>
  <c r="AZ40" i="6"/>
  <c r="Q39" i="5"/>
  <c r="AY81" i="3"/>
  <c r="AW25" i="2"/>
  <c r="Q49" i="5"/>
  <c r="AV36" i="2"/>
  <c r="Q38" i="5"/>
  <c r="Q40" i="5"/>
  <c r="Q106" i="5"/>
  <c r="Q102" i="5"/>
  <c r="Q36" i="5"/>
  <c r="Q37" i="5"/>
  <c r="Q44" i="5"/>
  <c r="Q41" i="5"/>
  <c r="Q47" i="5"/>
  <c r="Q42" i="5"/>
  <c r="Q35" i="5"/>
  <c r="Q46" i="5"/>
  <c r="Q48" i="5"/>
  <c r="Q43" i="5"/>
  <c r="Q45" i="5"/>
  <c r="Q105" i="5"/>
  <c r="AW63" i="2"/>
  <c r="AZ33" i="6"/>
  <c r="AW12" i="2"/>
  <c r="AZ34" i="6"/>
  <c r="AW24" i="2"/>
  <c r="AZ57" i="6"/>
  <c r="AZ53" i="6"/>
  <c r="AZ49" i="6"/>
  <c r="AZ56" i="6"/>
  <c r="AZ55" i="6"/>
  <c r="AZ54" i="6"/>
  <c r="AZ58" i="6"/>
  <c r="AZ51" i="6"/>
  <c r="AZ48" i="6"/>
  <c r="AZ50" i="6"/>
  <c r="AZ52" i="6"/>
  <c r="AZ47" i="6"/>
  <c r="AY32" i="7"/>
  <c r="AW59" i="2"/>
  <c r="Q92" i="5"/>
  <c r="AZ21" i="3" s="1"/>
  <c r="Q99" i="5"/>
  <c r="Q107" i="5"/>
  <c r="Q73" i="5"/>
  <c r="AZ20" i="3" s="1"/>
  <c r="Q100" i="5"/>
  <c r="AZ94" i="3" l="1"/>
  <c r="AU45" i="2"/>
  <c r="AZ91" i="3"/>
  <c r="AS45" i="2"/>
  <c r="AZ90" i="3"/>
  <c r="AZ88" i="3"/>
  <c r="AZ89" i="3"/>
  <c r="AZ93" i="3"/>
  <c r="AZ92" i="3"/>
  <c r="AZ44" i="8"/>
  <c r="AZ161" i="8"/>
  <c r="AV45" i="2"/>
  <c r="AZ19" i="3"/>
  <c r="AV52" i="2"/>
  <c r="AW61" i="2"/>
  <c r="AW64" i="2"/>
  <c r="AW16" i="2" l="1"/>
  <c r="AZ95" i="3"/>
  <c r="AW62" i="2"/>
  <c r="AZ29" i="3"/>
  <c r="AZ66" i="3"/>
  <c r="AW44" i="2"/>
  <c r="AZ49" i="8"/>
  <c r="S70" i="5"/>
  <c r="R70" i="5"/>
  <c r="AX50" i="2"/>
  <c r="AX43" i="2"/>
  <c r="BA21" i="6"/>
  <c r="AW14" i="2" l="1"/>
  <c r="BA37" i="6"/>
  <c r="AZ77" i="3"/>
  <c r="AV162" i="8"/>
  <c r="AX162" i="8"/>
  <c r="AY162" i="8"/>
  <c r="AY171" i="8"/>
  <c r="AZ47" i="8"/>
  <c r="AZ80" i="3"/>
  <c r="AZ74" i="3"/>
  <c r="AZ76" i="3"/>
  <c r="AZ73" i="3"/>
  <c r="AZ75" i="3"/>
  <c r="AW10" i="2"/>
  <c r="AZ78" i="3"/>
  <c r="AZ79" i="3"/>
  <c r="AZ139" i="8"/>
  <c r="BA246" i="8"/>
  <c r="AW15" i="2" l="1"/>
  <c r="AZ81" i="3"/>
  <c r="AW27" i="2"/>
  <c r="BA56" i="3" l="1"/>
  <c r="R89" i="5"/>
  <c r="R71" i="5"/>
  <c r="R21" i="5"/>
  <c r="BA30" i="6"/>
  <c r="BA31" i="6"/>
  <c r="BA20" i="6"/>
  <c r="AZ30" i="7"/>
  <c r="AZ23" i="7"/>
  <c r="BA256" i="8"/>
  <c r="BA198" i="8"/>
  <c r="BA146" i="8"/>
  <c r="BA150" i="8"/>
  <c r="BA45" i="8"/>
  <c r="BA42" i="8"/>
  <c r="BA39" i="8"/>
  <c r="BA37" i="8"/>
  <c r="BA22" i="8"/>
  <c r="BA21" i="8"/>
  <c r="BA20" i="8"/>
  <c r="BA14" i="8"/>
  <c r="BA11" i="8"/>
  <c r="BA10" i="8"/>
  <c r="BA41" i="8" l="1"/>
  <c r="BA200" i="8"/>
  <c r="BA38" i="3"/>
  <c r="BA39" i="3"/>
  <c r="BA13" i="8"/>
  <c r="BA201" i="8"/>
  <c r="BA58" i="3"/>
  <c r="AX35" i="2"/>
  <c r="BA136" i="8"/>
  <c r="BA76" i="8"/>
  <c r="AZ24" i="7"/>
  <c r="BA145" i="8"/>
  <c r="BA132" i="8"/>
  <c r="R106" i="5"/>
  <c r="R73" i="5"/>
  <c r="BA20" i="3" s="1"/>
  <c r="AX11" i="2"/>
  <c r="R50" i="5"/>
  <c r="R109" i="5"/>
  <c r="R110" i="5"/>
  <c r="BA257" i="8"/>
  <c r="R90" i="5"/>
  <c r="BA22" i="6"/>
  <c r="AZ33" i="7"/>
  <c r="AZ173" i="8" l="1"/>
  <c r="BA135" i="8"/>
  <c r="BA59" i="3"/>
  <c r="BA133" i="8"/>
  <c r="BA39" i="6"/>
  <c r="BA40" i="6"/>
  <c r="R100" i="5"/>
  <c r="AX12" i="2"/>
  <c r="R35" i="5"/>
  <c r="R48" i="5"/>
  <c r="R45" i="5"/>
  <c r="R47" i="5"/>
  <c r="R46" i="5"/>
  <c r="R44" i="5"/>
  <c r="R40" i="5"/>
  <c r="R43" i="5"/>
  <c r="R42" i="5"/>
  <c r="R38" i="5"/>
  <c r="R39" i="5"/>
  <c r="R41" i="5"/>
  <c r="R37" i="5"/>
  <c r="R36" i="5"/>
  <c r="AZ32" i="7"/>
  <c r="AX26" i="2"/>
  <c r="AX34" i="2"/>
  <c r="BA16" i="8"/>
  <c r="BA131" i="8"/>
  <c r="AX33" i="2"/>
  <c r="R105" i="5"/>
  <c r="R104" i="5"/>
  <c r="AX63" i="2" s="1"/>
  <c r="R102" i="5"/>
  <c r="AX59" i="2"/>
  <c r="R107" i="5"/>
  <c r="R49" i="5"/>
  <c r="BA33" i="6"/>
  <c r="R99" i="5"/>
  <c r="R92" i="5"/>
  <c r="BA21" i="3" s="1"/>
  <c r="BA34" i="6"/>
  <c r="BA94" i="3" l="1"/>
  <c r="BA88" i="3"/>
  <c r="BA93" i="3"/>
  <c r="BA90" i="3"/>
  <c r="BA89" i="3"/>
  <c r="BA92" i="3"/>
  <c r="BA91" i="3"/>
  <c r="BA40" i="8"/>
  <c r="AZ100" i="8"/>
  <c r="AZ147" i="8"/>
  <c r="BA19" i="3"/>
  <c r="AX64" i="2"/>
  <c r="AX61" i="2"/>
  <c r="AX24" i="2"/>
  <c r="AX25" i="2"/>
  <c r="BB45" i="8"/>
  <c r="BB42" i="8"/>
  <c r="BB39" i="8"/>
  <c r="BB20" i="8"/>
  <c r="BB21" i="8"/>
  <c r="BB22" i="8"/>
  <c r="BB14" i="8"/>
  <c r="BB11" i="8"/>
  <c r="BB10" i="8"/>
  <c r="AX16" i="2" l="1"/>
  <c r="BB41" i="8"/>
  <c r="AZ104" i="8"/>
  <c r="BA95" i="3"/>
  <c r="BA44" i="8"/>
  <c r="BA161" i="8"/>
  <c r="AX62" i="2"/>
  <c r="AZ170" i="8"/>
  <c r="BB13" i="8"/>
  <c r="BA29" i="3"/>
  <c r="BA66" i="3"/>
  <c r="AX14" i="2" l="1"/>
  <c r="BB135" i="8"/>
  <c r="BA77" i="3"/>
  <c r="AZ109" i="8"/>
  <c r="AW51" i="2"/>
  <c r="BB133" i="8"/>
  <c r="BA80" i="3"/>
  <c r="AX10" i="2"/>
  <c r="BA74" i="3"/>
  <c r="BA76" i="3"/>
  <c r="BA75" i="3"/>
  <c r="BA73" i="3"/>
  <c r="BA79" i="3"/>
  <c r="BA78" i="3"/>
  <c r="AX44" i="2"/>
  <c r="BA49" i="8"/>
  <c r="AY50" i="2"/>
  <c r="AY43" i="2"/>
  <c r="BB136" i="8"/>
  <c r="BB150" i="8"/>
  <c r="BB198" i="8"/>
  <c r="BB246" i="8"/>
  <c r="BB256" i="8"/>
  <c r="BA23" i="7"/>
  <c r="BA30" i="7"/>
  <c r="BB20" i="6"/>
  <c r="BB21" i="6"/>
  <c r="BB30" i="6"/>
  <c r="S21" i="5"/>
  <c r="S89" i="5"/>
  <c r="BB56" i="3"/>
  <c r="AZ153" i="8" l="1"/>
  <c r="BB200" i="8"/>
  <c r="AX15" i="2"/>
  <c r="BB58" i="3"/>
  <c r="BB39" i="3"/>
  <c r="BB37" i="6"/>
  <c r="AZ107" i="8"/>
  <c r="BA100" i="8"/>
  <c r="BA147" i="8"/>
  <c r="BB201" i="8"/>
  <c r="BA47" i="8"/>
  <c r="BA81" i="3"/>
  <c r="BA139" i="8"/>
  <c r="BB60" i="6"/>
  <c r="S50" i="5"/>
  <c r="BB31" i="6"/>
  <c r="BB22" i="6"/>
  <c r="BB257" i="8"/>
  <c r="BA33" i="7"/>
  <c r="S90" i="5"/>
  <c r="AY11" i="2"/>
  <c r="BB132" i="8"/>
  <c r="BA24" i="7"/>
  <c r="S109" i="5"/>
  <c r="S71" i="5"/>
  <c r="S110" i="5"/>
  <c r="AZ171" i="8" l="1"/>
  <c r="BA104" i="8"/>
  <c r="AY59" i="2"/>
  <c r="BA173" i="8"/>
  <c r="AW36" i="2"/>
  <c r="AZ172" i="8"/>
  <c r="BB59" i="3"/>
  <c r="BB38" i="3"/>
  <c r="BB59" i="6"/>
  <c r="BA170" i="8"/>
  <c r="AY12" i="2"/>
  <c r="BB39" i="6"/>
  <c r="BB40" i="6"/>
  <c r="S104" i="5"/>
  <c r="AY63" i="2" s="1"/>
  <c r="S48" i="5"/>
  <c r="S45" i="5"/>
  <c r="S47" i="5"/>
  <c r="S46" i="5"/>
  <c r="S44" i="5"/>
  <c r="S40" i="5"/>
  <c r="S43" i="5"/>
  <c r="S42" i="5"/>
  <c r="S38" i="5"/>
  <c r="S39" i="5"/>
  <c r="S41" i="5"/>
  <c r="S37" i="5"/>
  <c r="S36" i="5"/>
  <c r="S35" i="5"/>
  <c r="BB34" i="6"/>
  <c r="AX27" i="2"/>
  <c r="S105" i="5"/>
  <c r="S106" i="5"/>
  <c r="BA32" i="7"/>
  <c r="BB56" i="6"/>
  <c r="BB51" i="6"/>
  <c r="BB52" i="6"/>
  <c r="BB55" i="6"/>
  <c r="BB50" i="6"/>
  <c r="BB47" i="6"/>
  <c r="BB58" i="6"/>
  <c r="BB53" i="6"/>
  <c r="BB49" i="6"/>
  <c r="BB57" i="6"/>
  <c r="BB54" i="6"/>
  <c r="BB48" i="6"/>
  <c r="S49" i="5"/>
  <c r="S102" i="5"/>
  <c r="BB33" i="6"/>
  <c r="AY26" i="2"/>
  <c r="S107" i="5"/>
  <c r="S92" i="5"/>
  <c r="BB21" i="3" s="1"/>
  <c r="S99" i="5"/>
  <c r="S73" i="5"/>
  <c r="BB20" i="3" s="1"/>
  <c r="S100" i="5"/>
  <c r="BB94" i="3" l="1"/>
  <c r="BB93" i="3"/>
  <c r="BB88" i="3"/>
  <c r="BB92" i="3"/>
  <c r="BB91" i="3"/>
  <c r="BB89" i="3"/>
  <c r="AW52" i="2"/>
  <c r="BB90" i="3"/>
  <c r="AX51" i="2"/>
  <c r="BA109" i="8"/>
  <c r="BB19" i="3"/>
  <c r="AY64" i="2"/>
  <c r="AY61" i="2"/>
  <c r="BC45" i="8"/>
  <c r="BC42" i="8"/>
  <c r="BC39" i="8"/>
  <c r="BC37" i="8"/>
  <c r="BC22" i="8"/>
  <c r="BC21" i="8"/>
  <c r="BC20" i="8"/>
  <c r="BC14" i="8"/>
  <c r="BC11" i="8"/>
  <c r="BC10" i="8"/>
  <c r="BB95" i="3" l="1"/>
  <c r="BC41" i="8"/>
  <c r="AY16" i="2"/>
  <c r="BA153" i="8"/>
  <c r="BA107" i="8"/>
  <c r="AY62" i="2"/>
  <c r="BC13" i="8"/>
  <c r="BB29" i="3"/>
  <c r="BB66" i="3"/>
  <c r="BB146" i="8"/>
  <c r="AY14" i="2" l="1"/>
  <c r="AX36" i="2"/>
  <c r="BA172" i="8"/>
  <c r="BC135" i="8"/>
  <c r="BB77" i="3"/>
  <c r="BA171" i="8"/>
  <c r="BC147" i="8"/>
  <c r="BB147" i="8"/>
  <c r="BC133" i="8"/>
  <c r="BB80" i="3"/>
  <c r="BB73" i="3"/>
  <c r="AY10" i="2"/>
  <c r="BB75" i="3"/>
  <c r="BB76" i="3"/>
  <c r="BB74" i="3"/>
  <c r="BB79" i="3"/>
  <c r="BB78" i="3"/>
  <c r="AY35" i="2"/>
  <c r="BC16" i="8"/>
  <c r="T70" i="5"/>
  <c r="AX52" i="2" l="1"/>
  <c r="AY15" i="2"/>
  <c r="BC40" i="8"/>
  <c r="BB81" i="3"/>
  <c r="BB30" i="7"/>
  <c r="BC30" i="6"/>
  <c r="BC20" i="6"/>
  <c r="BC44" i="8" l="1"/>
  <c r="BC39" i="3"/>
  <c r="AZ43" i="2"/>
  <c r="AZ50" i="2"/>
  <c r="BC146" i="8"/>
  <c r="BC150" i="8"/>
  <c r="BC198" i="8"/>
  <c r="BC246" i="8"/>
  <c r="BC256" i="8"/>
  <c r="BB23" i="7"/>
  <c r="BC21" i="6"/>
  <c r="T21" i="5"/>
  <c r="T71" i="5"/>
  <c r="T89" i="5"/>
  <c r="BC56" i="3"/>
  <c r="BC200" i="8" l="1"/>
  <c r="BC58" i="3"/>
  <c r="BC37" i="6"/>
  <c r="BC49" i="8"/>
  <c r="BC201" i="8"/>
  <c r="AZ11" i="2"/>
  <c r="T90" i="5"/>
  <c r="BC31" i="6"/>
  <c r="BC145" i="8"/>
  <c r="BB24" i="7"/>
  <c r="BB33" i="7"/>
  <c r="T50" i="5"/>
  <c r="BC257" i="8"/>
  <c r="BC136" i="8"/>
  <c r="BC132" i="8"/>
  <c r="AZ35" i="2"/>
  <c r="BC76" i="8"/>
  <c r="BC22" i="6"/>
  <c r="T73" i="5"/>
  <c r="BC20" i="3" s="1"/>
  <c r="T106" i="5"/>
  <c r="T110" i="5"/>
  <c r="T109" i="5"/>
  <c r="BC59" i="3" l="1"/>
  <c r="BB173" i="8"/>
  <c r="BC38" i="3"/>
  <c r="BC39" i="6"/>
  <c r="BC47" i="8"/>
  <c r="BC161" i="8"/>
  <c r="BC100" i="8"/>
  <c r="BC40" i="6"/>
  <c r="T107" i="5"/>
  <c r="AZ33" i="2"/>
  <c r="AZ26" i="2"/>
  <c r="T104" i="5"/>
  <c r="T45" i="5"/>
  <c r="T47" i="5"/>
  <c r="T44" i="5"/>
  <c r="T43" i="5"/>
  <c r="T42" i="5"/>
  <c r="T38" i="5"/>
  <c r="T37" i="5"/>
  <c r="T35" i="5"/>
  <c r="T48" i="5"/>
  <c r="T46" i="5"/>
  <c r="T40" i="5"/>
  <c r="T39" i="5"/>
  <c r="T41" i="5"/>
  <c r="T36" i="5"/>
  <c r="T92" i="5"/>
  <c r="BC21" i="3" s="1"/>
  <c r="T100" i="5"/>
  <c r="T105" i="5"/>
  <c r="T99" i="5"/>
  <c r="T49" i="5"/>
  <c r="BB32" i="7"/>
  <c r="BC33" i="6"/>
  <c r="T102" i="5"/>
  <c r="AZ59" i="2"/>
  <c r="BC131" i="8"/>
  <c r="AZ24" i="2"/>
  <c r="BC34" i="6"/>
  <c r="AZ34" i="2"/>
  <c r="AZ12" i="2"/>
  <c r="BC94" i="3" l="1"/>
  <c r="BC92" i="3"/>
  <c r="BC91" i="3"/>
  <c r="BC89" i="3"/>
  <c r="BC93" i="3"/>
  <c r="BC88" i="3"/>
  <c r="BC104" i="8"/>
  <c r="BC19" i="3"/>
  <c r="BC90" i="3"/>
  <c r="BC170" i="8"/>
  <c r="AZ63" i="2"/>
  <c r="AZ64" i="2"/>
  <c r="AZ25" i="2"/>
  <c r="AZ61" i="2"/>
  <c r="BD30" i="6"/>
  <c r="BC95" i="3" l="1"/>
  <c r="AZ16" i="2"/>
  <c r="BC29" i="3"/>
  <c r="BC66" i="3"/>
  <c r="BD39" i="3"/>
  <c r="AZ62" i="2"/>
  <c r="AZ44" i="2"/>
  <c r="BC109" i="8"/>
  <c r="AZ51" i="2"/>
  <c r="BA50" i="2"/>
  <c r="BA43" i="2"/>
  <c r="BC77" i="3" l="1"/>
  <c r="BC76" i="3"/>
  <c r="BC79" i="3"/>
  <c r="BC75" i="3"/>
  <c r="BC78" i="3"/>
  <c r="BC74" i="3"/>
  <c r="BC80" i="3"/>
  <c r="AZ10" i="2"/>
  <c r="BC73" i="3"/>
  <c r="AZ14" i="2"/>
  <c r="BC107" i="8"/>
  <c r="BC153" i="8"/>
  <c r="BC139" i="8"/>
  <c r="BD45" i="8"/>
  <c r="BD42" i="8"/>
  <c r="BD39" i="8"/>
  <c r="BD20" i="8"/>
  <c r="BD21" i="8"/>
  <c r="BD22" i="8"/>
  <c r="BD14" i="8"/>
  <c r="BD11" i="8"/>
  <c r="BD10" i="8"/>
  <c r="AZ15" i="2" l="1"/>
  <c r="BD41" i="8"/>
  <c r="BC81" i="3"/>
  <c r="BD13" i="8"/>
  <c r="BD133" i="8"/>
  <c r="BD136" i="8"/>
  <c r="AZ36" i="2"/>
  <c r="AZ27" i="2"/>
  <c r="BD132" i="8"/>
  <c r="BD76" i="8"/>
  <c r="BD146" i="8"/>
  <c r="BD150" i="8"/>
  <c r="BD198" i="8"/>
  <c r="BD246" i="8"/>
  <c r="BD256" i="8"/>
  <c r="BC23" i="7"/>
  <c r="BC30" i="7"/>
  <c r="BD20" i="6"/>
  <c r="BD21" i="6"/>
  <c r="U70" i="5"/>
  <c r="U89" i="5"/>
  <c r="U21" i="5"/>
  <c r="BD56" i="3"/>
  <c r="BD135" i="8" l="1"/>
  <c r="BD200" i="8"/>
  <c r="BD37" i="6"/>
  <c r="BD201" i="8"/>
  <c r="BD58" i="3"/>
  <c r="BA26" i="2"/>
  <c r="BC33" i="7"/>
  <c r="U71" i="5"/>
  <c r="U50" i="5"/>
  <c r="BD22" i="6"/>
  <c r="BD60" i="6"/>
  <c r="BA11" i="2"/>
  <c r="BD31" i="6"/>
  <c r="BA35" i="2"/>
  <c r="BD16" i="8"/>
  <c r="BD131" i="8"/>
  <c r="BA33" i="2"/>
  <c r="BD257" i="8"/>
  <c r="BD145" i="8"/>
  <c r="BC24" i="7"/>
  <c r="U109" i="5"/>
  <c r="U110" i="5"/>
  <c r="U90" i="5"/>
  <c r="BD164" i="8" l="1"/>
  <c r="AZ164" i="8"/>
  <c r="BA164" i="8"/>
  <c r="BB164" i="8"/>
  <c r="BC164" i="8"/>
  <c r="BC173" i="8"/>
  <c r="BD39" i="6"/>
  <c r="BD38" i="3"/>
  <c r="BD59" i="6"/>
  <c r="BA24" i="2"/>
  <c r="BD40" i="8"/>
  <c r="BD59" i="3"/>
  <c r="AZ163" i="8"/>
  <c r="BA163" i="8"/>
  <c r="BC163" i="8"/>
  <c r="BC172" i="8"/>
  <c r="BD40" i="6"/>
  <c r="BA59" i="2"/>
  <c r="BA25" i="2"/>
  <c r="U45" i="5"/>
  <c r="U47" i="5"/>
  <c r="U46" i="5"/>
  <c r="U44" i="5"/>
  <c r="U40" i="5"/>
  <c r="U38" i="5"/>
  <c r="U39" i="5"/>
  <c r="U41" i="5"/>
  <c r="U36" i="5"/>
  <c r="U48" i="5"/>
  <c r="U43" i="5"/>
  <c r="U42" i="5"/>
  <c r="U37" i="5"/>
  <c r="U35" i="5"/>
  <c r="U106" i="5"/>
  <c r="BD34" i="6"/>
  <c r="BA12" i="2"/>
  <c r="BC32" i="7"/>
  <c r="U49" i="5"/>
  <c r="U73" i="5"/>
  <c r="BD20" i="3" s="1"/>
  <c r="BD33" i="6"/>
  <c r="BA34" i="2"/>
  <c r="BD58" i="6"/>
  <c r="BD51" i="6"/>
  <c r="BD48" i="6"/>
  <c r="BD56" i="6"/>
  <c r="BD54" i="6"/>
  <c r="BD52" i="6"/>
  <c r="BD57" i="6"/>
  <c r="BD53" i="6"/>
  <c r="BD50" i="6"/>
  <c r="BD47" i="6"/>
  <c r="BD55" i="6"/>
  <c r="BD49" i="6"/>
  <c r="U102" i="5"/>
  <c r="U104" i="5"/>
  <c r="U100" i="5"/>
  <c r="U105" i="5"/>
  <c r="U92" i="5"/>
  <c r="BD21" i="3" s="1"/>
  <c r="U107" i="5"/>
  <c r="U99" i="5"/>
  <c r="BD93" i="3" l="1"/>
  <c r="BD89" i="3"/>
  <c r="BD92" i="3"/>
  <c r="BD91" i="3"/>
  <c r="BD161" i="8"/>
  <c r="BD88" i="3"/>
  <c r="BD44" i="8"/>
  <c r="AW45" i="2"/>
  <c r="AZ52" i="2"/>
  <c r="BD94" i="3"/>
  <c r="BD90" i="3"/>
  <c r="AZ45" i="2"/>
  <c r="AX45" i="2"/>
  <c r="BD19" i="3"/>
  <c r="BA63" i="2"/>
  <c r="BA64" i="2"/>
  <c r="BA61" i="2"/>
  <c r="BA16" i="2" l="1"/>
  <c r="BD95" i="3"/>
  <c r="BD49" i="8"/>
  <c r="BA62" i="2"/>
  <c r="BD29" i="3"/>
  <c r="BD66" i="3"/>
  <c r="BA44" i="2"/>
  <c r="BD139" i="8" l="1"/>
  <c r="BA14" i="2"/>
  <c r="BD47" i="8"/>
  <c r="BD77" i="3"/>
  <c r="AZ162" i="8"/>
  <c r="BA162" i="8"/>
  <c r="BC162" i="8"/>
  <c r="BC171" i="8"/>
  <c r="BD80" i="3"/>
  <c r="BD73" i="3"/>
  <c r="BD74" i="3"/>
  <c r="BA10" i="2"/>
  <c r="BD76" i="3"/>
  <c r="BD75" i="3"/>
  <c r="BD78" i="3"/>
  <c r="BD79" i="3"/>
  <c r="BA27" i="2" l="1"/>
  <c r="BA15" i="2"/>
  <c r="BD81" i="3"/>
  <c r="BE45" i="8"/>
  <c r="BE42" i="8"/>
  <c r="BE20" i="8"/>
  <c r="BE21" i="8"/>
  <c r="BE22" i="8"/>
  <c r="BE30" i="8"/>
  <c r="BE39" i="8"/>
  <c r="BE14" i="8"/>
  <c r="BE11" i="8"/>
  <c r="BE10" i="8"/>
  <c r="BE41" i="8" l="1"/>
  <c r="BE13" i="8"/>
  <c r="BE136" i="8"/>
  <c r="BE30" i="6"/>
  <c r="V70" i="5"/>
  <c r="BB50" i="2"/>
  <c r="BB43" i="2"/>
  <c r="BE246" i="8"/>
  <c r="BE256" i="8"/>
  <c r="BE198" i="8"/>
  <c r="BE146" i="8"/>
  <c r="BE150" i="8"/>
  <c r="BE132" i="8"/>
  <c r="BD23" i="7"/>
  <c r="BD30" i="7"/>
  <c r="BE20" i="6"/>
  <c r="BE21" i="6"/>
  <c r="V89" i="5"/>
  <c r="V21" i="5"/>
  <c r="BE56" i="3"/>
  <c r="BE135" i="8" l="1"/>
  <c r="BE200" i="8"/>
  <c r="BE58" i="3"/>
  <c r="BE37" i="6"/>
  <c r="BE39" i="3"/>
  <c r="BE133" i="8"/>
  <c r="BE201" i="8"/>
  <c r="V50" i="5"/>
  <c r="BE31" i="6"/>
  <c r="BE76" i="8"/>
  <c r="BB26" i="2"/>
  <c r="BB35" i="2"/>
  <c r="BE22" i="6"/>
  <c r="BD24" i="7"/>
  <c r="V71" i="5"/>
  <c r="BB11" i="2"/>
  <c r="BD33" i="7"/>
  <c r="BE257" i="8"/>
  <c r="BE145" i="8"/>
  <c r="BE131" i="8"/>
  <c r="V90" i="5"/>
  <c r="V109" i="5"/>
  <c r="V110" i="5"/>
  <c r="BE16" i="8"/>
  <c r="BC43" i="2"/>
  <c r="BE59" i="3" l="1"/>
  <c r="BE164" i="8"/>
  <c r="BD173" i="8"/>
  <c r="BE38" i="3"/>
  <c r="BE40" i="8"/>
  <c r="BD100" i="8"/>
  <c r="BD147" i="8"/>
  <c r="BB12" i="2"/>
  <c r="BE39" i="6"/>
  <c r="BE40" i="6"/>
  <c r="V48" i="5"/>
  <c r="V45" i="5"/>
  <c r="V47" i="5"/>
  <c r="V46" i="5"/>
  <c r="V44" i="5"/>
  <c r="V40" i="5"/>
  <c r="V43" i="5"/>
  <c r="V42" i="5"/>
  <c r="V38" i="5"/>
  <c r="V39" i="5"/>
  <c r="V41" i="5"/>
  <c r="V37" i="5"/>
  <c r="V36" i="5"/>
  <c r="V35" i="5"/>
  <c r="V49" i="5"/>
  <c r="BB24" i="2"/>
  <c r="BE34" i="6"/>
  <c r="BE33" i="6"/>
  <c r="BB33" i="2"/>
  <c r="BB34" i="2"/>
  <c r="BB25" i="2"/>
  <c r="BD32" i="7"/>
  <c r="BE88" i="3"/>
  <c r="V92" i="5"/>
  <c r="BE21" i="3" s="1"/>
  <c r="V73" i="5"/>
  <c r="BE20" i="3" s="1"/>
  <c r="V106" i="5"/>
  <c r="V107" i="5"/>
  <c r="BB59" i="2"/>
  <c r="V102" i="5"/>
  <c r="V104" i="5"/>
  <c r="V99" i="5"/>
  <c r="V105" i="5"/>
  <c r="V100" i="5"/>
  <c r="BE92" i="3"/>
  <c r="BE89" i="3"/>
  <c r="BE93" i="3"/>
  <c r="BQ198" i="8"/>
  <c r="BR198" i="8"/>
  <c r="BS198" i="8"/>
  <c r="BK198" i="8"/>
  <c r="BL198" i="8"/>
  <c r="BM198" i="8"/>
  <c r="BN198" i="8"/>
  <c r="BO198" i="8"/>
  <c r="BP198" i="8"/>
  <c r="BG198" i="8"/>
  <c r="BH198" i="8"/>
  <c r="BI198" i="8"/>
  <c r="BJ198" i="8"/>
  <c r="BF198" i="8"/>
  <c r="BE94" i="3" l="1"/>
  <c r="BE91" i="3"/>
  <c r="BD104" i="8"/>
  <c r="BE90" i="3"/>
  <c r="BE44" i="8"/>
  <c r="BO200" i="8"/>
  <c r="BF200" i="8"/>
  <c r="BM200" i="8"/>
  <c r="BR200" i="8"/>
  <c r="BJ200" i="8"/>
  <c r="BP200" i="8"/>
  <c r="BL200" i="8"/>
  <c r="BQ200" i="8"/>
  <c r="BE161" i="8"/>
  <c r="BI200" i="8"/>
  <c r="BK200" i="8"/>
  <c r="BH200" i="8"/>
  <c r="BN200" i="8"/>
  <c r="BS200" i="8"/>
  <c r="BB16" i="2"/>
  <c r="BD170" i="8"/>
  <c r="BE19" i="3"/>
  <c r="BB61" i="2"/>
  <c r="BB64" i="2"/>
  <c r="BB63" i="2"/>
  <c r="BE95" i="3"/>
  <c r="BD109" i="8" l="1"/>
  <c r="BA51" i="2"/>
  <c r="BB62" i="2"/>
  <c r="BE29" i="3"/>
  <c r="BE66" i="3"/>
  <c r="BB44" i="2"/>
  <c r="BE49" i="8"/>
  <c r="BB14" i="2" l="1"/>
  <c r="BD153" i="8"/>
  <c r="BE77" i="3"/>
  <c r="BD107" i="8"/>
  <c r="BE47" i="8"/>
  <c r="BE80" i="3"/>
  <c r="BB10" i="2"/>
  <c r="BE76" i="3"/>
  <c r="BE75" i="3"/>
  <c r="BE73" i="3"/>
  <c r="BE74" i="3"/>
  <c r="BE78" i="3"/>
  <c r="BE79" i="3"/>
  <c r="BE139" i="8"/>
  <c r="BD171" i="8" l="1"/>
  <c r="BD172" i="8"/>
  <c r="BA36" i="2"/>
  <c r="BB15" i="2"/>
  <c r="BE81" i="3"/>
  <c r="BB27" i="2"/>
  <c r="BF45" i="8"/>
  <c r="BF42" i="8"/>
  <c r="BF20" i="8"/>
  <c r="BF21" i="8"/>
  <c r="BF22" i="8"/>
  <c r="BF30" i="8"/>
  <c r="BF39" i="8"/>
  <c r="BF14" i="8"/>
  <c r="BF11" i="8"/>
  <c r="BF10" i="8"/>
  <c r="BG39" i="8"/>
  <c r="BG42" i="8"/>
  <c r="BG45" i="8"/>
  <c r="BF41" i="8" l="1"/>
  <c r="BG41" i="8"/>
  <c r="BA52" i="2"/>
  <c r="BF13" i="8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F21" i="6"/>
  <c r="BF256" i="8"/>
  <c r="BF246" i="8"/>
  <c r="BF146" i="8"/>
  <c r="BF150" i="8"/>
  <c r="BF132" i="8"/>
  <c r="BF136" i="8"/>
  <c r="BE30" i="7"/>
  <c r="BE23" i="7"/>
  <c r="BF30" i="6"/>
  <c r="BF20" i="6"/>
  <c r="W89" i="5"/>
  <c r="W70" i="5"/>
  <c r="W21" i="5"/>
  <c r="BF56" i="3"/>
  <c r="BC50" i="2"/>
  <c r="BG256" i="8"/>
  <c r="BH246" i="8"/>
  <c r="BI246" i="8"/>
  <c r="BJ246" i="8"/>
  <c r="BK246" i="8"/>
  <c r="BL246" i="8"/>
  <c r="BM246" i="8"/>
  <c r="BN246" i="8"/>
  <c r="BO246" i="8"/>
  <c r="BP246" i="8"/>
  <c r="BQ246" i="8"/>
  <c r="BR246" i="8"/>
  <c r="BS246" i="8"/>
  <c r="BG246" i="8"/>
  <c r="BS256" i="8"/>
  <c r="BR256" i="8"/>
  <c r="BQ256" i="8"/>
  <c r="BP256" i="8"/>
  <c r="BO256" i="8"/>
  <c r="BN256" i="8"/>
  <c r="BM256" i="8"/>
  <c r="BL256" i="8"/>
  <c r="BK256" i="8"/>
  <c r="BJ256" i="8"/>
  <c r="BI256" i="8"/>
  <c r="BH256" i="8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G30" i="6"/>
  <c r="BF135" i="8" l="1"/>
  <c r="BF58" i="3"/>
  <c r="BJ39" i="3"/>
  <c r="BR39" i="3"/>
  <c r="BN39" i="3"/>
  <c r="BQ39" i="3"/>
  <c r="BM39" i="3"/>
  <c r="BT39" i="3"/>
  <c r="BL39" i="3"/>
  <c r="BF60" i="6"/>
  <c r="BH37" i="6"/>
  <c r="BG39" i="3"/>
  <c r="BI39" i="3"/>
  <c r="BF37" i="6"/>
  <c r="BP39" i="3"/>
  <c r="BH39" i="3"/>
  <c r="BS39" i="3"/>
  <c r="BO39" i="3"/>
  <c r="BK39" i="3"/>
  <c r="BF39" i="3"/>
  <c r="BG37" i="6"/>
  <c r="BF201" i="8"/>
  <c r="BF133" i="8"/>
  <c r="BQ31" i="6"/>
  <c r="BQ37" i="6"/>
  <c r="BI31" i="6"/>
  <c r="BI37" i="6"/>
  <c r="BP31" i="6"/>
  <c r="BP37" i="6"/>
  <c r="BL31" i="6"/>
  <c r="BL37" i="6"/>
  <c r="BS31" i="6"/>
  <c r="BS37" i="6"/>
  <c r="BO31" i="6"/>
  <c r="BO37" i="6"/>
  <c r="BK31" i="6"/>
  <c r="BK37" i="6"/>
  <c r="BM31" i="6"/>
  <c r="BM37" i="6"/>
  <c r="BT31" i="6"/>
  <c r="BT37" i="6"/>
  <c r="BR31" i="6"/>
  <c r="BR37" i="6"/>
  <c r="BN31" i="6"/>
  <c r="BN37" i="6"/>
  <c r="BJ31" i="6"/>
  <c r="BJ37" i="6"/>
  <c r="BG31" i="6"/>
  <c r="BH31" i="6"/>
  <c r="BF31" i="6"/>
  <c r="BC11" i="2"/>
  <c r="BC26" i="2"/>
  <c r="BC35" i="2"/>
  <c r="BF131" i="8"/>
  <c r="BF257" i="8"/>
  <c r="BF16" i="8"/>
  <c r="BE24" i="7"/>
  <c r="BE33" i="7"/>
  <c r="W90" i="5"/>
  <c r="W109" i="5"/>
  <c r="W71" i="5"/>
  <c r="W110" i="5"/>
  <c r="W50" i="5"/>
  <c r="BF22" i="6"/>
  <c r="BS257" i="8"/>
  <c r="BP257" i="8"/>
  <c r="BO257" i="8"/>
  <c r="BL257" i="8"/>
  <c r="BK257" i="8"/>
  <c r="BH257" i="8"/>
  <c r="BG257" i="8"/>
  <c r="BI257" i="8"/>
  <c r="BM257" i="8"/>
  <c r="BQ257" i="8"/>
  <c r="BJ257" i="8"/>
  <c r="BN257" i="8"/>
  <c r="BR257" i="8"/>
  <c r="BF50" i="6" l="1"/>
  <c r="BF56" i="6"/>
  <c r="BF52" i="6"/>
  <c r="BF54" i="6"/>
  <c r="BF59" i="3"/>
  <c r="BF164" i="8"/>
  <c r="BE173" i="8"/>
  <c r="BF57" i="6"/>
  <c r="BF58" i="6"/>
  <c r="BF48" i="6"/>
  <c r="BF53" i="6"/>
  <c r="BF49" i="6"/>
  <c r="BF51" i="6"/>
  <c r="BF55" i="6"/>
  <c r="BF47" i="6"/>
  <c r="BF39" i="6"/>
  <c r="BF38" i="3"/>
  <c r="BJ38" i="3"/>
  <c r="BR38" i="3"/>
  <c r="BM38" i="3"/>
  <c r="BO38" i="3"/>
  <c r="BL38" i="3"/>
  <c r="BI38" i="3"/>
  <c r="BH38" i="3"/>
  <c r="BG38" i="3"/>
  <c r="BF59" i="6"/>
  <c r="BN38" i="3"/>
  <c r="BT38" i="3"/>
  <c r="BK38" i="3"/>
  <c r="BS38" i="3"/>
  <c r="BP38" i="3"/>
  <c r="BQ38" i="3"/>
  <c r="BF40" i="8"/>
  <c r="BE100" i="8"/>
  <c r="BE147" i="8"/>
  <c r="BF40" i="6"/>
  <c r="W48" i="5"/>
  <c r="W45" i="5"/>
  <c r="W47" i="5"/>
  <c r="W46" i="5"/>
  <c r="W44" i="5"/>
  <c r="W40" i="5"/>
  <c r="W43" i="5"/>
  <c r="W42" i="5"/>
  <c r="W38" i="5"/>
  <c r="W39" i="5"/>
  <c r="W41" i="5"/>
  <c r="W37" i="5"/>
  <c r="W36" i="5"/>
  <c r="W35" i="5"/>
  <c r="BE32" i="7"/>
  <c r="BC59" i="2"/>
  <c r="W49" i="5"/>
  <c r="W106" i="5"/>
  <c r="W92" i="5"/>
  <c r="BF21" i="3" s="1"/>
  <c r="W102" i="5"/>
  <c r="BC24" i="2"/>
  <c r="BF34" i="6"/>
  <c r="BC25" i="2"/>
  <c r="BC12" i="2"/>
  <c r="BF33" i="6"/>
  <c r="W107" i="5"/>
  <c r="W73" i="5"/>
  <c r="BF20" i="3" s="1"/>
  <c r="W100" i="5"/>
  <c r="W105" i="5"/>
  <c r="W99" i="5"/>
  <c r="W104" i="5"/>
  <c r="BF88" i="3"/>
  <c r="BF93" i="3"/>
  <c r="BF89" i="3"/>
  <c r="BF92" i="3"/>
  <c r="BF94" i="3" l="1"/>
  <c r="BF91" i="3"/>
  <c r="BE104" i="8"/>
  <c r="BF90" i="3"/>
  <c r="BF44" i="8"/>
  <c r="BF161" i="8"/>
  <c r="BC16" i="2"/>
  <c r="BE170" i="8"/>
  <c r="BF19" i="3"/>
  <c r="BC63" i="2"/>
  <c r="BC64" i="2"/>
  <c r="BC61" i="2"/>
  <c r="BF95" i="3"/>
  <c r="BG30" i="8"/>
  <c r="BE109" i="8" l="1"/>
  <c r="BB51" i="2"/>
  <c r="BC62" i="2"/>
  <c r="BF29" i="3"/>
  <c r="BF66" i="3"/>
  <c r="BC44" i="2"/>
  <c r="BF49" i="8"/>
  <c r="BD43" i="2"/>
  <c r="BD50" i="2"/>
  <c r="BG22" i="8"/>
  <c r="BG21" i="8"/>
  <c r="BG20" i="8"/>
  <c r="BG14" i="8"/>
  <c r="BG11" i="8"/>
  <c r="BG10" i="8"/>
  <c r="BG146" i="8"/>
  <c r="BG150" i="8"/>
  <c r="BC14" i="2" l="1"/>
  <c r="BE153" i="8"/>
  <c r="BF77" i="3"/>
  <c r="BE107" i="8"/>
  <c r="BG13" i="8"/>
  <c r="BF47" i="8"/>
  <c r="BF80" i="3"/>
  <c r="BF76" i="3"/>
  <c r="BF74" i="3"/>
  <c r="BC10" i="2"/>
  <c r="BF73" i="3"/>
  <c r="BF75" i="3"/>
  <c r="BF79" i="3"/>
  <c r="BF78" i="3"/>
  <c r="BG132" i="8"/>
  <c r="BF139" i="8"/>
  <c r="BG136" i="8"/>
  <c r="BD35" i="2"/>
  <c r="BF30" i="7"/>
  <c r="BF23" i="7"/>
  <c r="BG20" i="6"/>
  <c r="X70" i="5"/>
  <c r="BB36" i="2" l="1"/>
  <c r="BE172" i="8"/>
  <c r="BE171" i="8"/>
  <c r="BG135" i="8"/>
  <c r="BC15" i="2"/>
  <c r="BG147" i="8"/>
  <c r="BF147" i="8"/>
  <c r="BG133" i="8"/>
  <c r="BF81" i="3"/>
  <c r="BD26" i="2"/>
  <c r="BG22" i="6"/>
  <c r="X71" i="5"/>
  <c r="BC27" i="2"/>
  <c r="BF33" i="7"/>
  <c r="BF24" i="7"/>
  <c r="BB52" i="2" l="1"/>
  <c r="BG39" i="6"/>
  <c r="BG40" i="6"/>
  <c r="BG34" i="6"/>
  <c r="BF32" i="7"/>
  <c r="BD12" i="2"/>
  <c r="BG33" i="6"/>
  <c r="X21" i="5" l="1"/>
  <c r="X89" i="5"/>
  <c r="BG56" i="3"/>
  <c r="BG58" i="3" l="1"/>
  <c r="X109" i="5"/>
  <c r="X110" i="5"/>
  <c r="X50" i="5"/>
  <c r="BD11" i="2"/>
  <c r="X90" i="5"/>
  <c r="X73" i="5"/>
  <c r="BG20" i="3" s="1"/>
  <c r="BG59" i="3" l="1"/>
  <c r="BG164" i="8"/>
  <c r="BG173" i="8"/>
  <c r="BF173" i="8"/>
  <c r="X48" i="5"/>
  <c r="X47" i="5"/>
  <c r="X46" i="5"/>
  <c r="X44" i="5"/>
  <c r="X40" i="5"/>
  <c r="X42" i="5"/>
  <c r="X38" i="5"/>
  <c r="X39" i="5"/>
  <c r="X41" i="5"/>
  <c r="X36" i="5"/>
  <c r="X35" i="5"/>
  <c r="X45" i="5"/>
  <c r="X43" i="5"/>
  <c r="X37" i="5"/>
  <c r="X104" i="5"/>
  <c r="X49" i="5"/>
  <c r="X105" i="5"/>
  <c r="X102" i="5"/>
  <c r="BD59" i="2"/>
  <c r="X99" i="5"/>
  <c r="X107" i="5"/>
  <c r="X92" i="5"/>
  <c r="BG21" i="3" s="1"/>
  <c r="X106" i="5"/>
  <c r="X100" i="5"/>
  <c r="BG93" i="3" l="1"/>
  <c r="BG94" i="3"/>
  <c r="BG92" i="3"/>
  <c r="BG89" i="3"/>
  <c r="BG90" i="3"/>
  <c r="BG88" i="3"/>
  <c r="BG91" i="3"/>
  <c r="BD16" i="2"/>
  <c r="BG19" i="3"/>
  <c r="BD61" i="2"/>
  <c r="BD63" i="2"/>
  <c r="BD64" i="2"/>
  <c r="BG95" i="3" l="1"/>
  <c r="BD62" i="2"/>
  <c r="BG29" i="3"/>
  <c r="BG66" i="3"/>
  <c r="BD14" i="2" l="1"/>
  <c r="BG77" i="3"/>
  <c r="BG80" i="3"/>
  <c r="BG74" i="3"/>
  <c r="BG73" i="3"/>
  <c r="BG75" i="3"/>
  <c r="BD10" i="2"/>
  <c r="BG76" i="3"/>
  <c r="BG79" i="3"/>
  <c r="BG78" i="3"/>
  <c r="BM39" i="8"/>
  <c r="BL10" i="8"/>
  <c r="BE50" i="2"/>
  <c r="BE43" i="2"/>
  <c r="BH146" i="8"/>
  <c r="BH150" i="8"/>
  <c r="BH45" i="8"/>
  <c r="BH42" i="8"/>
  <c r="BH20" i="8"/>
  <c r="BH21" i="8"/>
  <c r="BH23" i="8"/>
  <c r="BH22" i="8"/>
  <c r="BH39" i="8"/>
  <c r="BH14" i="8"/>
  <c r="BH11" i="8"/>
  <c r="BH10" i="8"/>
  <c r="BH41" i="8" l="1"/>
  <c r="BD15" i="2"/>
  <c r="BH201" i="8"/>
  <c r="BH13" i="8"/>
  <c r="BH133" i="8"/>
  <c r="BG81" i="3"/>
  <c r="BH76" i="8"/>
  <c r="BE35" i="2"/>
  <c r="BH145" i="8"/>
  <c r="BH132" i="8"/>
  <c r="BH136" i="8"/>
  <c r="BG23" i="7"/>
  <c r="BG30" i="7"/>
  <c r="Y49" i="5"/>
  <c r="BE59" i="2"/>
  <c r="BH20" i="6"/>
  <c r="Y102" i="5"/>
  <c r="Y104" i="5"/>
  <c r="Y89" i="5"/>
  <c r="Y70" i="5"/>
  <c r="Y21" i="5"/>
  <c r="BH56" i="3"/>
  <c r="BH135" i="8" l="1"/>
  <c r="BH58" i="3"/>
  <c r="BH60" i="6"/>
  <c r="BE26" i="2"/>
  <c r="BE33" i="2"/>
  <c r="BE34" i="2"/>
  <c r="BG33" i="7"/>
  <c r="BG24" i="7"/>
  <c r="BH22" i="6"/>
  <c r="Y71" i="5"/>
  <c r="Y100" i="5" s="1"/>
  <c r="BE61" i="2"/>
  <c r="Y90" i="5"/>
  <c r="BE11" i="2"/>
  <c r="BE63" i="2"/>
  <c r="Y105" i="5"/>
  <c r="Y110" i="5"/>
  <c r="Y109" i="5"/>
  <c r="BH131" i="8"/>
  <c r="BH16" i="8"/>
  <c r="BF163" i="8" l="1"/>
  <c r="BE163" i="8"/>
  <c r="BD163" i="8"/>
  <c r="BH59" i="3"/>
  <c r="BH59" i="6"/>
  <c r="BH40" i="8"/>
  <c r="BH39" i="6"/>
  <c r="BH40" i="6"/>
  <c r="Y106" i="5"/>
  <c r="BH57" i="6"/>
  <c r="BH53" i="6"/>
  <c r="BH49" i="6"/>
  <c r="BH47" i="6"/>
  <c r="BH54" i="6"/>
  <c r="BH55" i="6"/>
  <c r="BH50" i="6"/>
  <c r="BH58" i="6"/>
  <c r="BH52" i="6"/>
  <c r="BH56" i="6"/>
  <c r="BH51" i="6"/>
  <c r="BH48" i="6"/>
  <c r="BG32" i="7"/>
  <c r="BH33" i="6"/>
  <c r="BH34" i="6"/>
  <c r="BE24" i="2"/>
  <c r="BE25" i="2"/>
  <c r="BE12" i="2"/>
  <c r="Y92" i="5"/>
  <c r="BH21" i="3" s="1"/>
  <c r="Y99" i="5"/>
  <c r="BE64" i="2"/>
  <c r="Y107" i="5"/>
  <c r="Y73" i="5"/>
  <c r="BH20" i="3" s="1"/>
  <c r="BH92" i="3" l="1"/>
  <c r="BH88" i="3"/>
  <c r="BH91" i="3"/>
  <c r="BC45" i="2"/>
  <c r="BH90" i="3"/>
  <c r="BH94" i="3"/>
  <c r="BH89" i="3"/>
  <c r="BA45" i="2"/>
  <c r="BB45" i="2"/>
  <c r="BH93" i="3"/>
  <c r="BH44" i="8"/>
  <c r="BH161" i="8"/>
  <c r="BE62" i="2"/>
  <c r="BH19" i="3"/>
  <c r="BE16" i="2" l="1"/>
  <c r="BH95" i="3"/>
  <c r="BH29" i="3"/>
  <c r="BH66" i="3"/>
  <c r="BE44" i="2"/>
  <c r="BH49" i="8"/>
  <c r="BL39" i="8"/>
  <c r="BE14" i="2" l="1"/>
  <c r="BH77" i="3"/>
  <c r="BD162" i="8"/>
  <c r="BE162" i="8"/>
  <c r="BF162" i="8"/>
  <c r="BH63" i="8"/>
  <c r="BH47" i="8"/>
  <c r="BH80" i="3"/>
  <c r="BE10" i="2"/>
  <c r="BH74" i="3"/>
  <c r="BH73" i="3"/>
  <c r="BH76" i="3"/>
  <c r="BH75" i="3"/>
  <c r="BH78" i="3"/>
  <c r="BH79" i="3"/>
  <c r="BH139" i="8"/>
  <c r="Z104" i="5"/>
  <c r="BE15" i="2" l="1"/>
  <c r="BH61" i="8"/>
  <c r="BH81" i="3"/>
  <c r="BE27" i="2"/>
  <c r="Z49" i="5"/>
  <c r="BF59" i="2" l="1"/>
  <c r="Z102" i="5" l="1"/>
  <c r="BF63" i="2"/>
  <c r="Z70" i="5"/>
  <c r="BF61" i="2" l="1"/>
  <c r="BL201" i="8" l="1"/>
  <c r="BO201" i="8"/>
  <c r="BK201" i="8"/>
  <c r="BP201" i="8"/>
  <c r="BR201" i="8"/>
  <c r="BN201" i="8"/>
  <c r="BJ201" i="8"/>
  <c r="BS201" i="8"/>
  <c r="BQ201" i="8"/>
  <c r="BM201" i="8"/>
  <c r="BI201" i="8"/>
  <c r="BG50" i="2"/>
  <c r="BH50" i="2"/>
  <c r="BI50" i="2"/>
  <c r="BJ50" i="2"/>
  <c r="BK50" i="2"/>
  <c r="BM50" i="2"/>
  <c r="BN50" i="2"/>
  <c r="BO50" i="2"/>
  <c r="BF50" i="2"/>
  <c r="BG43" i="2"/>
  <c r="BH43" i="2"/>
  <c r="BI43" i="2"/>
  <c r="BJ43" i="2"/>
  <c r="BK43" i="2"/>
  <c r="BL43" i="2"/>
  <c r="BM43" i="2"/>
  <c r="BN43" i="2"/>
  <c r="BO43" i="2"/>
  <c r="BP43" i="2"/>
  <c r="BF43" i="2"/>
  <c r="BO169" i="8"/>
  <c r="BS169" i="8"/>
  <c r="BJ14" i="8"/>
  <c r="BJ150" i="8"/>
  <c r="BK150" i="8"/>
  <c r="BL150" i="8"/>
  <c r="BM150" i="8"/>
  <c r="BN150" i="8"/>
  <c r="BO150" i="8"/>
  <c r="BP150" i="8"/>
  <c r="BQ150" i="8"/>
  <c r="BR150" i="8"/>
  <c r="BS150" i="8"/>
  <c r="BI150" i="8"/>
  <c r="BJ146" i="8"/>
  <c r="BK146" i="8"/>
  <c r="BL146" i="8"/>
  <c r="BM146" i="8"/>
  <c r="BN146" i="8"/>
  <c r="BO146" i="8"/>
  <c r="BP146" i="8"/>
  <c r="BQ146" i="8"/>
  <c r="BR146" i="8"/>
  <c r="BS146" i="8"/>
  <c r="BI146" i="8"/>
  <c r="BK45" i="8"/>
  <c r="BJ45" i="8"/>
  <c r="BI45" i="8"/>
  <c r="BK42" i="8"/>
  <c r="BJ42" i="8"/>
  <c r="BI42" i="8"/>
  <c r="BK39" i="8"/>
  <c r="BJ39" i="8"/>
  <c r="BI39" i="8"/>
  <c r="BK35" i="8"/>
  <c r="BJ35" i="8"/>
  <c r="BK22" i="8"/>
  <c r="BJ22" i="8"/>
  <c r="BI22" i="8"/>
  <c r="BI23" i="8"/>
  <c r="BK21" i="8"/>
  <c r="BJ21" i="8"/>
  <c r="BI21" i="8"/>
  <c r="BK20" i="8"/>
  <c r="BJ20" i="8"/>
  <c r="BI20" i="8"/>
  <c r="BK14" i="8"/>
  <c r="BI14" i="8"/>
  <c r="BK11" i="8"/>
  <c r="BJ11" i="8"/>
  <c r="BI11" i="8"/>
  <c r="BK10" i="8"/>
  <c r="BJ10" i="8"/>
  <c r="BI10" i="8"/>
  <c r="BL96" i="8"/>
  <c r="BM96" i="8"/>
  <c r="BN96" i="8"/>
  <c r="BO45" i="8"/>
  <c r="BO42" i="8"/>
  <c r="BO39" i="8"/>
  <c r="BO36" i="8"/>
  <c r="BO30" i="8"/>
  <c r="BO22" i="8"/>
  <c r="BO21" i="8"/>
  <c r="BO20" i="8"/>
  <c r="BO14" i="8"/>
  <c r="BO11" i="8"/>
  <c r="BO10" i="8"/>
  <c r="BS45" i="8"/>
  <c r="BS42" i="8"/>
  <c r="BS20" i="8"/>
  <c r="BS21" i="8"/>
  <c r="BS27" i="8"/>
  <c r="BS22" i="8"/>
  <c r="BS30" i="8"/>
  <c r="BS35" i="8"/>
  <c r="BS36" i="8"/>
  <c r="BS39" i="8"/>
  <c r="BS14" i="8"/>
  <c r="BS11" i="8"/>
  <c r="BS10" i="8"/>
  <c r="BN45" i="8"/>
  <c r="BM45" i="8"/>
  <c r="BL45" i="8"/>
  <c r="BN42" i="8"/>
  <c r="BM42" i="8"/>
  <c r="BL42" i="8"/>
  <c r="BN39" i="8"/>
  <c r="BL35" i="8"/>
  <c r="BN30" i="8"/>
  <c r="BM30" i="8"/>
  <c r="BL30" i="8"/>
  <c r="BN22" i="8"/>
  <c r="BM22" i="8"/>
  <c r="BL22" i="8"/>
  <c r="BN21" i="8"/>
  <c r="BM21" i="8"/>
  <c r="BL21" i="8"/>
  <c r="BN20" i="8"/>
  <c r="BM20" i="8"/>
  <c r="BL20" i="8"/>
  <c r="BN14" i="8"/>
  <c r="BM14" i="8"/>
  <c r="BL14" i="8"/>
  <c r="BN11" i="8"/>
  <c r="BM11" i="8"/>
  <c r="BL11" i="8"/>
  <c r="BN10" i="8"/>
  <c r="BM10" i="8"/>
  <c r="BP45" i="8"/>
  <c r="BP42" i="8"/>
  <c r="BP20" i="8"/>
  <c r="BP21" i="8"/>
  <c r="BP27" i="8"/>
  <c r="BP22" i="8"/>
  <c r="BP30" i="8"/>
  <c r="BP35" i="8"/>
  <c r="BP36" i="8"/>
  <c r="BP39" i="8"/>
  <c r="BP14" i="8"/>
  <c r="BP11" i="8"/>
  <c r="BP10" i="8"/>
  <c r="BQ45" i="8"/>
  <c r="BQ42" i="8"/>
  <c r="BQ20" i="8"/>
  <c r="BQ21" i="8"/>
  <c r="BQ27" i="8"/>
  <c r="BQ22" i="8"/>
  <c r="BQ30" i="8"/>
  <c r="BQ35" i="8"/>
  <c r="BQ36" i="8"/>
  <c r="BQ39" i="8"/>
  <c r="BQ14" i="8"/>
  <c r="BQ11" i="8"/>
  <c r="BQ10" i="8"/>
  <c r="BR20" i="8"/>
  <c r="BR21" i="8"/>
  <c r="BR27" i="8"/>
  <c r="BR22" i="8"/>
  <c r="BR30" i="8"/>
  <c r="BR35" i="8"/>
  <c r="BR36" i="8"/>
  <c r="BR39" i="8"/>
  <c r="BR45" i="8"/>
  <c r="BR42" i="8"/>
  <c r="BR14" i="8"/>
  <c r="BR11" i="8"/>
  <c r="BR10" i="8"/>
  <c r="BL41" i="8" l="1"/>
  <c r="BK41" i="8"/>
  <c r="BR41" i="8"/>
  <c r="BM41" i="8"/>
  <c r="BP41" i="8"/>
  <c r="BN41" i="8"/>
  <c r="BS41" i="8"/>
  <c r="BO41" i="8"/>
  <c r="BI41" i="8"/>
  <c r="BQ41" i="8"/>
  <c r="BJ41" i="8"/>
  <c r="BS137" i="8"/>
  <c r="BO137" i="8"/>
  <c r="BN151" i="8"/>
  <c r="BP137" i="8"/>
  <c r="BM151" i="8"/>
  <c r="BR137" i="8"/>
  <c r="BQ137" i="8"/>
  <c r="BL151" i="8"/>
  <c r="BP35" i="2"/>
  <c r="BL35" i="2"/>
  <c r="BL13" i="8"/>
  <c r="BK35" i="2"/>
  <c r="BO35" i="2"/>
  <c r="BJ35" i="2"/>
  <c r="BN35" i="2"/>
  <c r="BP50" i="2"/>
  <c r="BM35" i="2"/>
  <c r="BL50" i="2"/>
  <c r="BN13" i="8"/>
  <c r="BI13" i="8"/>
  <c r="BP13" i="8"/>
  <c r="BS13" i="8"/>
  <c r="BO13" i="8"/>
  <c r="BJ13" i="8"/>
  <c r="BK13" i="8"/>
  <c r="BR13" i="8"/>
  <c r="BQ13" i="8"/>
  <c r="BM13" i="8"/>
  <c r="BO147" i="8"/>
  <c r="BM133" i="8"/>
  <c r="BI133" i="8"/>
  <c r="BR133" i="8"/>
  <c r="BQ147" i="8"/>
  <c r="BK147" i="8"/>
  <c r="BM145" i="8"/>
  <c r="BJ33" i="2"/>
  <c r="BJ147" i="8"/>
  <c r="BO33" i="2"/>
  <c r="BO145" i="8"/>
  <c r="BL33" i="2"/>
  <c r="BL147" i="8"/>
  <c r="BS147" i="8"/>
  <c r="BP33" i="2"/>
  <c r="BG35" i="2"/>
  <c r="BN36" i="8"/>
  <c r="BH35" i="2"/>
  <c r="BF35" i="2"/>
  <c r="BI35" i="2"/>
  <c r="BI33" i="2"/>
  <c r="BM132" i="8"/>
  <c r="BI132" i="8"/>
  <c r="BN136" i="8"/>
  <c r="BP136" i="8"/>
  <c r="BL36" i="8"/>
  <c r="BJ136" i="8"/>
  <c r="BI136" i="8"/>
  <c r="BM36" i="8"/>
  <c r="BS76" i="8"/>
  <c r="BK132" i="8"/>
  <c r="BN132" i="8"/>
  <c r="BJ132" i="8"/>
  <c r="BK136" i="8"/>
  <c r="BN76" i="8"/>
  <c r="BK33" i="2"/>
  <c r="BI76" i="8"/>
  <c r="BS145" i="8"/>
  <c r="BK145" i="8"/>
  <c r="BQ76" i="8"/>
  <c r="BN33" i="2"/>
  <c r="BR132" i="8"/>
  <c r="BL136" i="8"/>
  <c r="BO76" i="8"/>
  <c r="BO132" i="8"/>
  <c r="BJ76" i="8"/>
  <c r="BR145" i="8"/>
  <c r="BN145" i="8"/>
  <c r="BJ145" i="8"/>
  <c r="BL76" i="8"/>
  <c r="BQ145" i="8"/>
  <c r="BP76" i="8"/>
  <c r="BM33" i="2"/>
  <c r="BR76" i="8"/>
  <c r="BP132" i="8"/>
  <c r="BM76" i="8"/>
  <c r="BS136" i="8"/>
  <c r="BK76" i="8"/>
  <c r="BI145" i="8"/>
  <c r="BP145" i="8"/>
  <c r="BL145" i="8"/>
  <c r="BO136" i="8"/>
  <c r="BR136" i="8"/>
  <c r="BQ132" i="8"/>
  <c r="BQ136" i="8"/>
  <c r="BL132" i="8"/>
  <c r="BM136" i="8"/>
  <c r="BS132" i="8"/>
  <c r="BH23" i="7"/>
  <c r="BH30" i="7"/>
  <c r="BL59" i="2"/>
  <c r="BM59" i="2"/>
  <c r="BN59" i="2"/>
  <c r="BO59" i="2"/>
  <c r="BP59" i="2"/>
  <c r="BQ59" i="2"/>
  <c r="BH59" i="2"/>
  <c r="BI59" i="2"/>
  <c r="BJ59" i="2"/>
  <c r="BK59" i="2"/>
  <c r="AG21" i="5"/>
  <c r="BM11" i="2" s="1"/>
  <c r="AH21" i="5"/>
  <c r="BN11" i="2" s="1"/>
  <c r="AI21" i="5"/>
  <c r="BO11" i="2" s="1"/>
  <c r="AJ21" i="5"/>
  <c r="BP11" i="2" s="1"/>
  <c r="AK21" i="5"/>
  <c r="BQ11" i="2" s="1"/>
  <c r="AB21" i="5"/>
  <c r="AC21" i="5"/>
  <c r="AD21" i="5"/>
  <c r="BJ11" i="2" s="1"/>
  <c r="AE21" i="5"/>
  <c r="BK11" i="2" s="1"/>
  <c r="AF21" i="5"/>
  <c r="BL11" i="2" s="1"/>
  <c r="Z21" i="5"/>
  <c r="AA21" i="5"/>
  <c r="BG11" i="2" s="1"/>
  <c r="BS20" i="6"/>
  <c r="BT20" i="6"/>
  <c r="BO20" i="6"/>
  <c r="BP20" i="6"/>
  <c r="BQ20" i="6"/>
  <c r="BR20" i="6"/>
  <c r="BM20" i="6"/>
  <c r="BN20" i="6"/>
  <c r="BK20" i="6"/>
  <c r="BL20" i="6"/>
  <c r="BI20" i="6"/>
  <c r="BJ20" i="6"/>
  <c r="AF70" i="5"/>
  <c r="AF71" i="5" s="1"/>
  <c r="AF73" i="5" s="1"/>
  <c r="BO20" i="3" s="1"/>
  <c r="AG70" i="5"/>
  <c r="AG71" i="5" s="1"/>
  <c r="AG73" i="5" s="1"/>
  <c r="BP20" i="3" s="1"/>
  <c r="AH70" i="5"/>
  <c r="AH71" i="5" s="1"/>
  <c r="AH73" i="5" s="1"/>
  <c r="BQ20" i="3" s="1"/>
  <c r="AI70" i="5"/>
  <c r="AI71" i="5" s="1"/>
  <c r="AI73" i="5" s="1"/>
  <c r="BR20" i="3" s="1"/>
  <c r="AJ70" i="5"/>
  <c r="AJ71" i="5" s="1"/>
  <c r="AJ73" i="5" s="1"/>
  <c r="BS20" i="3" s="1"/>
  <c r="AK70" i="5"/>
  <c r="AK71" i="5" s="1"/>
  <c r="AK73" i="5" s="1"/>
  <c r="BT20" i="3" s="1"/>
  <c r="AK89" i="5"/>
  <c r="AK90" i="5" s="1"/>
  <c r="AF89" i="5"/>
  <c r="AF90" i="5" s="1"/>
  <c r="AG89" i="5"/>
  <c r="AG90" i="5" s="1"/>
  <c r="AG99" i="5" s="1"/>
  <c r="AH89" i="5"/>
  <c r="AH90" i="5" s="1"/>
  <c r="AI89" i="5"/>
  <c r="AI90" i="5" s="1"/>
  <c r="AI99" i="5" s="1"/>
  <c r="AJ89" i="5"/>
  <c r="AJ90" i="5" s="1"/>
  <c r="BS26" i="3"/>
  <c r="BR26" i="3"/>
  <c r="BQ26" i="3"/>
  <c r="AB70" i="5"/>
  <c r="AC70" i="5"/>
  <c r="AD70" i="5"/>
  <c r="AD71" i="5" s="1"/>
  <c r="AD100" i="5" s="1"/>
  <c r="AE70" i="5"/>
  <c r="AE71" i="5" s="1"/>
  <c r="AB89" i="5"/>
  <c r="AC89" i="5"/>
  <c r="AD89" i="5"/>
  <c r="AD90" i="5" s="1"/>
  <c r="AD99" i="5" s="1"/>
  <c r="AE89" i="5"/>
  <c r="AE90" i="5" s="1"/>
  <c r="AA70" i="5"/>
  <c r="AA71" i="5" s="1"/>
  <c r="AA73" i="5" s="1"/>
  <c r="BJ20" i="3" s="1"/>
  <c r="AA89" i="5"/>
  <c r="AA90" i="5" s="1"/>
  <c r="BT56" i="3"/>
  <c r="AK102" i="5"/>
  <c r="BQ61" i="2" s="1"/>
  <c r="AK104" i="5"/>
  <c r="BQ63" i="2" s="1"/>
  <c r="AK100" i="5"/>
  <c r="AF102" i="5"/>
  <c r="BL61" i="2" s="1"/>
  <c r="AG102" i="5"/>
  <c r="BM61" i="2" s="1"/>
  <c r="AH102" i="5"/>
  <c r="BN61" i="2" s="1"/>
  <c r="AI102" i="5"/>
  <c r="BO61" i="2" s="1"/>
  <c r="AJ102" i="5"/>
  <c r="BP61" i="2" s="1"/>
  <c r="AB102" i="5"/>
  <c r="AC102" i="5"/>
  <c r="AD102" i="5"/>
  <c r="BJ61" i="2" s="1"/>
  <c r="AE102" i="5"/>
  <c r="BK61" i="2" s="1"/>
  <c r="AF104" i="5"/>
  <c r="BL63" i="2" s="1"/>
  <c r="AG104" i="5"/>
  <c r="BM63" i="2" s="1"/>
  <c r="AH104" i="5"/>
  <c r="BN63" i="2" s="1"/>
  <c r="AI104" i="5"/>
  <c r="BO63" i="2" s="1"/>
  <c r="AJ104" i="5"/>
  <c r="BP63" i="2" s="1"/>
  <c r="AE104" i="5"/>
  <c r="BK63" i="2" s="1"/>
  <c r="AB104" i="5"/>
  <c r="AC104" i="5"/>
  <c r="AD104" i="5"/>
  <c r="BJ63" i="2" s="1"/>
  <c r="AA50" i="5"/>
  <c r="Z71" i="5"/>
  <c r="AJ49" i="5"/>
  <c r="AI49" i="5"/>
  <c r="AK49" i="5"/>
  <c r="AH49" i="5"/>
  <c r="AF49" i="5"/>
  <c r="AG49" i="5"/>
  <c r="AE49" i="5"/>
  <c r="AD49" i="5"/>
  <c r="AB49" i="5"/>
  <c r="Z89" i="5"/>
  <c r="AC49" i="5"/>
  <c r="BS30" i="7"/>
  <c r="BS23" i="7"/>
  <c r="BO30" i="7"/>
  <c r="BP30" i="7"/>
  <c r="BQ30" i="7"/>
  <c r="BR30" i="7"/>
  <c r="BO23" i="7"/>
  <c r="BP23" i="7"/>
  <c r="BQ23" i="7"/>
  <c r="BR23" i="7"/>
  <c r="BK23" i="7"/>
  <c r="BK30" i="7"/>
  <c r="BJ23" i="7"/>
  <c r="BL23" i="7"/>
  <c r="BM23" i="7"/>
  <c r="BN23" i="7"/>
  <c r="BJ30" i="7"/>
  <c r="BL30" i="7"/>
  <c r="BM30" i="7"/>
  <c r="BN30" i="7"/>
  <c r="BI30" i="7"/>
  <c r="BI23" i="7"/>
  <c r="BJ56" i="3"/>
  <c r="BK56" i="3"/>
  <c r="BL56" i="3"/>
  <c r="BM56" i="3"/>
  <c r="BN56" i="3"/>
  <c r="BO56" i="3"/>
  <c r="BP56" i="3"/>
  <c r="BQ56" i="3"/>
  <c r="BR56" i="3"/>
  <c r="BS56" i="3"/>
  <c r="BI56" i="3"/>
  <c r="BP16" i="8" l="1"/>
  <c r="BQ164" i="8"/>
  <c r="BL137" i="8"/>
  <c r="BP164" i="8"/>
  <c r="BS164" i="8"/>
  <c r="BM137" i="8"/>
  <c r="BN137" i="8"/>
  <c r="BL173" i="8"/>
  <c r="BR164" i="8"/>
  <c r="BM173" i="8"/>
  <c r="BN173" i="8"/>
  <c r="BO164" i="8"/>
  <c r="BR135" i="8"/>
  <c r="BS135" i="8"/>
  <c r="BK135" i="8"/>
  <c r="BP135" i="8"/>
  <c r="BM135" i="8"/>
  <c r="BJ135" i="8"/>
  <c r="BI135" i="8"/>
  <c r="BQ135" i="8"/>
  <c r="BO135" i="8"/>
  <c r="BN135" i="8"/>
  <c r="BL135" i="8"/>
  <c r="BP58" i="3"/>
  <c r="BS58" i="3"/>
  <c r="BO58" i="3"/>
  <c r="BJ58" i="3"/>
  <c r="BR58" i="3"/>
  <c r="BN58" i="3"/>
  <c r="BQ58" i="3"/>
  <c r="BM58" i="3"/>
  <c r="BT58" i="3"/>
  <c r="BL58" i="3"/>
  <c r="BM22" i="6"/>
  <c r="BO22" i="6"/>
  <c r="BL60" i="6"/>
  <c r="BQ22" i="6"/>
  <c r="BS22" i="6"/>
  <c r="BO24" i="7"/>
  <c r="BP26" i="2"/>
  <c r="BK26" i="2"/>
  <c r="BN34" i="2"/>
  <c r="BL34" i="2"/>
  <c r="BJ34" i="2"/>
  <c r="BL26" i="2"/>
  <c r="BN26" i="2"/>
  <c r="BM34" i="2"/>
  <c r="BK34" i="2"/>
  <c r="BM26" i="2"/>
  <c r="BO34" i="2"/>
  <c r="BK100" i="8"/>
  <c r="BO26" i="2"/>
  <c r="BP34" i="2"/>
  <c r="BJ26" i="2"/>
  <c r="BK133" i="8"/>
  <c r="BL100" i="8"/>
  <c r="BJ100" i="8"/>
  <c r="BN147" i="8"/>
  <c r="BM147" i="8"/>
  <c r="BQ133" i="8"/>
  <c r="BN133" i="8"/>
  <c r="BO133" i="8"/>
  <c r="BP133" i="8"/>
  <c r="BR147" i="8"/>
  <c r="BL133" i="8"/>
  <c r="BJ133" i="8"/>
  <c r="BI100" i="8"/>
  <c r="BI147" i="8"/>
  <c r="BS133" i="8"/>
  <c r="BI58" i="3"/>
  <c r="BK58" i="3"/>
  <c r="BM100" i="8"/>
  <c r="BO100" i="8"/>
  <c r="BQ100" i="8"/>
  <c r="BS100" i="8"/>
  <c r="BN100" i="8"/>
  <c r="BR100" i="8"/>
  <c r="BL24" i="7"/>
  <c r="BR16" i="8"/>
  <c r="BR131" i="8"/>
  <c r="BQ24" i="7"/>
  <c r="AA104" i="5"/>
  <c r="BG63" i="2" s="1"/>
  <c r="AA48" i="5"/>
  <c r="AA45" i="5"/>
  <c r="AA47" i="5"/>
  <c r="AA46" i="5"/>
  <c r="AA44" i="5"/>
  <c r="AA40" i="5"/>
  <c r="AA43" i="5"/>
  <c r="AA42" i="5"/>
  <c r="AA38" i="5"/>
  <c r="AA39" i="5"/>
  <c r="AA41" i="5"/>
  <c r="AA37" i="5"/>
  <c r="AA36" i="5"/>
  <c r="AA35" i="5"/>
  <c r="AD109" i="5"/>
  <c r="AD110" i="5"/>
  <c r="BJ22" i="6"/>
  <c r="BJ60" i="6"/>
  <c r="BN22" i="6"/>
  <c r="BN60" i="6"/>
  <c r="BP22" i="6"/>
  <c r="BP60" i="6"/>
  <c r="BR22" i="6"/>
  <c r="BR60" i="6"/>
  <c r="BT22" i="6"/>
  <c r="BT60" i="6"/>
  <c r="BS131" i="8"/>
  <c r="BF26" i="2"/>
  <c r="BS24" i="7"/>
  <c r="BQ131" i="8"/>
  <c r="BQ16" i="8"/>
  <c r="BG34" i="2"/>
  <c r="BG33" i="2"/>
  <c r="BG26" i="2"/>
  <c r="BH34" i="2"/>
  <c r="BH33" i="2"/>
  <c r="BH26" i="2"/>
  <c r="BH61" i="2"/>
  <c r="BH11" i="2"/>
  <c r="BH63" i="2"/>
  <c r="AB90" i="5"/>
  <c r="AB107" i="5" s="1"/>
  <c r="AB71" i="5"/>
  <c r="AB106" i="5" s="1"/>
  <c r="BK22" i="6"/>
  <c r="BS16" i="8"/>
  <c r="BF34" i="2"/>
  <c r="BF33" i="2"/>
  <c r="BI26" i="2"/>
  <c r="BI34" i="2"/>
  <c r="BH33" i="7"/>
  <c r="BS33" i="7"/>
  <c r="BH24" i="7"/>
  <c r="BI22" i="6"/>
  <c r="BL22" i="6"/>
  <c r="BI61" i="2"/>
  <c r="BF11" i="2"/>
  <c r="BI11" i="2"/>
  <c r="BI63" i="2"/>
  <c r="Z73" i="5"/>
  <c r="BI20" i="3" s="1"/>
  <c r="AC90" i="5"/>
  <c r="AC99" i="5" s="1"/>
  <c r="AC71" i="5"/>
  <c r="AC73" i="5" s="1"/>
  <c r="BL20" i="3" s="1"/>
  <c r="BI33" i="7"/>
  <c r="BK33" i="7"/>
  <c r="BM33" i="7"/>
  <c r="BN33" i="7"/>
  <c r="BK24" i="7"/>
  <c r="BQ33" i="7"/>
  <c r="AG100" i="5"/>
  <c r="BR33" i="7"/>
  <c r="BP33" i="7"/>
  <c r="BL33" i="7"/>
  <c r="BM24" i="7"/>
  <c r="BJ24" i="7"/>
  <c r="BO33" i="7"/>
  <c r="BI24" i="7"/>
  <c r="BJ33" i="7"/>
  <c r="AI100" i="5"/>
  <c r="AH106" i="5"/>
  <c r="AF109" i="5"/>
  <c r="AB105" i="5"/>
  <c r="AA102" i="5"/>
  <c r="BG61" i="2" s="1"/>
  <c r="AJ100" i="5"/>
  <c r="AH100" i="5"/>
  <c r="AF100" i="5"/>
  <c r="AD105" i="5"/>
  <c r="BJ64" i="2" s="1"/>
  <c r="AG105" i="5"/>
  <c r="BM64" i="2" s="1"/>
  <c r="AA110" i="5"/>
  <c r="AB109" i="5"/>
  <c r="AB110" i="5"/>
  <c r="AJ109" i="5"/>
  <c r="AG110" i="5"/>
  <c r="AA49" i="5"/>
  <c r="AA100" i="5"/>
  <c r="AA106" i="5"/>
  <c r="AE105" i="5"/>
  <c r="BK64" i="2" s="1"/>
  <c r="AC105" i="5"/>
  <c r="AE106" i="5"/>
  <c r="AE107" i="5"/>
  <c r="AI105" i="5"/>
  <c r="BO64" i="2" s="1"/>
  <c r="AJ106" i="5"/>
  <c r="AF106" i="5"/>
  <c r="AE109" i="5"/>
  <c r="AC109" i="5"/>
  <c r="AE110" i="5"/>
  <c r="AC110" i="5"/>
  <c r="AH109" i="5"/>
  <c r="AI110" i="5"/>
  <c r="AK105" i="5"/>
  <c r="BQ64" i="2" s="1"/>
  <c r="AK110" i="5"/>
  <c r="AJ105" i="5"/>
  <c r="BP64" i="2" s="1"/>
  <c r="AH105" i="5"/>
  <c r="BN64" i="2" s="1"/>
  <c r="AF105" i="5"/>
  <c r="BL64" i="2" s="1"/>
  <c r="AI106" i="5"/>
  <c r="AG106" i="5"/>
  <c r="AA109" i="5"/>
  <c r="AI109" i="5"/>
  <c r="AG109" i="5"/>
  <c r="AJ110" i="5"/>
  <c r="AH110" i="5"/>
  <c r="AF110" i="5"/>
  <c r="AK106" i="5"/>
  <c r="AK109" i="5"/>
  <c r="Z90" i="5"/>
  <c r="Z109" i="5"/>
  <c r="Z105" i="5"/>
  <c r="Z110" i="5"/>
  <c r="BG59" i="2"/>
  <c r="AA105" i="5"/>
  <c r="BG64" i="2" s="1"/>
  <c r="BP131" i="8"/>
  <c r="BO16" i="8"/>
  <c r="BO131" i="8"/>
  <c r="BN16" i="8"/>
  <c r="BN131" i="8"/>
  <c r="BK16" i="8"/>
  <c r="BK131" i="8"/>
  <c r="BM16" i="8"/>
  <c r="BM131" i="8"/>
  <c r="BL131" i="8"/>
  <c r="BJ16" i="8"/>
  <c r="BJ131" i="8"/>
  <c r="BI16" i="8"/>
  <c r="BI131" i="8"/>
  <c r="Z100" i="5"/>
  <c r="Z106" i="5"/>
  <c r="BN24" i="7"/>
  <c r="BR24" i="7"/>
  <c r="BP24" i="7"/>
  <c r="BL16" i="8"/>
  <c r="AE99" i="5"/>
  <c r="AE92" i="5"/>
  <c r="BN21" i="3" s="1"/>
  <c r="AE100" i="5"/>
  <c r="AE73" i="5"/>
  <c r="BN20" i="3" s="1"/>
  <c r="AI92" i="5"/>
  <c r="BR21" i="3" s="1"/>
  <c r="AI107" i="5"/>
  <c r="AG92" i="5"/>
  <c r="BP21" i="3" s="1"/>
  <c r="AG107" i="5"/>
  <c r="AK92" i="5"/>
  <c r="BT21" i="3" s="1"/>
  <c r="AK99" i="5"/>
  <c r="AK107" i="5"/>
  <c r="AA107" i="5"/>
  <c r="AA99" i="5"/>
  <c r="AA92" i="5"/>
  <c r="BJ21" i="3" s="1"/>
  <c r="AD107" i="5"/>
  <c r="AD92" i="5"/>
  <c r="BM21" i="3" s="1"/>
  <c r="AD106" i="5"/>
  <c r="AD73" i="5"/>
  <c r="BM20" i="3" s="1"/>
  <c r="AJ92" i="5"/>
  <c r="BS21" i="3" s="1"/>
  <c r="AJ107" i="5"/>
  <c r="AJ99" i="5"/>
  <c r="AH92" i="5"/>
  <c r="BQ21" i="3" s="1"/>
  <c r="AH107" i="5"/>
  <c r="AH99" i="5"/>
  <c r="AF92" i="5"/>
  <c r="BO21" i="3" s="1"/>
  <c r="AF107" i="5"/>
  <c r="AF99" i="5"/>
  <c r="BP40" i="8" l="1"/>
  <c r="BR104" i="8"/>
  <c r="BM104" i="8"/>
  <c r="BO104" i="8"/>
  <c r="BN104" i="8"/>
  <c r="BJ104" i="8"/>
  <c r="BS104" i="8"/>
  <c r="BL104" i="8"/>
  <c r="BN164" i="8"/>
  <c r="BQ104" i="8"/>
  <c r="BI104" i="8"/>
  <c r="BK104" i="8"/>
  <c r="BM164" i="8"/>
  <c r="BL164" i="8"/>
  <c r="BL55" i="6"/>
  <c r="BR59" i="3"/>
  <c r="BN12" i="2"/>
  <c r="BL59" i="3"/>
  <c r="BN59" i="3"/>
  <c r="BS59" i="3"/>
  <c r="BT59" i="3"/>
  <c r="BP59" i="3"/>
  <c r="BS34" i="6"/>
  <c r="BM34" i="6"/>
  <c r="BQ59" i="3"/>
  <c r="BQ39" i="6"/>
  <c r="BS39" i="6"/>
  <c r="BL51" i="6"/>
  <c r="BJ12" i="2"/>
  <c r="BS33" i="6"/>
  <c r="BP12" i="2"/>
  <c r="BQ34" i="6"/>
  <c r="BL56" i="6"/>
  <c r="BL52" i="6"/>
  <c r="BL54" i="6"/>
  <c r="BL49" i="6"/>
  <c r="BL53" i="6"/>
  <c r="BL48" i="6"/>
  <c r="BL50" i="6"/>
  <c r="BL57" i="6"/>
  <c r="BM33" i="6"/>
  <c r="BM40" i="6"/>
  <c r="BL47" i="6"/>
  <c r="BM39" i="6"/>
  <c r="BO39" i="6"/>
  <c r="BO24" i="2"/>
  <c r="BJ24" i="2"/>
  <c r="BO32" i="7"/>
  <c r="BL58" i="6"/>
  <c r="BS40" i="6"/>
  <c r="BO59" i="3"/>
  <c r="BO34" i="6"/>
  <c r="BJ59" i="3"/>
  <c r="BM59" i="3"/>
  <c r="BQ33" i="6"/>
  <c r="BO40" i="6"/>
  <c r="BL12" i="2"/>
  <c r="BO33" i="6"/>
  <c r="BQ40" i="6"/>
  <c r="BL62" i="2"/>
  <c r="BQ62" i="2"/>
  <c r="BO62" i="2"/>
  <c r="BP62" i="2"/>
  <c r="BM62" i="2"/>
  <c r="BN62" i="2"/>
  <c r="BK62" i="2"/>
  <c r="BJ62" i="2"/>
  <c r="BQ19" i="3"/>
  <c r="BK59" i="3"/>
  <c r="BT19" i="3"/>
  <c r="BI59" i="3"/>
  <c r="BH163" i="8"/>
  <c r="BP59" i="6"/>
  <c r="BR59" i="6"/>
  <c r="BN59" i="6"/>
  <c r="BT59" i="6"/>
  <c r="BJ59" i="6"/>
  <c r="BL59" i="6"/>
  <c r="BM32" i="7"/>
  <c r="BH32" i="7"/>
  <c r="BP32" i="7"/>
  <c r="BI32" i="7"/>
  <c r="BL32" i="7"/>
  <c r="BR32" i="7"/>
  <c r="BS32" i="7"/>
  <c r="BQ32" i="7"/>
  <c r="BN32" i="7"/>
  <c r="BJ40" i="8"/>
  <c r="BK25" i="2"/>
  <c r="BO25" i="2"/>
  <c r="BJ170" i="8"/>
  <c r="BL25" i="2"/>
  <c r="BI40" i="8"/>
  <c r="BJ25" i="2"/>
  <c r="BM25" i="2"/>
  <c r="BQ170" i="8"/>
  <c r="BL40" i="8"/>
  <c r="BM40" i="8"/>
  <c r="BQ40" i="8"/>
  <c r="BP25" i="2"/>
  <c r="BR40" i="8"/>
  <c r="BR170" i="8"/>
  <c r="BO170" i="8"/>
  <c r="BI170" i="8"/>
  <c r="BK24" i="2"/>
  <c r="BL170" i="8"/>
  <c r="BN25" i="2"/>
  <c r="BN170" i="8"/>
  <c r="BM170" i="8"/>
  <c r="BM24" i="2"/>
  <c r="BL24" i="2"/>
  <c r="BK170" i="8"/>
  <c r="BK40" i="8"/>
  <c r="BS170" i="8"/>
  <c r="BF24" i="2"/>
  <c r="BN24" i="2"/>
  <c r="BP24" i="2"/>
  <c r="BT94" i="3"/>
  <c r="BT90" i="3"/>
  <c r="BJ91" i="3"/>
  <c r="BL91" i="3"/>
  <c r="BP100" i="8"/>
  <c r="BP147" i="8"/>
  <c r="BH100" i="8"/>
  <c r="BH147" i="8"/>
  <c r="BG62" i="2"/>
  <c r="BI39" i="6"/>
  <c r="BI40" i="6"/>
  <c r="BQ12" i="2"/>
  <c r="BT39" i="6"/>
  <c r="BT40" i="6"/>
  <c r="BP33" i="6"/>
  <c r="BP39" i="6"/>
  <c r="BP40" i="6"/>
  <c r="BL39" i="6"/>
  <c r="BL40" i="6"/>
  <c r="BO12" i="2"/>
  <c r="BR39" i="6"/>
  <c r="BR40" i="6"/>
  <c r="BN33" i="6"/>
  <c r="BN39" i="6"/>
  <c r="BN40" i="6"/>
  <c r="BJ33" i="6"/>
  <c r="BJ39" i="6"/>
  <c r="BJ40" i="6"/>
  <c r="BK39" i="6"/>
  <c r="BK40" i="6"/>
  <c r="AB73" i="5"/>
  <c r="BK20" i="3" s="1"/>
  <c r="BM19" i="3"/>
  <c r="BR93" i="3"/>
  <c r="BN19" i="3"/>
  <c r="BO19" i="3"/>
  <c r="BP19" i="3"/>
  <c r="BJ19" i="3"/>
  <c r="BS19" i="3"/>
  <c r="BR19" i="3"/>
  <c r="BN40" i="8"/>
  <c r="BO40" i="8"/>
  <c r="BS40" i="8"/>
  <c r="AB92" i="5"/>
  <c r="BK21" i="3" s="1"/>
  <c r="BM12" i="2"/>
  <c r="BK12" i="2"/>
  <c r="BR33" i="6"/>
  <c r="BT34" i="6"/>
  <c r="BJ34" i="6"/>
  <c r="AC100" i="5"/>
  <c r="BT33" i="6"/>
  <c r="BG12" i="2"/>
  <c r="AC107" i="5"/>
  <c r="AC92" i="5"/>
  <c r="BL21" i="3" s="1"/>
  <c r="BN34" i="6"/>
  <c r="BP34" i="6"/>
  <c r="BR34" i="6"/>
  <c r="BR57" i="6"/>
  <c r="BR53" i="6"/>
  <c r="BR49" i="6"/>
  <c r="BR47" i="6"/>
  <c r="BR55" i="6"/>
  <c r="BR54" i="6"/>
  <c r="BR50" i="6"/>
  <c r="BR58" i="6"/>
  <c r="BR52" i="6"/>
  <c r="BR56" i="6"/>
  <c r="BR51" i="6"/>
  <c r="BR48" i="6"/>
  <c r="BN58" i="6"/>
  <c r="BN54" i="6"/>
  <c r="BN49" i="6"/>
  <c r="BN47" i="6"/>
  <c r="BN55" i="6"/>
  <c r="BN53" i="6"/>
  <c r="BN50" i="6"/>
  <c r="BN57" i="6"/>
  <c r="BN51" i="6"/>
  <c r="BN52" i="6"/>
  <c r="BN56" i="6"/>
  <c r="BN48" i="6"/>
  <c r="BT57" i="6"/>
  <c r="BT54" i="6"/>
  <c r="BT52" i="6"/>
  <c r="BT51" i="6"/>
  <c r="BT48" i="6"/>
  <c r="BT58" i="6"/>
  <c r="BT56" i="6"/>
  <c r="BT49" i="6"/>
  <c r="BT47" i="6"/>
  <c r="BT55" i="6"/>
  <c r="BT53" i="6"/>
  <c r="BT50" i="6"/>
  <c r="BP58" i="6"/>
  <c r="BP52" i="6"/>
  <c r="BP56" i="6"/>
  <c r="BP51" i="6"/>
  <c r="BP48" i="6"/>
  <c r="BP57" i="6"/>
  <c r="BP53" i="6"/>
  <c r="BP49" i="6"/>
  <c r="BP47" i="6"/>
  <c r="BP55" i="6"/>
  <c r="BP54" i="6"/>
  <c r="BP50" i="6"/>
  <c r="BJ58" i="6"/>
  <c r="BJ52" i="6"/>
  <c r="BJ56" i="6"/>
  <c r="BJ51" i="6"/>
  <c r="BJ48" i="6"/>
  <c r="BJ57" i="6"/>
  <c r="BJ53" i="6"/>
  <c r="BJ49" i="6"/>
  <c r="BJ47" i="6"/>
  <c r="BJ55" i="6"/>
  <c r="BJ54" i="6"/>
  <c r="BJ50" i="6"/>
  <c r="BF25" i="2"/>
  <c r="BT88" i="3"/>
  <c r="BO89" i="3"/>
  <c r="BO93" i="3"/>
  <c r="BG25" i="2"/>
  <c r="BL33" i="6"/>
  <c r="BL34" i="6"/>
  <c r="BG24" i="2"/>
  <c r="BI33" i="6"/>
  <c r="BI34" i="6"/>
  <c r="BK33" i="6"/>
  <c r="BK34" i="6"/>
  <c r="BI12" i="2"/>
  <c r="BH12" i="2"/>
  <c r="BH24" i="2"/>
  <c r="BH25" i="2"/>
  <c r="BJ32" i="7"/>
  <c r="AB99" i="5"/>
  <c r="BH64" i="2"/>
  <c r="AB100" i="5"/>
  <c r="BI24" i="2"/>
  <c r="BI25" i="2"/>
  <c r="BK32" i="7"/>
  <c r="BF12" i="2"/>
  <c r="Z92" i="5"/>
  <c r="BI21" i="3" s="1"/>
  <c r="BF64" i="2"/>
  <c r="BI64" i="2"/>
  <c r="AC106" i="5"/>
  <c r="BI93" i="3"/>
  <c r="Z99" i="5"/>
  <c r="Z107" i="5"/>
  <c r="BL92" i="3"/>
  <c r="BL89" i="3"/>
  <c r="BL88" i="3"/>
  <c r="BR89" i="3"/>
  <c r="BP93" i="3"/>
  <c r="BL93" i="3"/>
  <c r="BL94" i="3" l="1"/>
  <c r="BR94" i="3"/>
  <c r="BR92" i="3"/>
  <c r="BR90" i="3"/>
  <c r="BR91" i="3"/>
  <c r="BR88" i="3"/>
  <c r="BL90" i="3"/>
  <c r="BM91" i="3"/>
  <c r="BI92" i="3"/>
  <c r="BI88" i="3"/>
  <c r="BI89" i="3"/>
  <c r="BI91" i="3"/>
  <c r="BN91" i="3"/>
  <c r="BT91" i="3"/>
  <c r="BP44" i="8"/>
  <c r="BN88" i="3"/>
  <c r="BN89" i="3"/>
  <c r="BN92" i="3"/>
  <c r="BN93" i="3"/>
  <c r="BI94" i="3"/>
  <c r="BM90" i="3"/>
  <c r="BN90" i="3"/>
  <c r="BK93" i="3"/>
  <c r="BJ92" i="3"/>
  <c r="BP88" i="3"/>
  <c r="BQ66" i="3"/>
  <c r="BQ93" i="3"/>
  <c r="BT93" i="3"/>
  <c r="BO94" i="3"/>
  <c r="BS88" i="3"/>
  <c r="BP161" i="8"/>
  <c r="BJ94" i="3"/>
  <c r="BP90" i="3"/>
  <c r="BJ93" i="3"/>
  <c r="BN94" i="3"/>
  <c r="BQ91" i="3"/>
  <c r="BQ94" i="3"/>
  <c r="BJ88" i="3"/>
  <c r="BS94" i="3"/>
  <c r="BQ90" i="3"/>
  <c r="BS92" i="3"/>
  <c r="BM92" i="3"/>
  <c r="BM89" i="3"/>
  <c r="BQ89" i="3"/>
  <c r="BP91" i="3"/>
  <c r="BS93" i="3"/>
  <c r="BQ88" i="3"/>
  <c r="BQ92" i="3"/>
  <c r="BJ89" i="3"/>
  <c r="BM94" i="3"/>
  <c r="BO91" i="3"/>
  <c r="BO92" i="3"/>
  <c r="BP94" i="3"/>
  <c r="BP92" i="3"/>
  <c r="BS90" i="3"/>
  <c r="BO90" i="3"/>
  <c r="BT92" i="3"/>
  <c r="BS91" i="3"/>
  <c r="BO88" i="3"/>
  <c r="BP89" i="3"/>
  <c r="BM88" i="3"/>
  <c r="BS89" i="3"/>
  <c r="BT89" i="3"/>
  <c r="BM93" i="3"/>
  <c r="BG51" i="2"/>
  <c r="BH104" i="8"/>
  <c r="BH51" i="2"/>
  <c r="BK51" i="2"/>
  <c r="BF51" i="2"/>
  <c r="BN51" i="2"/>
  <c r="BJ161" i="8"/>
  <c r="BP104" i="8"/>
  <c r="BI51" i="2"/>
  <c r="BO51" i="2"/>
  <c r="BM161" i="8"/>
  <c r="BJ51" i="2"/>
  <c r="BR161" i="8"/>
  <c r="BL161" i="8"/>
  <c r="BI161" i="8"/>
  <c r="BQ29" i="3"/>
  <c r="BT29" i="3"/>
  <c r="BK91" i="3"/>
  <c r="BJ90" i="3"/>
  <c r="BT66" i="3"/>
  <c r="BS44" i="8"/>
  <c r="BQ44" i="8"/>
  <c r="BO44" i="8"/>
  <c r="BM44" i="8"/>
  <c r="BN44" i="8"/>
  <c r="BK44" i="8"/>
  <c r="BR44" i="8"/>
  <c r="BL44" i="8"/>
  <c r="BI44" i="8"/>
  <c r="BJ44" i="8"/>
  <c r="BL51" i="2"/>
  <c r="BQ161" i="8"/>
  <c r="BK161" i="8"/>
  <c r="BP51" i="2"/>
  <c r="BK92" i="3"/>
  <c r="BK94" i="3"/>
  <c r="BK88" i="3"/>
  <c r="BI90" i="3"/>
  <c r="BK89" i="3"/>
  <c r="BK90" i="3"/>
  <c r="BH62" i="2"/>
  <c r="BF62" i="2"/>
  <c r="BI62" i="2"/>
  <c r="BO16" i="2"/>
  <c r="BI16" i="2"/>
  <c r="BF16" i="2"/>
  <c r="BL16" i="2"/>
  <c r="BK16" i="2"/>
  <c r="BI19" i="3"/>
  <c r="BE45" i="2"/>
  <c r="BS109" i="8"/>
  <c r="BM109" i="8"/>
  <c r="BN109" i="8"/>
  <c r="BQ109" i="8"/>
  <c r="BR109" i="8"/>
  <c r="BP170" i="8"/>
  <c r="BO109" i="8"/>
  <c r="BS161" i="8"/>
  <c r="BH170" i="8"/>
  <c r="BO161" i="8"/>
  <c r="BN161" i="8"/>
  <c r="BR66" i="3"/>
  <c r="BR29" i="3"/>
  <c r="BP29" i="3"/>
  <c r="BP66" i="3"/>
  <c r="BM29" i="3"/>
  <c r="BM66" i="3"/>
  <c r="BK19" i="3"/>
  <c r="BJ29" i="3"/>
  <c r="BJ66" i="3"/>
  <c r="BO29" i="3"/>
  <c r="BO66" i="3"/>
  <c r="BS66" i="3"/>
  <c r="BS29" i="3"/>
  <c r="BL19" i="3"/>
  <c r="BN29" i="3"/>
  <c r="BN66" i="3"/>
  <c r="BJ109" i="8"/>
  <c r="BK109" i="8"/>
  <c r="BI109" i="8"/>
  <c r="BL109" i="8"/>
  <c r="BL95" i="3"/>
  <c r="BP49" i="8" l="1"/>
  <c r="BR95" i="3"/>
  <c r="BI95" i="3"/>
  <c r="BN16" i="2"/>
  <c r="BN95" i="3"/>
  <c r="BP14" i="2"/>
  <c r="BN14" i="2"/>
  <c r="BQ14" i="2"/>
  <c r="BO14" i="2"/>
  <c r="BQ74" i="3"/>
  <c r="BQ16" i="2"/>
  <c r="BO95" i="3"/>
  <c r="BJ16" i="2"/>
  <c r="BP16" i="2"/>
  <c r="BT78" i="3"/>
  <c r="BG16" i="2"/>
  <c r="BO44" i="2"/>
  <c r="BS49" i="8"/>
  <c r="BN123" i="8"/>
  <c r="BH44" i="2"/>
  <c r="BF44" i="2"/>
  <c r="BM44" i="2"/>
  <c r="BG44" i="2"/>
  <c r="BJ44" i="2"/>
  <c r="BT75" i="3"/>
  <c r="BQ79" i="3"/>
  <c r="BT80" i="3"/>
  <c r="BT77" i="3"/>
  <c r="BT76" i="3"/>
  <c r="BT74" i="3"/>
  <c r="BM95" i="3"/>
  <c r="BQ95" i="3"/>
  <c r="BQ10" i="2"/>
  <c r="BT79" i="3"/>
  <c r="BP95" i="3"/>
  <c r="BJ95" i="3"/>
  <c r="BT95" i="3"/>
  <c r="BT73" i="3"/>
  <c r="BM16" i="2"/>
  <c r="BS95" i="3"/>
  <c r="BI49" i="8"/>
  <c r="BJ49" i="8"/>
  <c r="BQ75" i="3"/>
  <c r="BQ73" i="3"/>
  <c r="BQ77" i="3"/>
  <c r="BQ80" i="3"/>
  <c r="BN10" i="2"/>
  <c r="BQ76" i="3"/>
  <c r="BQ78" i="3"/>
  <c r="BM123" i="8"/>
  <c r="BN44" i="2"/>
  <c r="BN107" i="8"/>
  <c r="BO123" i="8"/>
  <c r="BQ123" i="8"/>
  <c r="BS123" i="8"/>
  <c r="BR49" i="8"/>
  <c r="BR153" i="8"/>
  <c r="BJ14" i="2"/>
  <c r="BK14" i="2"/>
  <c r="BG14" i="2"/>
  <c r="BM14" i="2"/>
  <c r="BL14" i="2"/>
  <c r="BH16" i="2"/>
  <c r="BR123" i="8"/>
  <c r="BN153" i="8"/>
  <c r="BM153" i="8"/>
  <c r="BQ153" i="8"/>
  <c r="BK95" i="3"/>
  <c r="BO153" i="8"/>
  <c r="BS153" i="8"/>
  <c r="BO107" i="8"/>
  <c r="BI29" i="3"/>
  <c r="BI66" i="3"/>
  <c r="BM77" i="3"/>
  <c r="BJ77" i="3"/>
  <c r="BN77" i="3"/>
  <c r="BP77" i="3"/>
  <c r="BP44" i="2"/>
  <c r="BM49" i="8"/>
  <c r="BR107" i="8"/>
  <c r="BM107" i="8"/>
  <c r="BL44" i="2"/>
  <c r="BH109" i="8"/>
  <c r="BO49" i="8"/>
  <c r="BP109" i="8"/>
  <c r="BM51" i="2"/>
  <c r="BS107" i="8"/>
  <c r="BN49" i="8"/>
  <c r="BK44" i="2"/>
  <c r="BE51" i="2"/>
  <c r="BQ49" i="8"/>
  <c r="BQ107" i="8"/>
  <c r="BI123" i="8"/>
  <c r="BI107" i="8"/>
  <c r="BK123" i="8"/>
  <c r="BK107" i="8"/>
  <c r="BL123" i="8"/>
  <c r="BL107" i="8"/>
  <c r="BJ123" i="8"/>
  <c r="BJ107" i="8"/>
  <c r="BP63" i="8"/>
  <c r="BP47" i="8"/>
  <c r="BJ80" i="3"/>
  <c r="BG10" i="2"/>
  <c r="BJ76" i="3"/>
  <c r="BJ79" i="3"/>
  <c r="BJ73" i="3"/>
  <c r="BJ75" i="3"/>
  <c r="BJ74" i="3"/>
  <c r="BJ78" i="3"/>
  <c r="BR80" i="3"/>
  <c r="BR79" i="3"/>
  <c r="BR78" i="3"/>
  <c r="BR75" i="3"/>
  <c r="BR77" i="3"/>
  <c r="BR73" i="3"/>
  <c r="BR76" i="3"/>
  <c r="BO10" i="2"/>
  <c r="BR74" i="3"/>
  <c r="BO80" i="3"/>
  <c r="BO73" i="3"/>
  <c r="BO76" i="3"/>
  <c r="BO75" i="3"/>
  <c r="BO79" i="3"/>
  <c r="BL10" i="2"/>
  <c r="BO74" i="3"/>
  <c r="BO78" i="3"/>
  <c r="BN80" i="3"/>
  <c r="BN74" i="3"/>
  <c r="BK10" i="2"/>
  <c r="BN76" i="3"/>
  <c r="BN73" i="3"/>
  <c r="BN75" i="3"/>
  <c r="BN79" i="3"/>
  <c r="BN78" i="3"/>
  <c r="BS80" i="3"/>
  <c r="BS79" i="3"/>
  <c r="BS74" i="3"/>
  <c r="BS76" i="3"/>
  <c r="BS73" i="3"/>
  <c r="BS78" i="3"/>
  <c r="BS75" i="3"/>
  <c r="BS77" i="3"/>
  <c r="BP10" i="2"/>
  <c r="BP80" i="3"/>
  <c r="BP75" i="3"/>
  <c r="BM10" i="2"/>
  <c r="BP74" i="3"/>
  <c r="BP79" i="3"/>
  <c r="BP73" i="3"/>
  <c r="BP76" i="3"/>
  <c r="BP78" i="3"/>
  <c r="BL29" i="3"/>
  <c r="BL66" i="3"/>
  <c r="BO77" i="3"/>
  <c r="BK29" i="3"/>
  <c r="BK66" i="3"/>
  <c r="BM80" i="3"/>
  <c r="BJ10" i="2"/>
  <c r="BM75" i="3"/>
  <c r="BM73" i="3"/>
  <c r="BM76" i="3"/>
  <c r="BM74" i="3"/>
  <c r="BM79" i="3"/>
  <c r="BM78" i="3"/>
  <c r="BJ153" i="8"/>
  <c r="BK49" i="8"/>
  <c r="BK153" i="8"/>
  <c r="BI44" i="2"/>
  <c r="BL153" i="8"/>
  <c r="BL49" i="8"/>
  <c r="BI153" i="8"/>
  <c r="BP139" i="8"/>
  <c r="BS47" i="8" l="1"/>
  <c r="BO121" i="8"/>
  <c r="BN121" i="8"/>
  <c r="BO172" i="8"/>
  <c r="BS139" i="8"/>
  <c r="BH123" i="8"/>
  <c r="BQ171" i="8"/>
  <c r="BS63" i="8"/>
  <c r="BN36" i="2"/>
  <c r="BO171" i="8"/>
  <c r="BN15" i="2"/>
  <c r="BQ15" i="2"/>
  <c r="BQ121" i="8"/>
  <c r="BP36" i="2"/>
  <c r="BL36" i="2"/>
  <c r="BR171" i="8"/>
  <c r="BT81" i="3"/>
  <c r="BI75" i="3"/>
  <c r="BJ36" i="2"/>
  <c r="BM121" i="8"/>
  <c r="BI47" i="8"/>
  <c r="BJ47" i="8"/>
  <c r="BR63" i="8"/>
  <c r="BN172" i="8"/>
  <c r="BI63" i="8"/>
  <c r="BJ63" i="8"/>
  <c r="BI139" i="8"/>
  <c r="BR139" i="8"/>
  <c r="BK36" i="2"/>
  <c r="BJ139" i="8"/>
  <c r="BN171" i="8"/>
  <c r="BQ81" i="3"/>
  <c r="BR172" i="8"/>
  <c r="BO36" i="2"/>
  <c r="BR47" i="8"/>
  <c r="BQ172" i="8"/>
  <c r="BS121" i="8"/>
  <c r="BN47" i="8"/>
  <c r="BP153" i="8"/>
  <c r="BS172" i="8"/>
  <c r="BO47" i="8"/>
  <c r="BM171" i="8"/>
  <c r="BH153" i="8"/>
  <c r="BM172" i="8"/>
  <c r="BR121" i="8"/>
  <c r="BF14" i="2"/>
  <c r="BH14" i="2"/>
  <c r="BI14" i="2"/>
  <c r="BI78" i="3"/>
  <c r="BN63" i="8"/>
  <c r="BS171" i="8"/>
  <c r="BP123" i="8"/>
  <c r="BF10" i="2"/>
  <c r="BI80" i="3"/>
  <c r="BI79" i="3"/>
  <c r="BI74" i="3"/>
  <c r="BI73" i="3"/>
  <c r="BI76" i="3"/>
  <c r="BO139" i="8"/>
  <c r="BO63" i="8"/>
  <c r="BI77" i="3"/>
  <c r="BP15" i="2"/>
  <c r="BK77" i="3"/>
  <c r="BL15" i="2"/>
  <c r="BH162" i="8"/>
  <c r="BJ15" i="2"/>
  <c r="BM15" i="2"/>
  <c r="BK15" i="2"/>
  <c r="BG15" i="2"/>
  <c r="BO15" i="2"/>
  <c r="BR61" i="8"/>
  <c r="BH121" i="8"/>
  <c r="BK121" i="8"/>
  <c r="BJ61" i="8"/>
  <c r="BP107" i="8"/>
  <c r="BH107" i="8"/>
  <c r="BM139" i="8"/>
  <c r="BM63" i="8"/>
  <c r="BM47" i="8"/>
  <c r="BL121" i="8"/>
  <c r="BN139" i="8"/>
  <c r="BI121" i="8"/>
  <c r="BP61" i="8"/>
  <c r="BJ121" i="8"/>
  <c r="BQ63" i="8"/>
  <c r="BQ47" i="8"/>
  <c r="BQ139" i="8"/>
  <c r="BL171" i="8"/>
  <c r="BL172" i="8"/>
  <c r="BJ171" i="8"/>
  <c r="BJ172" i="8"/>
  <c r="BP162" i="8"/>
  <c r="BP163" i="8"/>
  <c r="BI172" i="8"/>
  <c r="BI171" i="8"/>
  <c r="BK172" i="8"/>
  <c r="BK171" i="8"/>
  <c r="BK63" i="8"/>
  <c r="BK47" i="8"/>
  <c r="BL63" i="8"/>
  <c r="BL47" i="8"/>
  <c r="BM81" i="3"/>
  <c r="BR81" i="3"/>
  <c r="BP81" i="3"/>
  <c r="BN81" i="3"/>
  <c r="BO81" i="3"/>
  <c r="BL80" i="3"/>
  <c r="BL76" i="3"/>
  <c r="BL74" i="3"/>
  <c r="BL75" i="3"/>
  <c r="BI10" i="2"/>
  <c r="BL73" i="3"/>
  <c r="BL79" i="3"/>
  <c r="BL78" i="3"/>
  <c r="BK80" i="3"/>
  <c r="BK73" i="3"/>
  <c r="BH10" i="2"/>
  <c r="BK76" i="3"/>
  <c r="BK75" i="3"/>
  <c r="BK74" i="3"/>
  <c r="BK79" i="3"/>
  <c r="BK78" i="3"/>
  <c r="BL77" i="3"/>
  <c r="BS81" i="3"/>
  <c r="BJ81" i="3"/>
  <c r="BG27" i="2"/>
  <c r="BF27" i="2"/>
  <c r="BG36" i="2"/>
  <c r="BH36" i="2"/>
  <c r="BK139" i="8"/>
  <c r="BF36" i="2"/>
  <c r="BI36" i="2"/>
  <c r="BL139" i="8"/>
  <c r="BM27" i="2"/>
  <c r="BS163" i="8" l="1"/>
  <c r="BP27" i="2"/>
  <c r="BS162" i="8"/>
  <c r="BP171" i="8"/>
  <c r="BS61" i="8"/>
  <c r="BL52" i="2"/>
  <c r="BI61" i="8"/>
  <c r="BE36" i="2"/>
  <c r="BP172" i="8"/>
  <c r="BP52" i="2"/>
  <c r="BR163" i="8"/>
  <c r="BJ163" i="8"/>
  <c r="BR162" i="8"/>
  <c r="BJ162" i="8"/>
  <c r="BI162" i="8"/>
  <c r="BO52" i="2"/>
  <c r="BN52" i="2"/>
  <c r="BI163" i="8"/>
  <c r="BO27" i="2"/>
  <c r="BK52" i="2"/>
  <c r="BH172" i="8"/>
  <c r="BH171" i="8"/>
  <c r="BM36" i="2"/>
  <c r="BJ52" i="2"/>
  <c r="BL27" i="2"/>
  <c r="BN61" i="8"/>
  <c r="BO61" i="8"/>
  <c r="BP121" i="8"/>
  <c r="BF15" i="2"/>
  <c r="BO163" i="8"/>
  <c r="BI81" i="3"/>
  <c r="BO162" i="8"/>
  <c r="BI15" i="2"/>
  <c r="BH15" i="2"/>
  <c r="BQ162" i="8"/>
  <c r="BQ163" i="8"/>
  <c r="BN27" i="2"/>
  <c r="BK61" i="8"/>
  <c r="BM45" i="2"/>
  <c r="BM61" i="8"/>
  <c r="BL61" i="8"/>
  <c r="BP45" i="2"/>
  <c r="BQ61" i="8"/>
  <c r="BK27" i="2"/>
  <c r="BN163" i="8"/>
  <c r="BN162" i="8"/>
  <c r="BJ27" i="2"/>
  <c r="BM163" i="8"/>
  <c r="BM162" i="8"/>
  <c r="BL162" i="8"/>
  <c r="BL163" i="8"/>
  <c r="BK162" i="8"/>
  <c r="BK163" i="8"/>
  <c r="BK81" i="3"/>
  <c r="BL81" i="3"/>
  <c r="BG52" i="2"/>
  <c r="BH27" i="2"/>
  <c r="BH52" i="2"/>
  <c r="BI52" i="2"/>
  <c r="BF52" i="2"/>
  <c r="BI27" i="2"/>
  <c r="BG45" i="2" l="1"/>
  <c r="BM52" i="2"/>
  <c r="BO45" i="2"/>
  <c r="BE52" i="2"/>
  <c r="BF45" i="2"/>
  <c r="BL45" i="2"/>
  <c r="BJ45" i="2"/>
  <c r="BK45" i="2"/>
  <c r="BN45" i="2"/>
  <c r="BH45" i="2"/>
  <c r="BI45" i="2"/>
  <c r="BB131" i="8" l="1"/>
  <c r="BB145" i="8"/>
  <c r="BB76" i="8"/>
  <c r="BB16" i="8"/>
  <c r="BB40" i="8" l="1"/>
  <c r="BB100" i="8"/>
  <c r="AY34" i="2"/>
  <c r="AY25" i="2"/>
  <c r="AY24" i="2"/>
  <c r="AY33" i="2"/>
  <c r="BB104" i="8" l="1"/>
  <c r="BB44" i="8"/>
  <c r="BB161" i="8"/>
  <c r="BB170" i="8"/>
  <c r="BB109" i="8" l="1"/>
  <c r="BB49" i="8"/>
  <c r="AY44" i="2"/>
  <c r="AY51" i="2"/>
  <c r="BB153" i="8" l="1"/>
  <c r="BB107" i="8"/>
  <c r="BB47" i="8"/>
  <c r="BB139" i="8"/>
  <c r="AY36" i="2" l="1"/>
  <c r="BB163" i="8"/>
  <c r="BB162" i="8"/>
  <c r="BB172" i="8"/>
  <c r="BB171" i="8"/>
  <c r="AY27" i="2"/>
  <c r="AY52" i="2" l="1"/>
  <c r="AY45" i="2"/>
  <c r="AT44" i="2" l="1"/>
  <c r="AW49" i="8"/>
  <c r="AT51" i="2"/>
  <c r="AW109" i="8"/>
  <c r="AW107" i="8" l="1"/>
  <c r="AW47" i="8"/>
  <c r="AW153" i="8"/>
  <c r="AW139" i="8"/>
  <c r="AW163" i="8" l="1"/>
  <c r="AW162" i="8"/>
  <c r="AW172" i="8"/>
  <c r="AW171" i="8"/>
  <c r="AT27" i="2"/>
  <c r="AT36" i="2"/>
  <c r="AT45" i="2" l="1"/>
  <c r="AT52" i="2"/>
  <c r="AT63" i="8"/>
  <c r="AT123" i="8"/>
  <c r="AT121" i="8" l="1"/>
  <c r="AT61" i="8"/>
  <c r="AW63" i="8"/>
  <c r="AW61" i="8" l="1"/>
  <c r="AO24" i="2"/>
  <c r="AR40" i="8"/>
  <c r="AR44" i="8" l="1"/>
  <c r="AR161" i="8"/>
  <c r="AO44" i="2" l="1"/>
  <c r="AR49" i="8"/>
  <c r="AR109" i="8"/>
  <c r="AO51" i="2"/>
  <c r="AR63" i="8" l="1"/>
  <c r="AR47" i="8"/>
  <c r="AR123" i="8"/>
  <c r="AR107" i="8"/>
  <c r="AR153" i="8"/>
  <c r="AR139" i="8"/>
  <c r="AR61" i="8" l="1"/>
  <c r="AR121" i="8"/>
  <c r="AR163" i="8"/>
  <c r="AR162" i="8"/>
  <c r="AR171" i="8"/>
  <c r="AR172" i="8"/>
  <c r="AO36" i="2"/>
  <c r="AO27" i="2"/>
  <c r="AO52" i="2" l="1"/>
  <c r="AO45" i="2"/>
  <c r="AU123" i="8"/>
  <c r="AU63" i="8"/>
  <c r="AU61" i="8" l="1"/>
  <c r="AU121" i="8"/>
  <c r="AK33" i="2" l="1"/>
  <c r="AN100" i="8" l="1"/>
  <c r="AN104" i="8" l="1"/>
  <c r="AK51" i="2"/>
  <c r="AN109" i="8" l="1"/>
  <c r="AN153" i="8" l="1"/>
  <c r="AN171" i="8"/>
  <c r="AN172" i="8"/>
  <c r="AK36" i="2" l="1"/>
  <c r="AK52" i="2"/>
  <c r="BF73" i="8"/>
  <c r="BG73" i="8"/>
  <c r="BF149" i="8" l="1"/>
  <c r="BG149" i="8"/>
  <c r="BG199" i="8"/>
  <c r="BG131" i="8"/>
  <c r="BG16" i="8"/>
  <c r="BD24" i="2"/>
  <c r="BF145" i="8"/>
  <c r="BF76" i="8"/>
  <c r="BG145" i="8"/>
  <c r="BG76" i="8"/>
  <c r="BG200" i="8" l="1"/>
  <c r="BC33" i="2"/>
  <c r="BF100" i="8"/>
  <c r="BC34" i="2"/>
  <c r="BD34" i="2"/>
  <c r="BD33" i="2"/>
  <c r="BG40" i="8"/>
  <c r="BD25" i="2"/>
  <c r="BG100" i="8"/>
  <c r="BG201" i="8"/>
  <c r="BG227" i="8"/>
  <c r="BF227" i="8"/>
  <c r="BF104" i="8" l="1"/>
  <c r="BG104" i="8"/>
  <c r="BG44" i="8"/>
  <c r="BF228" i="8"/>
  <c r="BG228" i="8"/>
  <c r="BG170" i="8"/>
  <c r="BG161" i="8"/>
  <c r="BF170" i="8"/>
  <c r="BG109" i="8" l="1"/>
  <c r="BG49" i="8"/>
  <c r="BF109" i="8"/>
  <c r="BC51" i="2"/>
  <c r="BD51" i="2"/>
  <c r="BD44" i="2"/>
  <c r="AP73" i="8"/>
  <c r="AO13" i="8"/>
  <c r="BG107" i="8" l="1"/>
  <c r="BG153" i="8"/>
  <c r="BG47" i="8"/>
  <c r="BG139" i="8"/>
  <c r="BF107" i="8"/>
  <c r="BF153" i="8"/>
  <c r="AP149" i="8"/>
  <c r="AO135" i="8"/>
  <c r="AN13" i="8"/>
  <c r="AP145" i="8"/>
  <c r="AO131" i="8"/>
  <c r="AO16" i="8"/>
  <c r="AP76" i="8"/>
  <c r="BD27" i="2" l="1"/>
  <c r="BG172" i="8"/>
  <c r="BG171" i="8"/>
  <c r="BD36" i="2"/>
  <c r="BG162" i="8"/>
  <c r="BG163" i="8"/>
  <c r="BF171" i="8"/>
  <c r="BC36" i="2"/>
  <c r="BF172" i="8"/>
  <c r="AN135" i="8"/>
  <c r="AO40" i="8"/>
  <c r="AL24" i="2"/>
  <c r="AL25" i="2"/>
  <c r="AN131" i="8"/>
  <c r="AN16" i="8"/>
  <c r="AM33" i="2"/>
  <c r="AM34" i="2"/>
  <c r="AP100" i="8"/>
  <c r="AM24" i="2"/>
  <c r="BD52" i="2" l="1"/>
  <c r="BD45" i="2"/>
  <c r="AP104" i="8"/>
  <c r="AO44" i="8"/>
  <c r="BC52" i="2"/>
  <c r="AO161" i="8"/>
  <c r="AN161" i="8"/>
  <c r="AN40" i="8"/>
  <c r="AK24" i="2"/>
  <c r="AK25" i="2"/>
  <c r="AP170" i="8"/>
  <c r="AM25" i="2"/>
  <c r="AN44" i="8" l="1"/>
  <c r="AL44" i="2"/>
  <c r="AO49" i="8"/>
  <c r="AP109" i="8"/>
  <c r="AM51" i="2"/>
  <c r="AM44" i="2"/>
  <c r="AP49" i="8"/>
  <c r="AO139" i="8" l="1"/>
  <c r="AN49" i="8"/>
  <c r="AK44" i="2"/>
  <c r="AP153" i="8"/>
  <c r="AP139" i="8"/>
  <c r="AL27" i="2" l="1"/>
  <c r="AO162" i="8"/>
  <c r="AO163" i="8"/>
  <c r="AP171" i="8"/>
  <c r="AP172" i="8"/>
  <c r="AP163" i="8"/>
  <c r="AP162" i="8"/>
  <c r="AN139" i="8"/>
  <c r="AM36" i="2"/>
  <c r="AM27" i="2"/>
  <c r="AL45" i="2" l="1"/>
  <c r="AN162" i="8"/>
  <c r="AN163" i="8"/>
  <c r="AK27" i="2"/>
  <c r="AM52" i="2"/>
  <c r="AM45" i="2"/>
  <c r="AK45" i="2" l="1"/>
  <c r="AM73" i="8" l="1"/>
  <c r="AM10" i="8"/>
  <c r="AM149" i="8" l="1"/>
  <c r="AL70" i="8"/>
  <c r="AM76" i="8"/>
  <c r="AM13" i="8"/>
  <c r="AM145" i="8"/>
  <c r="AM135" i="8" l="1"/>
  <c r="AL73" i="8"/>
  <c r="AM16" i="8"/>
  <c r="AM131" i="8"/>
  <c r="AJ34" i="2"/>
  <c r="AJ33" i="2"/>
  <c r="AM170" i="8"/>
  <c r="AL149" i="8" l="1"/>
  <c r="AL145" i="8"/>
  <c r="AJ25" i="2"/>
  <c r="AJ24" i="2"/>
  <c r="AL76" i="8"/>
  <c r="AM161" i="8"/>
  <c r="AJ51" i="2"/>
  <c r="AL170" i="8" l="1"/>
  <c r="AI33" i="2"/>
  <c r="AI34" i="2"/>
  <c r="AJ44" i="2"/>
  <c r="AL107" i="8"/>
  <c r="AI51" i="2" l="1"/>
  <c r="AJ121" i="8"/>
  <c r="AL122" i="8"/>
  <c r="AL121" i="8"/>
  <c r="AJ122" i="8"/>
  <c r="AK122" i="8"/>
  <c r="AK121" i="8"/>
  <c r="AI213" i="4" l="1"/>
  <c r="AI214" i="4"/>
  <c r="AF59" i="2"/>
  <c r="AK213" i="4"/>
  <c r="AH59" i="2"/>
  <c r="AK214" i="4"/>
  <c r="AI216" i="4"/>
  <c r="AL213" i="4"/>
  <c r="AL214" i="4"/>
  <c r="AI59" i="2"/>
  <c r="AL216" i="4"/>
  <c r="AM214" i="4"/>
  <c r="AM213" i="4"/>
  <c r="AJ59" i="2"/>
  <c r="AK216" i="4"/>
  <c r="AM216" i="4"/>
  <c r="AI62" i="2" l="1"/>
  <c r="AJ62" i="2"/>
  <c r="AF61" i="2"/>
  <c r="AJ61" i="2"/>
  <c r="AH61" i="2"/>
  <c r="AK222" i="4"/>
  <c r="AI222" i="4"/>
  <c r="AM222" i="4"/>
  <c r="AL222" i="4"/>
  <c r="AF62" i="2"/>
  <c r="AI61" i="2"/>
  <c r="AH62" i="2"/>
  <c r="AG107" i="8"/>
  <c r="AF107" i="8"/>
  <c r="AF123" i="8" l="1"/>
  <c r="AF153" i="8"/>
  <c r="AG139" i="8"/>
  <c r="AG63" i="8"/>
  <c r="AG163" i="8" l="1"/>
  <c r="AG162" i="8"/>
  <c r="AF171" i="8"/>
  <c r="AF172" i="8"/>
  <c r="AG153" i="8"/>
  <c r="AG123" i="8"/>
  <c r="AC36" i="2"/>
  <c r="AD27" i="2"/>
  <c r="AD45" i="2" l="1"/>
  <c r="AG172" i="8"/>
  <c r="AG171" i="8"/>
  <c r="AC52" i="2"/>
  <c r="AD36" i="2"/>
  <c r="AD52" i="2" l="1"/>
  <c r="AG228" i="8"/>
  <c r="AC257" i="8" l="1"/>
  <c r="AC273" i="8"/>
  <c r="AC274" i="8" l="1"/>
  <c r="AC285" i="8" l="1"/>
  <c r="AC225" i="8" l="1"/>
  <c r="AD198" i="8"/>
  <c r="AD225" i="8"/>
  <c r="AD200" i="8" l="1"/>
  <c r="AD201" i="8"/>
  <c r="AD226" i="8"/>
  <c r="AC226" i="8"/>
  <c r="AD228" i="8" l="1"/>
  <c r="AC228" i="8"/>
  <c r="AJ40" i="8"/>
  <c r="AJ44" i="8" l="1"/>
  <c r="AJ49" i="8" l="1"/>
  <c r="AJ63" i="8" l="1"/>
  <c r="AJ139" i="8"/>
  <c r="AG27" i="2"/>
  <c r="AJ162" i="8" l="1"/>
  <c r="AJ163" i="8"/>
  <c r="AK100" i="8"/>
  <c r="AJ100" i="8"/>
  <c r="AL40" i="8"/>
  <c r="AK40" i="8"/>
  <c r="AJ104" i="8" l="1"/>
  <c r="AK104" i="8"/>
  <c r="AK44" i="8"/>
  <c r="AL44" i="8"/>
  <c r="AG45" i="2"/>
  <c r="AL49" i="8" l="1"/>
  <c r="AK49" i="8"/>
  <c r="AL63" i="8" l="1"/>
  <c r="AL139" i="8"/>
  <c r="AK139" i="8"/>
  <c r="AK63" i="8"/>
  <c r="AK109" i="8"/>
  <c r="AJ109" i="8"/>
  <c r="AM91" i="8"/>
  <c r="AL91" i="8"/>
  <c r="AM40" i="8"/>
  <c r="AL92" i="8"/>
  <c r="AM92" i="8"/>
  <c r="AM44" i="8" l="1"/>
  <c r="AM100" i="8"/>
  <c r="AL100" i="8"/>
  <c r="AJ153" i="8"/>
  <c r="AJ123" i="8"/>
  <c r="AK123" i="8"/>
  <c r="AK153" i="8"/>
  <c r="AL162" i="8"/>
  <c r="AI27" i="2"/>
  <c r="AL163" i="8"/>
  <c r="AH27" i="2"/>
  <c r="AK163" i="8"/>
  <c r="AK162" i="8"/>
  <c r="AM104" i="8" l="1"/>
  <c r="AL104" i="8"/>
  <c r="AI45" i="2"/>
  <c r="AH45" i="2"/>
  <c r="AM49" i="8"/>
  <c r="AK171" i="8"/>
  <c r="AH36" i="2"/>
  <c r="AK172" i="8"/>
  <c r="AJ172" i="8"/>
  <c r="AG36" i="2"/>
  <c r="AJ171" i="8"/>
  <c r="AM109" i="8" l="1"/>
  <c r="AH52" i="2"/>
  <c r="AG52" i="2"/>
  <c r="AL109" i="8"/>
  <c r="AM139" i="8"/>
  <c r="AM153" i="8" l="1"/>
  <c r="AM162" i="8"/>
  <c r="AJ27" i="2"/>
  <c r="AM163" i="8"/>
  <c r="AL153" i="8"/>
  <c r="AM171" i="8" l="1"/>
  <c r="AM172" i="8"/>
  <c r="AJ36" i="2"/>
  <c r="AL172" i="8"/>
  <c r="AL171" i="8"/>
  <c r="AI36" i="2"/>
  <c r="AJ45" i="2"/>
  <c r="AJ52" i="2" l="1"/>
  <c r="AI52" i="2"/>
  <c r="Y47" i="3" l="1"/>
  <c r="Y59" i="3" l="1"/>
  <c r="Y91" i="3" l="1"/>
  <c r="Y89" i="3"/>
  <c r="Y88" i="3"/>
  <c r="Y92" i="3"/>
  <c r="Y90" i="3"/>
  <c r="Y93" i="3"/>
  <c r="Y94" i="3"/>
  <c r="V16" i="2" l="1"/>
  <c r="Y95" i="3"/>
  <c r="D47" i="3" l="1"/>
  <c r="E47" i="3"/>
  <c r="C47" i="3"/>
  <c r="D59" i="3" l="1"/>
  <c r="E59" i="3"/>
  <c r="C59" i="3"/>
  <c r="T19" i="3" l="1"/>
  <c r="E20" i="3"/>
  <c r="D20" i="3"/>
  <c r="C20" i="3"/>
  <c r="E21" i="3"/>
  <c r="C21" i="3"/>
  <c r="D21" i="3"/>
  <c r="T66" i="3" l="1"/>
  <c r="T29" i="3"/>
  <c r="C19" i="3"/>
  <c r="E19" i="3"/>
  <c r="D19" i="3"/>
  <c r="P162" i="8" l="1"/>
  <c r="Q162" i="8"/>
  <c r="Q14" i="2"/>
  <c r="R162" i="8"/>
  <c r="T77" i="3"/>
  <c r="S162" i="8"/>
  <c r="S171" i="8"/>
  <c r="Q10" i="2"/>
  <c r="T75" i="3"/>
  <c r="T73" i="3"/>
  <c r="T80" i="3"/>
  <c r="T76" i="3"/>
  <c r="T74" i="3"/>
  <c r="D29" i="3"/>
  <c r="E29" i="3"/>
  <c r="C29" i="3"/>
  <c r="T79" i="3"/>
  <c r="T78" i="3"/>
  <c r="Q15" i="2" l="1"/>
  <c r="T81" i="3"/>
  <c r="S213" i="4" l="1"/>
  <c r="S214" i="4"/>
  <c r="S216" i="4"/>
  <c r="P59" i="2"/>
  <c r="P61" i="2" l="1"/>
  <c r="P62" i="2"/>
  <c r="S222" i="4"/>
  <c r="D55" i="4"/>
  <c r="C55" i="4"/>
  <c r="S24" i="4"/>
  <c r="E55" i="4"/>
  <c r="C24" i="4" l="1"/>
  <c r="E24" i="4"/>
  <c r="P11" i="2"/>
  <c r="D24" i="4"/>
  <c r="E164" i="8" l="1"/>
  <c r="C173" i="8"/>
  <c r="E173" i="8"/>
  <c r="N147" i="8" l="1"/>
  <c r="N149" i="8"/>
  <c r="N100" i="8"/>
  <c r="O135" i="8"/>
  <c r="O40" i="8"/>
  <c r="E135" i="8" l="1"/>
  <c r="E40" i="8"/>
  <c r="N104" i="8"/>
  <c r="O44" i="8"/>
  <c r="L24" i="2"/>
  <c r="O161" i="8"/>
  <c r="O133" i="8"/>
  <c r="K33" i="2"/>
  <c r="O77" i="8"/>
  <c r="N170" i="8"/>
  <c r="E161" i="8" l="1"/>
  <c r="E133" i="8"/>
  <c r="E44" i="8"/>
  <c r="L44" i="2"/>
  <c r="O47" i="8"/>
  <c r="K51" i="2"/>
  <c r="O100" i="8"/>
  <c r="O147" i="8"/>
  <c r="O149" i="8"/>
  <c r="E147" i="8" l="1"/>
  <c r="E100" i="8"/>
  <c r="E149" i="8"/>
  <c r="C147" i="8"/>
  <c r="O107" i="8"/>
  <c r="O49" i="8"/>
  <c r="N107" i="8"/>
  <c r="O104" i="8"/>
  <c r="C100" i="8"/>
  <c r="L33" i="2"/>
  <c r="O170" i="8"/>
  <c r="C149" i="8"/>
  <c r="E104" i="8" l="1"/>
  <c r="E170" i="8"/>
  <c r="E49" i="8"/>
  <c r="O61" i="8"/>
  <c r="O109" i="8"/>
  <c r="O139" i="8"/>
  <c r="N109" i="8"/>
  <c r="C104" i="8"/>
  <c r="L51" i="2"/>
  <c r="C170" i="8"/>
  <c r="E139" i="8" l="1"/>
  <c r="N121" i="8"/>
  <c r="O162" i="8"/>
  <c r="O163" i="8"/>
  <c r="L27" i="2"/>
  <c r="O153" i="8"/>
  <c r="O123" i="8"/>
  <c r="N153" i="8"/>
  <c r="E109" i="8"/>
  <c r="N123" i="8"/>
  <c r="C109" i="8"/>
  <c r="O121" i="8"/>
  <c r="O63" i="8"/>
  <c r="E163" i="8" l="1"/>
  <c r="E162" i="8"/>
  <c r="L45" i="2"/>
  <c r="L36" i="2"/>
  <c r="O171" i="8"/>
  <c r="O172" i="8"/>
  <c r="K36" i="2"/>
  <c r="N172" i="8"/>
  <c r="E153" i="8"/>
  <c r="C153" i="8"/>
  <c r="N171" i="8"/>
  <c r="L52" i="2" l="1"/>
  <c r="E171" i="8"/>
  <c r="C171" i="8"/>
  <c r="K52" i="2"/>
  <c r="C172" i="8"/>
  <c r="E172" i="8"/>
  <c r="AL115" i="8" l="1"/>
  <c r="AL114" i="8"/>
  <c r="AL113" i="8"/>
  <c r="AM115" i="8"/>
  <c r="AL112" i="8"/>
  <c r="AM114" i="8"/>
  <c r="AM112" i="8"/>
  <c r="AM113" i="8"/>
  <c r="AM63" i="8"/>
  <c r="AO63" i="8"/>
  <c r="AO112" i="8"/>
  <c r="AO113" i="8"/>
  <c r="AP112" i="8"/>
  <c r="AO115" i="8"/>
  <c r="AP115" i="8"/>
  <c r="AO114" i="8"/>
  <c r="AP114" i="8"/>
  <c r="AP113" i="8"/>
  <c r="AP63" i="8"/>
  <c r="AN119" i="8"/>
  <c r="AN114" i="8"/>
  <c r="AN112" i="8"/>
  <c r="AN115" i="8"/>
  <c r="AN118" i="8"/>
  <c r="AN63" i="8"/>
  <c r="AN113" i="8"/>
  <c r="AX63" i="8"/>
  <c r="AW114" i="8"/>
  <c r="AX113" i="8"/>
  <c r="AX114" i="8"/>
  <c r="AY114" i="8"/>
  <c r="AY113" i="8"/>
  <c r="AY63" i="8"/>
  <c r="AY61" i="8" l="1"/>
  <c r="AX123" i="8"/>
  <c r="AN123" i="8"/>
  <c r="AP123" i="8"/>
  <c r="AX61" i="8"/>
  <c r="AY123" i="8"/>
  <c r="AW123" i="8"/>
  <c r="AO123" i="8"/>
  <c r="AM123" i="8"/>
  <c r="AL123" i="8"/>
  <c r="BC63" i="8"/>
  <c r="AZ63" i="8"/>
  <c r="AZ114" i="8"/>
  <c r="BA114" i="8"/>
  <c r="BB114" i="8"/>
  <c r="BC113" i="8"/>
  <c r="AZ119" i="8"/>
  <c r="BC114" i="8"/>
  <c r="BA63" i="8"/>
  <c r="BA113" i="8"/>
  <c r="BB63" i="8"/>
  <c r="BB113" i="8"/>
  <c r="AZ113" i="8"/>
  <c r="AZ112" i="8"/>
  <c r="AZ118" i="8"/>
  <c r="AX121" i="8" l="1"/>
  <c r="AY121" i="8"/>
  <c r="AZ61" i="8"/>
  <c r="BB61" i="8"/>
  <c r="AW121" i="8"/>
  <c r="BA123" i="8"/>
  <c r="BC123" i="8"/>
  <c r="BB123" i="8"/>
  <c r="BA61" i="8"/>
  <c r="AZ123" i="8"/>
  <c r="BC61" i="8"/>
  <c r="BB121" i="8"/>
  <c r="BD114" i="8"/>
  <c r="BD113" i="8"/>
  <c r="BD63" i="8"/>
  <c r="BG63" i="8"/>
  <c r="BE63" i="8"/>
  <c r="BG114" i="8"/>
  <c r="BF114" i="8"/>
  <c r="BE114" i="8"/>
  <c r="BD112" i="8"/>
  <c r="BF63" i="8"/>
  <c r="BG113" i="8"/>
  <c r="BF113" i="8"/>
  <c r="BE113" i="8"/>
  <c r="BF61" i="8" l="1"/>
  <c r="BD61" i="8"/>
  <c r="BC121" i="8"/>
  <c r="BE123" i="8"/>
  <c r="BA121" i="8"/>
  <c r="AZ121" i="8"/>
  <c r="BF123" i="8"/>
  <c r="BE61" i="8"/>
  <c r="BD123" i="8"/>
  <c r="BG123" i="8"/>
  <c r="BG61" i="8"/>
  <c r="E208" i="8"/>
  <c r="R217" i="8"/>
  <c r="BE121" i="8" l="1"/>
  <c r="BD121" i="8"/>
  <c r="BF121" i="8"/>
  <c r="R228" i="8"/>
  <c r="BG121" i="8"/>
  <c r="S189" i="8"/>
  <c r="E217" i="8"/>
  <c r="E228" i="8"/>
  <c r="S208" i="8"/>
  <c r="S217" i="8" l="1"/>
  <c r="S201" i="8"/>
  <c r="S228" i="8" l="1"/>
  <c r="O246" i="8" l="1"/>
  <c r="O264" i="8"/>
  <c r="N274" i="8"/>
  <c r="E246" i="8" l="1"/>
  <c r="O274" i="8"/>
  <c r="O257" i="8"/>
  <c r="C264" i="8"/>
  <c r="E264" i="8"/>
  <c r="C274" i="8"/>
  <c r="N285" i="8"/>
  <c r="E274" i="8"/>
  <c r="E257" i="8" l="1"/>
  <c r="O285" i="8"/>
  <c r="C285" i="8"/>
  <c r="E285" i="8"/>
</calcChain>
</file>

<file path=xl/sharedStrings.xml><?xml version="1.0" encoding="utf-8"?>
<sst xmlns="http://schemas.openxmlformats.org/spreadsheetml/2006/main" count="1846" uniqueCount="476">
  <si>
    <t>Key financial and operational results</t>
  </si>
  <si>
    <t>Customer deposits</t>
  </si>
  <si>
    <t>Capital</t>
  </si>
  <si>
    <t>Contents</t>
  </si>
  <si>
    <t>1Q 2012</t>
  </si>
  <si>
    <t>1Q 2011</t>
  </si>
  <si>
    <t>1Q 2010</t>
  </si>
  <si>
    <t>Total Assets</t>
  </si>
  <si>
    <t>in millions of Russian Rubles</t>
  </si>
  <si>
    <t>Key performance ratios</t>
  </si>
  <si>
    <t>Net Interest Income</t>
  </si>
  <si>
    <t>Revenues</t>
  </si>
  <si>
    <t>Net Interest Margin</t>
  </si>
  <si>
    <t>Cost-to-Income Ratio</t>
  </si>
  <si>
    <t>ROAE</t>
  </si>
  <si>
    <t>Loans-to-Deposits Ratio</t>
  </si>
  <si>
    <t>Tier 1</t>
  </si>
  <si>
    <t>Total Capital Adequacy Ratio</t>
  </si>
  <si>
    <t>Other indicators</t>
  </si>
  <si>
    <t>Assets</t>
  </si>
  <si>
    <t>Cash and cash equivalents</t>
  </si>
  <si>
    <t>Trading securities</t>
  </si>
  <si>
    <t>Financial instruments at fair value through profit or loss</t>
  </si>
  <si>
    <t>Amounts receivable under reverse repurchase agreements</t>
  </si>
  <si>
    <t>Due from banks</t>
  </si>
  <si>
    <t>Loans and advances to customers</t>
  </si>
  <si>
    <t>Investment securities held-to-maturity</t>
  </si>
  <si>
    <t>Other financial assets</t>
  </si>
  <si>
    <t>Investment property</t>
  </si>
  <si>
    <t>Premises, equipment and intangible assets</t>
  </si>
  <si>
    <t>Other assets</t>
  </si>
  <si>
    <t>Liabilities</t>
  </si>
  <si>
    <t>Due to banks</t>
  </si>
  <si>
    <t>Customer accounts</t>
  </si>
  <si>
    <t>Bonds issued</t>
  </si>
  <si>
    <t>Other borrowed funds</t>
  </si>
  <si>
    <t>Other financial liabilities</t>
  </si>
  <si>
    <t>Other liabilities</t>
  </si>
  <si>
    <t>Total liabilities</t>
  </si>
  <si>
    <t>Equity</t>
  </si>
  <si>
    <t>Share capital</t>
  </si>
  <si>
    <t>Share premium</t>
  </si>
  <si>
    <t>Revaluation reserve for premises</t>
  </si>
  <si>
    <t>Retained earnings</t>
  </si>
  <si>
    <t>Total liabilities and equity</t>
  </si>
  <si>
    <t>Assets Structure</t>
  </si>
  <si>
    <t>Securities portfolio</t>
  </si>
  <si>
    <t>Fixed and other assets</t>
  </si>
  <si>
    <t>Cash &amp; cash equivalents</t>
  </si>
  <si>
    <t>Corporate loans</t>
  </si>
  <si>
    <t>Total assets</t>
  </si>
  <si>
    <t>State and public organisations</t>
  </si>
  <si>
    <t>Current/settlement accounts</t>
  </si>
  <si>
    <t>Term deposits</t>
  </si>
  <si>
    <t>Other legal entities</t>
  </si>
  <si>
    <t>Sale and repurchase agreements</t>
  </si>
  <si>
    <t>Individuals</t>
  </si>
  <si>
    <t>Total customer deposits</t>
  </si>
  <si>
    <t>Shareholders' equity</t>
  </si>
  <si>
    <t>Capital markets</t>
  </si>
  <si>
    <t>Other</t>
  </si>
  <si>
    <t>Liabilities and Equity Structure</t>
  </si>
  <si>
    <t>Balance sheet ratios</t>
  </si>
  <si>
    <t>Cumulative sum</t>
  </si>
  <si>
    <t>Quarterly</t>
  </si>
  <si>
    <t>3Q 2012</t>
  </si>
  <si>
    <t>2Q 2012</t>
  </si>
  <si>
    <t>4Q 2011</t>
  </si>
  <si>
    <t>3Q 2011</t>
  </si>
  <si>
    <t>2Q 2011</t>
  </si>
  <si>
    <t>4Q 2010</t>
  </si>
  <si>
    <t>3Q 2010</t>
  </si>
  <si>
    <t>2Q 2010</t>
  </si>
  <si>
    <t>loans to finance working capital</t>
  </si>
  <si>
    <t>investment loans</t>
  </si>
  <si>
    <t>loans to entities financed by the government</t>
  </si>
  <si>
    <t>Loans to individuals</t>
  </si>
  <si>
    <t>mortgage loans</t>
  </si>
  <si>
    <t>car loans</t>
  </si>
  <si>
    <t>Allowance for impairment</t>
  </si>
  <si>
    <t>Loan portfolio by sector</t>
  </si>
  <si>
    <t>Construction</t>
  </si>
  <si>
    <t>Trade</t>
  </si>
  <si>
    <t>Heavy machinery and ship-building</t>
  </si>
  <si>
    <t>Leasing and financial services</t>
  </si>
  <si>
    <t>Real estate</t>
  </si>
  <si>
    <t>Extraction and transportation of oil and gas</t>
  </si>
  <si>
    <t>Entities financed by the government</t>
  </si>
  <si>
    <t>Production and food industry</t>
  </si>
  <si>
    <t>Transport</t>
  </si>
  <si>
    <t>Sports and health and entertainment organizations</t>
  </si>
  <si>
    <t>Energy</t>
  </si>
  <si>
    <t>Chemical industry</t>
  </si>
  <si>
    <t>Telecommunications</t>
  </si>
  <si>
    <t>Standard loans not past due</t>
  </si>
  <si>
    <t>Watch list loans not past due</t>
  </si>
  <si>
    <t>Impaired not past due</t>
  </si>
  <si>
    <t>Overdue</t>
  </si>
  <si>
    <t>less than 5 calendar days</t>
  </si>
  <si>
    <t>6 to 30 calendar days</t>
  </si>
  <si>
    <t>31 to 60 calendar days</t>
  </si>
  <si>
    <t>91 to 180 calendar days</t>
  </si>
  <si>
    <t>181 to 365 calendar days</t>
  </si>
  <si>
    <t>over 365 calendar days</t>
  </si>
  <si>
    <t>61 to 90 calendar days</t>
  </si>
  <si>
    <t>Loans collectively assessed for impairment, but not individually impaired</t>
  </si>
  <si>
    <t>Individually assessed loans, for which specific indications of impairment have been identified</t>
  </si>
  <si>
    <t>Loan portfolio and credit quality ratios</t>
  </si>
  <si>
    <t>Corporate loans/Gross loans</t>
  </si>
  <si>
    <t>Impaired not past due/ Gross loans</t>
  </si>
  <si>
    <t>Financial services</t>
  </si>
  <si>
    <t>Art, science and education</t>
  </si>
  <si>
    <t>Public utilities</t>
  </si>
  <si>
    <t>Communications</t>
  </si>
  <si>
    <t>Medical institutions</t>
  </si>
  <si>
    <t>Total customer accounts</t>
  </si>
  <si>
    <t>Paid-in share capital</t>
  </si>
  <si>
    <t>Reserves and profit</t>
  </si>
  <si>
    <t>Total Tier 1</t>
  </si>
  <si>
    <t>Tier 2</t>
  </si>
  <si>
    <t>Total Tier 2</t>
  </si>
  <si>
    <t>Total capital</t>
  </si>
  <si>
    <t>Risk weighted assets</t>
  </si>
  <si>
    <t>Risk weighted banking assets</t>
  </si>
  <si>
    <t>Risk weighted trading assets</t>
  </si>
  <si>
    <t>Risk weighted unrecognized commitments</t>
  </si>
  <si>
    <t>Total risk weighted assets</t>
  </si>
  <si>
    <t>Interest income</t>
  </si>
  <si>
    <t>Interest expense</t>
  </si>
  <si>
    <t>Net interest income</t>
  </si>
  <si>
    <t>Provision for loan impairment</t>
  </si>
  <si>
    <t>Net interest income after provision for loan impairment</t>
  </si>
  <si>
    <t>Fee and commission income</t>
  </si>
  <si>
    <t>Fee and commission expense</t>
  </si>
  <si>
    <t>Net losses on redemption of reclassified securities</t>
  </si>
  <si>
    <t>Net result on recognition/early redemption of assets granted at non market rates</t>
  </si>
  <si>
    <t>Administrative and other operating expenses</t>
  </si>
  <si>
    <t>Income tax expense</t>
  </si>
  <si>
    <t>Operating income</t>
  </si>
  <si>
    <t>Profit before tax</t>
  </si>
  <si>
    <t>Other comprehensive income</t>
  </si>
  <si>
    <t>Comprehensive income for the period</t>
  </si>
  <si>
    <t>Staff costs</t>
  </si>
  <si>
    <t>Other administrative and operating expenses</t>
  </si>
  <si>
    <t>Profit for the period</t>
  </si>
  <si>
    <t>Capital (in accordance with Basel I)</t>
  </si>
  <si>
    <t>Quality of corporate loan portfolio</t>
  </si>
  <si>
    <t>Quality of retail loan portfolio</t>
  </si>
  <si>
    <t>Total overdue corporate loans</t>
  </si>
  <si>
    <t>Total overdue retail loans</t>
  </si>
  <si>
    <t>Corporate overdue/ Corporate loans</t>
  </si>
  <si>
    <t>Provisions/ Total problem loans</t>
  </si>
  <si>
    <t>Provisions/ Gross loans</t>
  </si>
  <si>
    <t>Provisions/ Overdue loans</t>
  </si>
  <si>
    <t>Corporates</t>
  </si>
  <si>
    <t>Statement of financial position - Assets</t>
  </si>
  <si>
    <t>Statement of financial position - Liabilities and Equity</t>
  </si>
  <si>
    <t>Assets and Liabilities structure</t>
  </si>
  <si>
    <t>Customer accounts by sector</t>
  </si>
  <si>
    <t>Loan portfolio structure</t>
  </si>
  <si>
    <t>Customer deposits structure</t>
  </si>
  <si>
    <t>Tier 1 Capital Adequacy Ratio</t>
  </si>
  <si>
    <t>Results</t>
  </si>
  <si>
    <t>9M 2012</t>
  </si>
  <si>
    <t>1H 2012</t>
  </si>
  <si>
    <t>FY 2011</t>
  </si>
  <si>
    <t xml:space="preserve">Cumulative </t>
  </si>
  <si>
    <t>Corporates, thou</t>
  </si>
  <si>
    <t>9M 2011</t>
  </si>
  <si>
    <t>1H 2011</t>
  </si>
  <si>
    <t>FY 2010</t>
  </si>
  <si>
    <t>9M 2010</t>
  </si>
  <si>
    <t>1H 2010</t>
  </si>
  <si>
    <t>Business model</t>
  </si>
  <si>
    <t>%</t>
  </si>
  <si>
    <t>Loan portfolio quality</t>
  </si>
  <si>
    <t>Overdue loans/ Gross loans</t>
  </si>
  <si>
    <t>Loan portfolio</t>
  </si>
  <si>
    <t>Gross loans</t>
  </si>
  <si>
    <t>Gross loans and advances to legal entities</t>
  </si>
  <si>
    <t>Net loans and advances to legal entities</t>
  </si>
  <si>
    <t>Gross loans to individuals</t>
  </si>
  <si>
    <t>Net loans to individuals</t>
  </si>
  <si>
    <t>Total loans and advances to customers</t>
  </si>
  <si>
    <t>Net loans</t>
  </si>
  <si>
    <t>Net loans / Assets</t>
  </si>
  <si>
    <t>Customer deposits  / Liabilities &amp; Equity</t>
  </si>
  <si>
    <t>Statement of comprehensive income - Cumulative</t>
  </si>
  <si>
    <t>Statement of comprehensive income - Quarterly</t>
  </si>
  <si>
    <t>Operating Expenses</t>
  </si>
  <si>
    <t>ROAA</t>
  </si>
  <si>
    <t>Cumulative</t>
  </si>
  <si>
    <t>Cost of Risk</t>
  </si>
  <si>
    <t>Individuals, thou</t>
  </si>
  <si>
    <t>Income and Expenses structure</t>
  </si>
  <si>
    <t>Total interest income</t>
  </si>
  <si>
    <t>Term deposits of legal entities</t>
  </si>
  <si>
    <t>Term deposits of individuals</t>
  </si>
  <si>
    <t>Total interest expense</t>
  </si>
  <si>
    <t>FY 2012</t>
  </si>
  <si>
    <t>4Q 2012</t>
  </si>
  <si>
    <t>Q-o-Q</t>
  </si>
  <si>
    <t>Y-o-Y</t>
  </si>
  <si>
    <t>1Q 2013</t>
  </si>
  <si>
    <t>1H 2013</t>
  </si>
  <si>
    <t>2Q 2013</t>
  </si>
  <si>
    <t>Settlement transactions</t>
  </si>
  <si>
    <t>Guarantees and letters of credit issued</t>
  </si>
  <si>
    <t>Cash transactions</t>
  </si>
  <si>
    <t>Cash collections</t>
  </si>
  <si>
    <t>Custody operations</t>
  </si>
  <si>
    <t>Securities</t>
  </si>
  <si>
    <t>Foreign exchange transactions</t>
  </si>
  <si>
    <t>Banknote transactions</t>
  </si>
  <si>
    <t>% of Total customer deposits</t>
  </si>
  <si>
    <t>consumer loans</t>
  </si>
  <si>
    <t>Retail loan portfolio</t>
  </si>
  <si>
    <t>Loans to individuals/Gross loans</t>
  </si>
  <si>
    <t>Retail overdue/ Loans to individuals</t>
  </si>
  <si>
    <t>Other net operating income (loss)</t>
  </si>
  <si>
    <t>Gross retail loans (mortgage, car and consumer loans)</t>
  </si>
  <si>
    <t>9M 2013</t>
  </si>
  <si>
    <t>3Q 2013</t>
  </si>
  <si>
    <t>Long-term assets held for sale</t>
  </si>
  <si>
    <t>Recovery of impairment (Impairment) for credit related commitments</t>
  </si>
  <si>
    <t>Current accounts/demand deposits</t>
  </si>
  <si>
    <t>FY 2013</t>
  </si>
  <si>
    <t>4Q 2013</t>
  </si>
  <si>
    <t>Subordinated loans</t>
  </si>
  <si>
    <t>Revenues (adjusted)</t>
  </si>
  <si>
    <t>Net Trading Income (adjusted)</t>
  </si>
  <si>
    <t>1Q 2014</t>
  </si>
  <si>
    <t>Total capital ratio (N1.0)</t>
  </si>
  <si>
    <t>Сore Tier 1 ratio (N1.1)</t>
  </si>
  <si>
    <t>Tier 1 ratio (N1.2)</t>
  </si>
  <si>
    <t>Mandatory reserve deposits with the Central Bank of Russian Federation</t>
  </si>
  <si>
    <t>Customer base</t>
  </si>
  <si>
    <t>Branches and outlets</t>
  </si>
  <si>
    <t>Number of ATMs</t>
  </si>
  <si>
    <t>1H 2014</t>
  </si>
  <si>
    <t>2Q 2014</t>
  </si>
  <si>
    <t>Deferred income tax recognized in equity related to other comprehensive loss</t>
  </si>
  <si>
    <t>9M 2014</t>
  </si>
  <si>
    <t>3Q 2014</t>
  </si>
  <si>
    <t>FY 2014</t>
  </si>
  <si>
    <t>4Q 2014</t>
  </si>
  <si>
    <t>Revaluation of premises</t>
  </si>
  <si>
    <t>Items that will  not be reclassified subsequently to profit or loss:</t>
  </si>
  <si>
    <t>Other comprehensive income (loss)</t>
  </si>
  <si>
    <t>Items that are or will be reclassified subsequently to profit or loss:</t>
  </si>
  <si>
    <t>Deferred income tax recognised in equity related to components of other comprehensive income</t>
  </si>
  <si>
    <t>Comprehensive income (loss) for the period</t>
  </si>
  <si>
    <t>Impairment of investment property</t>
  </si>
  <si>
    <t>1Q 2015</t>
  </si>
  <si>
    <t xml:space="preserve">Securities pledged under sale and repurchase agreements and loaned </t>
  </si>
  <si>
    <t>1H 2015</t>
  </si>
  <si>
    <t>2Q 2015</t>
  </si>
  <si>
    <t>Manufacturing</t>
  </si>
  <si>
    <t>Total fee and commission income</t>
  </si>
  <si>
    <t>Total fee and commission expense</t>
  </si>
  <si>
    <t>Net fee and commission income</t>
  </si>
  <si>
    <t>Net Fee and Commission Income</t>
  </si>
  <si>
    <t>3Q 2015</t>
  </si>
  <si>
    <t>9M 2015</t>
  </si>
  <si>
    <t>4Q 2015</t>
  </si>
  <si>
    <t>FY 2015</t>
  </si>
  <si>
    <t>1Q 2016</t>
  </si>
  <si>
    <t>Derivative financial assets</t>
  </si>
  <si>
    <t>Derivative financial liabilities</t>
  </si>
  <si>
    <t>2Q 2016</t>
  </si>
  <si>
    <t>1H 2016</t>
  </si>
  <si>
    <t>3Q 2016</t>
  </si>
  <si>
    <t>9M 2016</t>
  </si>
  <si>
    <t>FY 2016</t>
  </si>
  <si>
    <t>4Q 2016</t>
  </si>
  <si>
    <t>Financial liabilities reflected at fair value</t>
  </si>
  <si>
    <t>Recovery of impairment (Impairment) for non-financial related commitments</t>
  </si>
  <si>
    <t>Net loss from disposal of long-term assets held-for-sale</t>
  </si>
  <si>
    <t>Promissory notes and deposit certificates issued</t>
  </si>
  <si>
    <t>Loans and advances to corporates</t>
  </si>
  <si>
    <t>Loans and advances to individuals</t>
  </si>
  <si>
    <t>Notes:</t>
  </si>
  <si>
    <t>Starting from 1Q 2016, derivative financial assets and liabilities are shown as new items of BS.</t>
  </si>
  <si>
    <t>Starting from 1Q 2014, financials are given for Bank Saint Petersburg Group (including Bank Evropeisky).</t>
  </si>
  <si>
    <t>Starting from 1Q 2013, gains (losses) from derivatives  are shown as a new item of PnL.</t>
  </si>
  <si>
    <t>Starting from FY 2016, gains (losses) from trading in foreign currencies and foreign exchange translations are shown as one item of PnL.</t>
  </si>
  <si>
    <t>1Q 2017</t>
  </si>
  <si>
    <t>Starting from FY 2016, loans and advances to corporate and individual customers are shown as separate items of BS.</t>
  </si>
  <si>
    <t>Starting from FY 2016, financial liabilities reflected at fair value are shown as a new item of BS.</t>
  </si>
  <si>
    <t xml:space="preserve">Impairment allowance for receivables under overdue guarantees </t>
  </si>
  <si>
    <t>Starting from 1Q 2017, impairment allowance for receivables under overdue guarantees are shown as one item of PnL.</t>
  </si>
  <si>
    <t>1H 2017</t>
  </si>
  <si>
    <t>2Q 2017</t>
  </si>
  <si>
    <t>Non-controlling interests</t>
  </si>
  <si>
    <t>Net profit attributable to:</t>
  </si>
  <si>
    <t>Shareholders</t>
  </si>
  <si>
    <t>Comprehensive income attributable to:</t>
  </si>
  <si>
    <t>YTD</t>
  </si>
  <si>
    <t>Total equity</t>
  </si>
  <si>
    <t>Foreign currency translation reserve</t>
  </si>
  <si>
    <t>Exchange differences on translation</t>
  </si>
  <si>
    <t>Non-controlling interest</t>
  </si>
  <si>
    <t>Goodwill</t>
  </si>
  <si>
    <t>Current and settlement accounts</t>
  </si>
  <si>
    <t>Retail deposits</t>
  </si>
  <si>
    <t>Corporate deposits</t>
  </si>
  <si>
    <t>9M 2017</t>
  </si>
  <si>
    <t>3Q 2017</t>
  </si>
  <si>
    <t>FY 2017</t>
  </si>
  <si>
    <t>4Q 2017</t>
  </si>
  <si>
    <t>Impairment of premises</t>
  </si>
  <si>
    <t>1Q 2018</t>
  </si>
  <si>
    <t>Loans and advances to customers at a fair value</t>
  </si>
  <si>
    <t>not past due</t>
  </si>
  <si>
    <t>Gross lifetime ECL not credit-impaired</t>
  </si>
  <si>
    <t>Net lifetime ECL not credit-impaired</t>
  </si>
  <si>
    <t>Gross 12-month ECL</t>
  </si>
  <si>
    <t>Net 12-month ECL</t>
  </si>
  <si>
    <t>Gross lifetime ECL credit-impaired</t>
  </si>
  <si>
    <t>Net lifetime ECL credit-impaired</t>
  </si>
  <si>
    <t>Mortgage loans</t>
  </si>
  <si>
    <t>Gross mortgage loans</t>
  </si>
  <si>
    <t>Net mortgage loans</t>
  </si>
  <si>
    <t>Car loans</t>
  </si>
  <si>
    <t>Consumer loans</t>
  </si>
  <si>
    <t>Gross consumer loans</t>
  </si>
  <si>
    <t>Net consumer loans</t>
  </si>
  <si>
    <t>Problem loans/ Gross loans</t>
  </si>
  <si>
    <t>Corporate problem loans/ Corporate loans</t>
  </si>
  <si>
    <t>Retail problem loans/ Loans to individuals</t>
  </si>
  <si>
    <t>n.a.</t>
  </si>
  <si>
    <t>12-month ECL (stage 1)</t>
  </si>
  <si>
    <t>Lifetime ECL not credit-impaired (stage 2)</t>
  </si>
  <si>
    <t>Lifetime ECL credit-impaired (stage 3)</t>
  </si>
  <si>
    <t>Quality of loans to individuals</t>
  </si>
  <si>
    <t xml:space="preserve">Securities at fair value through other comprehensive income </t>
  </si>
  <si>
    <t>Loans at amortised cost</t>
  </si>
  <si>
    <t xml:space="preserve">Loans impaired at initial recognition </t>
  </si>
  <si>
    <t xml:space="preserve">Gross loans impaired at initial recognition </t>
  </si>
  <si>
    <t xml:space="preserve">Net loans impaired at initial recognition </t>
  </si>
  <si>
    <t>Loans and advances to legal entities at amortised cost</t>
  </si>
  <si>
    <t>Gross car loans</t>
  </si>
  <si>
    <t>Net car loans</t>
  </si>
  <si>
    <t>Starting from 1Q 2018, loan portfolio is shown under IFRS 9</t>
  </si>
  <si>
    <t xml:space="preserve">Starting from 1Q 2018, payments to Deposit Insurance Agency are excluded from operating expenses and added to Net Interest Income
</t>
  </si>
  <si>
    <t>Throughout the DataBook figures and ratios (revenues, NII, NIM, operating expenses, CIR) are adjusted retrospectively with regard to the Changes in accounting policy</t>
  </si>
  <si>
    <t>1H 2018</t>
  </si>
  <si>
    <t>2Q 2018</t>
  </si>
  <si>
    <t>Loans and advances to customers, incl.:</t>
  </si>
  <si>
    <t>over 90 calendar days overdue</t>
  </si>
  <si>
    <t>1 to 90 days overdue</t>
  </si>
  <si>
    <t>Minimum credit risk</t>
  </si>
  <si>
    <t>Low credit risk</t>
  </si>
  <si>
    <t>Medium credit risk</t>
  </si>
  <si>
    <t>High credit risk</t>
  </si>
  <si>
    <t xml:space="preserve">Default </t>
  </si>
  <si>
    <t>Contributions to Deposit Insurance System</t>
  </si>
  <si>
    <t>Gains from trading in foreign currencies, foreign exchange revaluation and derivatives</t>
  </si>
  <si>
    <t>Recovery of impairment (Impairment) of long-term assets held-for-sale</t>
  </si>
  <si>
    <t>Recovery of impairment (Impairment) of investment securities</t>
  </si>
  <si>
    <t>Gains from revaluation of loans measured at fair value</t>
  </si>
  <si>
    <t xml:space="preserve">Provision for credit related commitments and non-financial liabilities </t>
  </si>
  <si>
    <t>Revaluation of investment securities measured at fair value through other comprehensive income transferred to profit or loss upon disposal</t>
  </si>
  <si>
    <t xml:space="preserve">Net gains from revaluation of investment securities measured at fair value through other comprehensive income </t>
  </si>
  <si>
    <t>Revaluation reserve for investment securities</t>
  </si>
  <si>
    <t>Total equity attributable to the shareholders of the Bank</t>
  </si>
  <si>
    <t>consumer loans to VIP clients</t>
  </si>
  <si>
    <t>Consumer loans to VIP clients</t>
  </si>
  <si>
    <t>Gross consumer loans to VIP customers</t>
  </si>
  <si>
    <t>Net consumer loans to VIP customers</t>
  </si>
  <si>
    <t>Revaluation reserve for premises and equipment</t>
  </si>
  <si>
    <t>Due from banks and correspondent accounts</t>
  </si>
  <si>
    <t>9M 2018</t>
  </si>
  <si>
    <t>3Q 2018</t>
  </si>
  <si>
    <t>Losses on premature redemption of debt</t>
  </si>
  <si>
    <t>FY 2018</t>
  </si>
  <si>
    <t>4Q 2018</t>
  </si>
  <si>
    <t>Trading securities, incl. securities pledged under sale and repurchase agreements and loaned</t>
  </si>
  <si>
    <t>Investment securities, incl. securities pledged under sale and repurchase agreements and loaned</t>
  </si>
  <si>
    <t>Treasury shares purchased from shareholders</t>
  </si>
  <si>
    <t/>
  </si>
  <si>
    <t>1Q 2019</t>
  </si>
  <si>
    <t>Result from disposal of equity securities measured through other comprehensive income</t>
  </si>
  <si>
    <t>1H 2019</t>
  </si>
  <si>
    <t>2Q 2019</t>
  </si>
  <si>
    <t xml:space="preserve">Net loss from reflection of financial assets at fair value on initial recognition </t>
  </si>
  <si>
    <t>9M 2019</t>
  </si>
  <si>
    <t>3Q 2019</t>
  </si>
  <si>
    <t>Interest income and expense - Quarterly</t>
  </si>
  <si>
    <t>Interest income and expense - Cumulative</t>
  </si>
  <si>
    <t>Fee and Commission income and expense - Cumulative</t>
  </si>
  <si>
    <t>Fee and Commission income and expense - Quarterly</t>
  </si>
  <si>
    <t>FY 2019</t>
  </si>
  <si>
    <t>4Q 2019</t>
  </si>
  <si>
    <t>incl, Loans and advances to customers at fair value through profit and loss</t>
  </si>
  <si>
    <t>Banking cards</t>
  </si>
  <si>
    <t xml:space="preserve">Starting from FY 2019, insurance commissions are reported separately from Other F&amp;C income
</t>
  </si>
  <si>
    <t xml:space="preserve">Starting from FY 2019, interest income on loans and advances to customers is divided into Corporates and Individuals
</t>
  </si>
  <si>
    <t>Starting from FY 2019, expenses related to IFRS 16 are transferred from other OpEx to OpEx related to premises and equipment</t>
  </si>
  <si>
    <t>Net loss from investment property derecognition</t>
  </si>
  <si>
    <t>Agency services for insurance contracts</t>
  </si>
  <si>
    <t>Loyalty programs</t>
  </si>
  <si>
    <t>1Q 2020</t>
  </si>
  <si>
    <t>Gain from disposal/acquisition of subsidiary</t>
  </si>
  <si>
    <t>Debt investment securities measured at amortised cost</t>
  </si>
  <si>
    <t>1H 2020</t>
  </si>
  <si>
    <t>2Q 2020</t>
  </si>
  <si>
    <t>9M 2020</t>
  </si>
  <si>
    <t>3Q 2020</t>
  </si>
  <si>
    <t>FY 2020</t>
  </si>
  <si>
    <t>4Q 2020</t>
  </si>
  <si>
    <t xml:space="preserve">Net gains from derecognition of financial instruments at amortized value </t>
  </si>
  <si>
    <t xml:space="preserve">Trust management of property </t>
  </si>
  <si>
    <t>Starting from FY 2020, trust management of property income is transferred from other income to F&amp;C income</t>
  </si>
  <si>
    <t>Starting from FY 2020, net gains from derecognition of financial instruments at amortized value are shown separately from other income</t>
  </si>
  <si>
    <t>1Q 2021</t>
  </si>
  <si>
    <t xml:space="preserve">Starting from FY 2019, loyalty program expenses are excluded from Other income and added to F&amp;C income
</t>
  </si>
  <si>
    <t>Capital (Russian Accounting Standards, Basel III)</t>
  </si>
  <si>
    <t>1H 2021</t>
  </si>
  <si>
    <t>2Q 2021</t>
  </si>
  <si>
    <t>9M 2021</t>
  </si>
  <si>
    <t>3Q 2021</t>
  </si>
  <si>
    <t>Starting from 9M 2021, interest income on loans to individuals for 2Q 2021 was partially reclassified to interest income on corporate loans</t>
  </si>
  <si>
    <t>FY 2021</t>
  </si>
  <si>
    <t>4Q 2021</t>
  </si>
  <si>
    <t>Amount of ords, mln</t>
  </si>
  <si>
    <t>Amount of prefs, mln</t>
  </si>
  <si>
    <t>Total amount of shares, mln</t>
  </si>
  <si>
    <t>Starting from FY 2021, loyalty program commission expenses were partly transferred to banking cards commission income</t>
  </si>
  <si>
    <t>1Q 2022</t>
  </si>
  <si>
    <t>Capital (Basel III, Russian Accounting Standards)</t>
  </si>
  <si>
    <t>1H 2022</t>
  </si>
  <si>
    <t>2Q 2022</t>
  </si>
  <si>
    <t>9M 2022</t>
  </si>
  <si>
    <t>3Q 2022</t>
  </si>
  <si>
    <t>incl.  Provisions for customers' loans</t>
  </si>
  <si>
    <t>FY 2022</t>
  </si>
  <si>
    <t>4Q 2022</t>
  </si>
  <si>
    <t>1Q 2023</t>
  </si>
  <si>
    <t>Oil and Gas</t>
  </si>
  <si>
    <t>Loan portfolio by sector (old)</t>
  </si>
  <si>
    <t>Transport and Сommunication</t>
  </si>
  <si>
    <t>Mining industry</t>
  </si>
  <si>
    <t>Wholesale trade</t>
  </si>
  <si>
    <t>Retail trade</t>
  </si>
  <si>
    <t>Loan portfolio by sector (New)</t>
  </si>
  <si>
    <t>1H 2023</t>
  </si>
  <si>
    <t>2Q 2023</t>
  </si>
  <si>
    <t>9M 2023</t>
  </si>
  <si>
    <t>3Q 2023</t>
  </si>
  <si>
    <t>FY 2023</t>
  </si>
  <si>
    <t>4Q 2023</t>
  </si>
  <si>
    <t>1Q 2024</t>
  </si>
  <si>
    <t>1H 2024</t>
  </si>
  <si>
    <t>2Q 2024</t>
  </si>
  <si>
    <t>Number of employees, thou</t>
  </si>
  <si>
    <t>9M 2024</t>
  </si>
  <si>
    <t>3Q 2024</t>
  </si>
  <si>
    <t>FY 2024</t>
  </si>
  <si>
    <t>4Q 2024</t>
  </si>
  <si>
    <t>Gains (losses) from securities</t>
  </si>
  <si>
    <t>Starting from FY 2024, in order to more accurately present the structure of “Customer Deposits”, retail customer deposits attracted through savings accounts have been transferred from the line “Current accounts/demand accounts” and are reflected in the line “Term deposits”.</t>
  </si>
  <si>
    <t>1Q 2025</t>
  </si>
  <si>
    <t>Energy, water and gaz supply</t>
  </si>
  <si>
    <t>Agriculture</t>
  </si>
  <si>
    <t>1H 2025</t>
  </si>
  <si>
    <t>2Q 2025</t>
  </si>
  <si>
    <t>9M 2025</t>
  </si>
  <si>
    <t>3Q 2025</t>
  </si>
  <si>
    <t>Provisions (adjusted)</t>
  </si>
  <si>
    <t>FY 2025</t>
  </si>
  <si>
    <t>4Q 2025</t>
  </si>
  <si>
    <t>1Q 2026</t>
  </si>
  <si>
    <t>Supplementary financial data for 1H 2026 IFRS Results</t>
  </si>
  <si>
    <t>1H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</si>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</sst>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###,###,###,###,##0;\(###,###,###,###,##0\)"/>
    <numFmt numFmtId="169" formatCode="#,##0.000"/>
    <numFmt numFmtId="170" formatCode="#,##0.0"/>
    <numFmt numFmtId="171" formatCode="#,##0.0000000"/>
    <numFmt numFmtId="172" formatCode="0.00000%"/>
    <numFmt numFmtId="173" formatCode="_-* #,##0\ _₽_-;\-* #,##0\ _₽_-;_-* &quot;-&quot;??\ _₽_-;_-@_-"/>
    <numFmt numFmtId="174" formatCode="###,###,###,###,##0.0;\(###,###,###,###,##0.0\)"/>
    <numFmt numFmtId="175" formatCode="0.00000"/>
    <numFmt numFmtId="176" formatCode="0.0000%"/>
    <numFmt numFmtId="177" formatCode="###,###,###,###,##0.000;\(###,###,###,###,##0.000\)"/>
    <numFmt numFmtId="178" formatCode="_-* #,##0.0000\ _₽_-;\-* #,##0.0000\ _₽_-;_-* &quot;-&quot;??\ _₽_-;_-@_-"/>
    <numFmt numFmtId="179" formatCode="_-* #,##0.00000\ _₽_-;\-* #,##0.00000\ _₽_-;_-* &quot;-&quot;??\ _₽_-;_-@_-"/>
    <numFmt numFmtId="180" formatCode="_-* #,##0.00000000000000\ _₽_-;\-* #,##0.00000000000000\ _₽_-;_-* &quot;-&quot;??\ _₽_-;_-@_-"/>
  </numFmts>
  <fonts count="4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DD9FF"/>
        </stop>
      </gradient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44"/>
      </left>
      <right style="thin">
        <color indexed="44"/>
      </right>
      <top/>
      <bottom style="double">
        <color indexed="44"/>
      </bottom>
      <diagonal/>
    </border>
    <border>
      <left/>
      <right/>
      <top style="thin">
        <color indexed="38"/>
      </top>
      <bottom/>
      <diagonal/>
    </border>
    <border>
      <left/>
      <right/>
      <top/>
      <bottom style="thin">
        <color indexed="38"/>
      </bottom>
      <diagonal/>
    </border>
    <border>
      <left/>
      <right/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/>
      <diagonal/>
    </border>
    <border>
      <left/>
      <right/>
      <top style="thin">
        <color rgb="FF33CAFF"/>
      </top>
      <bottom style="thin">
        <color rgb="FF33CAFF"/>
      </bottom>
      <diagonal/>
    </border>
    <border>
      <left style="thin">
        <color rgb="FF6DD9FF"/>
      </left>
      <right style="thin">
        <color rgb="FF6DD9FF"/>
      </right>
      <top/>
      <bottom style="double">
        <color rgb="FF6DD9FF"/>
      </bottom>
      <diagonal/>
    </border>
    <border>
      <left style="thin">
        <color rgb="FF6DD9FF"/>
      </left>
      <right/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 style="thin">
        <color rgb="FF6DD9FF"/>
      </left>
      <right style="thin">
        <color indexed="40"/>
      </right>
      <top/>
      <bottom/>
      <diagonal/>
    </border>
    <border>
      <left style="thin">
        <color indexed="40"/>
      </left>
      <right style="thin">
        <color rgb="FF6DD9FF"/>
      </right>
      <top/>
      <bottom/>
      <diagonal/>
    </border>
    <border>
      <left style="thin">
        <color rgb="FF6DD9FF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rgb="FF6DD9FF"/>
      </right>
      <top/>
      <bottom style="thin">
        <color indexed="40"/>
      </bottom>
      <diagonal/>
    </border>
    <border>
      <left/>
      <right style="thin">
        <color rgb="FF6DD9FF"/>
      </right>
      <top/>
      <bottom/>
      <diagonal/>
    </border>
    <border>
      <left style="thin">
        <color rgb="FF6DD9FF"/>
      </left>
      <right/>
      <top/>
      <bottom style="thin">
        <color indexed="40"/>
      </bottom>
      <diagonal/>
    </border>
    <border>
      <left/>
      <right style="thin">
        <color rgb="FF6DD9FF"/>
      </right>
      <top/>
      <bottom style="thin">
        <color indexed="40"/>
      </bottom>
      <diagonal/>
    </border>
    <border>
      <left/>
      <right style="thin">
        <color indexed="44"/>
      </right>
      <top/>
      <bottom style="double">
        <color indexed="44"/>
      </bottom>
      <diagonal/>
    </border>
    <border>
      <left style="thin">
        <color indexed="44"/>
      </left>
      <right/>
      <top/>
      <bottom style="double">
        <color indexed="44"/>
      </bottom>
      <diagonal/>
    </border>
    <border>
      <left/>
      <right style="thin">
        <color rgb="FF99CCFF"/>
      </right>
      <top/>
      <bottom style="double">
        <color rgb="FF99CCFF"/>
      </bottom>
      <diagonal/>
    </border>
    <border>
      <left/>
      <right style="thin">
        <color indexed="44"/>
      </right>
      <top/>
      <bottom style="double">
        <color rgb="FF99CCFF"/>
      </bottom>
      <diagonal/>
    </border>
    <border>
      <left style="thin">
        <color indexed="44"/>
      </left>
      <right style="thin">
        <color indexed="44"/>
      </right>
      <top/>
      <bottom style="double">
        <color rgb="FF99CCFF"/>
      </bottom>
      <diagonal/>
    </border>
    <border>
      <left style="thin">
        <color rgb="FF99CCFF"/>
      </left>
      <right style="thin">
        <color rgb="FF99CCFF"/>
      </right>
      <top/>
      <bottom style="double">
        <color rgb="FF99CCFF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/>
      <right/>
      <top/>
      <bottom style="thin">
        <color rgb="FF008080"/>
      </bottom>
      <diagonal/>
    </border>
    <border>
      <left style="thin">
        <color rgb="FF6DD9FF"/>
      </left>
      <right/>
      <top style="thin">
        <color rgb="FF008080"/>
      </top>
      <bottom/>
      <diagonal/>
    </border>
    <border>
      <left/>
      <right/>
      <top style="thin">
        <color rgb="FF008080"/>
      </top>
      <bottom/>
      <diagonal/>
    </border>
    <border>
      <left style="thin">
        <color rgb="FF6DD9FF"/>
      </left>
      <right/>
      <top/>
      <bottom style="thin">
        <color rgb="FF008080"/>
      </bottom>
      <diagonal/>
    </border>
    <border>
      <left/>
      <right style="thin">
        <color rgb="FF6DD9FF"/>
      </right>
      <top style="thin">
        <color indexed="40"/>
      </top>
      <bottom/>
      <diagonal/>
    </border>
    <border>
      <left/>
      <right/>
      <top style="thin">
        <color rgb="FF6ED9FF"/>
      </top>
      <bottom/>
      <diagonal/>
    </border>
    <border>
      <left style="thin">
        <color indexed="40"/>
      </left>
      <right style="thin">
        <color indexed="40"/>
      </right>
      <top/>
      <bottom style="thin">
        <color rgb="FF6ED9FF"/>
      </bottom>
      <diagonal/>
    </border>
    <border>
      <left/>
      <right/>
      <top style="thin">
        <color indexed="40"/>
      </top>
      <bottom/>
      <diagonal/>
    </border>
    <border>
      <left style="thin">
        <color rgb="FF6DD9FF"/>
      </left>
      <right/>
      <top style="thin">
        <color indexed="40"/>
      </top>
      <bottom/>
      <diagonal/>
    </border>
  </borders>
  <cellStyleXfs count="38">
    <xf numFmtId="0" fontId="0" fillId="0" borderId="0"/>
    <xf numFmtId="0" fontId="6" fillId="0" borderId="0">
      <alignment vertical="center"/>
    </xf>
    <xf numFmtId="0" fontId="8" fillId="0" borderId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8" fontId="23" fillId="4" borderId="0"/>
    <xf numFmtId="0" fontId="6" fillId="0" borderId="0">
      <alignment vertical="center"/>
    </xf>
    <xf numFmtId="0" fontId="8" fillId="0" borderId="0"/>
    <xf numFmtId="0" fontId="8" fillId="0" borderId="0"/>
    <xf numFmtId="0" fontId="12" fillId="0" borderId="0"/>
    <xf numFmtId="0" fontId="7" fillId="0" borderId="0">
      <alignment vertical="top"/>
    </xf>
    <xf numFmtId="0" fontId="24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4" borderId="10">
      <alignment horizontal="left" wrapText="1"/>
    </xf>
    <xf numFmtId="0" fontId="23" fillId="5" borderId="11">
      <alignment horizontal="center" vertical="center" wrapText="1"/>
    </xf>
    <xf numFmtId="0" fontId="23" fillId="4" borderId="11">
      <alignment horizontal="center" vertical="center" wrapText="1"/>
    </xf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5" borderId="6" applyBorder="0">
      <alignment horizontal="center" vertical="center"/>
    </xf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</cellStyleXfs>
  <cellXfs count="508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22" fillId="2" borderId="0" xfId="3" applyFill="1"/>
    <xf numFmtId="0" fontId="4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4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168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8" fontId="0" fillId="2" borderId="0" xfId="0" applyNumberFormat="1" applyFill="1"/>
    <xf numFmtId="0" fontId="5" fillId="2" borderId="0" xfId="0" applyFont="1" applyFill="1" applyAlignment="1">
      <alignment horizontal="left" wrapText="1"/>
    </xf>
    <xf numFmtId="3" fontId="0" fillId="2" borderId="0" xfId="0" applyNumberForma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8" fontId="4" fillId="2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center"/>
    </xf>
    <xf numFmtId="10" fontId="0" fillId="2" borderId="0" xfId="0" applyNumberFormat="1" applyFill="1"/>
    <xf numFmtId="10" fontId="5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3" fontId="15" fillId="2" borderId="0" xfId="0" applyNumberFormat="1" applyFont="1" applyFill="1"/>
    <xf numFmtId="168" fontId="15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Border="1"/>
    <xf numFmtId="165" fontId="4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1" fillId="2" borderId="0" xfId="0" applyFont="1" applyFill="1" applyBorder="1"/>
    <xf numFmtId="3" fontId="4" fillId="2" borderId="0" xfId="0" applyNumberFormat="1" applyFont="1" applyFill="1" applyBorder="1"/>
    <xf numFmtId="3" fontId="5" fillId="2" borderId="0" xfId="0" applyNumberFormat="1" applyFont="1" applyFill="1" applyBorder="1"/>
    <xf numFmtId="0" fontId="18" fillId="2" borderId="2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5" fontId="4" fillId="2" borderId="3" xfId="0" applyNumberFormat="1" applyFont="1" applyFill="1" applyBorder="1"/>
    <xf numFmtId="165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wrapText="1"/>
    </xf>
    <xf numFmtId="3" fontId="23" fillId="2" borderId="0" xfId="0" applyNumberFormat="1" applyFont="1" applyFill="1"/>
    <xf numFmtId="0" fontId="9" fillId="2" borderId="0" xfId="0" applyFont="1" applyFill="1" applyBorder="1" applyAlignment="1">
      <alignment horizontal="right" vertical="center"/>
    </xf>
    <xf numFmtId="0" fontId="5" fillId="2" borderId="0" xfId="0" applyFont="1" applyFill="1" applyBorder="1"/>
    <xf numFmtId="10" fontId="5" fillId="2" borderId="0" xfId="0" applyNumberFormat="1" applyFont="1" applyFill="1" applyBorder="1"/>
    <xf numFmtId="0" fontId="28" fillId="2" borderId="2" xfId="3" applyFont="1" applyFill="1" applyBorder="1" applyAlignment="1">
      <alignment horizontal="center" vertical="center" wrapText="1"/>
    </xf>
    <xf numFmtId="0" fontId="0" fillId="4" borderId="0" xfId="0" applyFill="1"/>
    <xf numFmtId="0" fontId="23" fillId="2" borderId="0" xfId="0" applyFont="1" applyFill="1"/>
    <xf numFmtId="0" fontId="30" fillId="5" borderId="2" xfId="35" applyFont="1" applyBorder="1" applyAlignment="1">
      <alignment horizontal="center" vertical="center" wrapText="1"/>
    </xf>
    <xf numFmtId="168" fontId="23" fillId="4" borderId="0" xfId="11" applyNumberFormat="1"/>
    <xf numFmtId="168" fontId="5" fillId="2" borderId="0" xfId="0" applyNumberFormat="1" applyFont="1" applyFill="1" applyAlignment="1">
      <alignment wrapText="1"/>
    </xf>
    <xf numFmtId="168" fontId="5" fillId="2" borderId="0" xfId="0" applyNumberFormat="1" applyFont="1" applyFill="1"/>
    <xf numFmtId="168" fontId="1" fillId="2" borderId="0" xfId="0" applyNumberFormat="1" applyFont="1" applyFill="1"/>
    <xf numFmtId="168" fontId="4" fillId="2" borderId="0" xfId="0" applyNumberFormat="1" applyFont="1" applyFill="1" applyAlignment="1">
      <alignment horizontal="right" wrapText="1"/>
    </xf>
    <xf numFmtId="168" fontId="1" fillId="2" borderId="0" xfId="0" applyNumberFormat="1" applyFont="1" applyFill="1" applyAlignment="1">
      <alignment wrapText="1"/>
    </xf>
    <xf numFmtId="168" fontId="4" fillId="2" borderId="0" xfId="0" applyNumberFormat="1" applyFont="1" applyFill="1" applyAlignment="1">
      <alignment horizontal="left" vertical="center"/>
    </xf>
    <xf numFmtId="168" fontId="9" fillId="2" borderId="0" xfId="0" applyNumberFormat="1" applyFont="1" applyFill="1" applyAlignment="1">
      <alignment horizontal="right" vertical="center"/>
    </xf>
    <xf numFmtId="168" fontId="23" fillId="2" borderId="0" xfId="0" applyNumberFormat="1" applyFont="1" applyFill="1"/>
    <xf numFmtId="10" fontId="23" fillId="2" borderId="0" xfId="0" applyNumberFormat="1" applyFont="1" applyFill="1"/>
    <xf numFmtId="0" fontId="29" fillId="2" borderId="0" xfId="0" applyFont="1" applyFill="1"/>
    <xf numFmtId="0" fontId="33" fillId="2" borderId="0" xfId="0" applyFont="1" applyFill="1"/>
    <xf numFmtId="0" fontId="23" fillId="2" borderId="0" xfId="0" applyFont="1" applyFill="1" applyAlignment="1">
      <alignment horizontal="left"/>
    </xf>
    <xf numFmtId="0" fontId="32" fillId="2" borderId="0" xfId="0" applyFont="1" applyFill="1"/>
    <xf numFmtId="3" fontId="33" fillId="2" borderId="0" xfId="0" applyNumberFormat="1" applyFont="1" applyFill="1"/>
    <xf numFmtId="3" fontId="23" fillId="4" borderId="0" xfId="0" applyNumberFormat="1" applyFont="1" applyFill="1"/>
    <xf numFmtId="3" fontId="4" fillId="4" borderId="0" xfId="0" applyNumberFormat="1" applyFont="1" applyFill="1" applyBorder="1"/>
    <xf numFmtId="165" fontId="0" fillId="2" borderId="0" xfId="0" applyNumberFormat="1" applyFill="1"/>
    <xf numFmtId="0" fontId="27" fillId="2" borderId="0" xfId="0" applyFont="1" applyFill="1"/>
    <xf numFmtId="14" fontId="31" fillId="4" borderId="0" xfId="0" applyNumberFormat="1" applyFont="1" applyFill="1" applyBorder="1" applyAlignment="1">
      <alignment horizontal="center" wrapText="1"/>
    </xf>
    <xf numFmtId="0" fontId="31" fillId="4" borderId="0" xfId="0" applyFont="1" applyFill="1"/>
    <xf numFmtId="168" fontId="4" fillId="2" borderId="0" xfId="0" applyNumberFormat="1" applyFont="1" applyFill="1" applyBorder="1"/>
    <xf numFmtId="168" fontId="4" fillId="2" borderId="0" xfId="0" applyNumberFormat="1" applyFont="1" applyFill="1" applyAlignment="1">
      <alignment horizontal="right"/>
    </xf>
    <xf numFmtId="168" fontId="4" fillId="2" borderId="0" xfId="0" applyNumberFormat="1" applyFont="1" applyFill="1" applyBorder="1" applyAlignment="1">
      <alignment horizontal="right"/>
    </xf>
    <xf numFmtId="10" fontId="9" fillId="2" borderId="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34" fillId="2" borderId="12" xfId="0" applyFont="1" applyFill="1" applyBorder="1" applyAlignment="1">
      <alignment horizontal="left"/>
    </xf>
    <xf numFmtId="0" fontId="34" fillId="2" borderId="19" xfId="0" applyFont="1" applyFill="1" applyBorder="1" applyAlignment="1">
      <alignment horizontal="left"/>
    </xf>
    <xf numFmtId="10" fontId="9" fillId="2" borderId="12" xfId="0" applyNumberFormat="1" applyFont="1" applyFill="1" applyBorder="1" applyAlignment="1">
      <alignment horizontal="center"/>
    </xf>
    <xf numFmtId="10" fontId="9" fillId="2" borderId="19" xfId="0" applyNumberFormat="1" applyFont="1" applyFill="1" applyBorder="1" applyAlignment="1">
      <alignment horizontal="center"/>
    </xf>
    <xf numFmtId="10" fontId="34" fillId="2" borderId="12" xfId="0" applyNumberFormat="1" applyFont="1" applyFill="1" applyBorder="1" applyAlignment="1">
      <alignment horizontal="center"/>
    </xf>
    <xf numFmtId="10" fontId="34" fillId="2" borderId="19" xfId="0" applyNumberFormat="1" applyFont="1" applyFill="1" applyBorder="1" applyAlignment="1">
      <alignment horizontal="center"/>
    </xf>
    <xf numFmtId="0" fontId="0" fillId="2" borderId="12" xfId="0" applyFill="1" applyBorder="1"/>
    <xf numFmtId="0" fontId="0" fillId="2" borderId="19" xfId="0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4" fillId="2" borderId="12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9" xfId="0" applyNumberFormat="1" applyFont="1" applyFill="1" applyBorder="1"/>
    <xf numFmtId="0" fontId="1" fillId="2" borderId="12" xfId="0" applyFont="1" applyFill="1" applyBorder="1"/>
    <xf numFmtId="0" fontId="1" fillId="2" borderId="19" xfId="0" applyFont="1" applyFill="1" applyBorder="1"/>
    <xf numFmtId="165" fontId="9" fillId="2" borderId="12" xfId="0" applyNumberFormat="1" applyFont="1" applyFill="1" applyBorder="1" applyAlignment="1">
      <alignment horizontal="center"/>
    </xf>
    <xf numFmtId="165" fontId="9" fillId="2" borderId="19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 vertical="center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18" fillId="2" borderId="26" xfId="3" applyFont="1" applyFill="1" applyBorder="1" applyAlignment="1">
      <alignment horizontal="center" vertical="center" wrapText="1"/>
    </xf>
    <xf numFmtId="0" fontId="23" fillId="4" borderId="26" xfId="30" applyBorder="1">
      <alignment horizontal="center" vertical="center" wrapText="1"/>
    </xf>
    <xf numFmtId="0" fontId="28" fillId="2" borderId="26" xfId="3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 wrapText="1"/>
    </xf>
    <xf numFmtId="0" fontId="30" fillId="5" borderId="27" xfId="35" applyFont="1" applyBorder="1" applyAlignment="1">
      <alignment horizontal="center" vertical="center" wrapText="1"/>
    </xf>
    <xf numFmtId="0" fontId="23" fillId="4" borderId="27" xfId="30" applyBorder="1">
      <alignment horizontal="center" vertical="center" wrapText="1"/>
    </xf>
    <xf numFmtId="0" fontId="28" fillId="2" borderId="27" xfId="3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5" fillId="5" borderId="2" xfId="29" applyFont="1" applyBorder="1">
      <alignment horizontal="center" vertical="center" wrapText="1"/>
    </xf>
    <xf numFmtId="0" fontId="23" fillId="4" borderId="2" xfId="30" applyBorder="1">
      <alignment horizontal="center" vertical="center" wrapText="1"/>
    </xf>
    <xf numFmtId="0" fontId="0" fillId="2" borderId="23" xfId="0" applyFill="1" applyBorder="1"/>
    <xf numFmtId="0" fontId="26" fillId="2" borderId="22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/>
    </xf>
    <xf numFmtId="10" fontId="34" fillId="2" borderId="0" xfId="0" applyNumberFormat="1" applyFont="1" applyFill="1" applyBorder="1" applyAlignment="1">
      <alignment horizontal="center"/>
    </xf>
    <xf numFmtId="3" fontId="33" fillId="4" borderId="0" xfId="0" applyNumberFormat="1" applyFont="1" applyFill="1"/>
    <xf numFmtId="3" fontId="4" fillId="4" borderId="0" xfId="0" applyNumberFormat="1" applyFont="1" applyFill="1"/>
    <xf numFmtId="169" fontId="0" fillId="2" borderId="0" xfId="0" applyNumberFormat="1" applyFill="1"/>
    <xf numFmtId="165" fontId="4" fillId="4" borderId="0" xfId="0" applyNumberFormat="1" applyFont="1" applyFill="1"/>
    <xf numFmtId="1" fontId="0" fillId="2" borderId="0" xfId="0" applyNumberFormat="1" applyFill="1"/>
    <xf numFmtId="0" fontId="23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/>
    <xf numFmtId="0" fontId="33" fillId="2" borderId="0" xfId="0" applyFont="1" applyFill="1" applyAlignment="1">
      <alignment horizontal="left"/>
    </xf>
    <xf numFmtId="165" fontId="23" fillId="2" borderId="0" xfId="0" applyNumberFormat="1" applyFont="1" applyFill="1"/>
    <xf numFmtId="0" fontId="0" fillId="2" borderId="28" xfId="0" applyFill="1" applyBorder="1"/>
    <xf numFmtId="0" fontId="0" fillId="2" borderId="29" xfId="0" applyFill="1" applyBorder="1"/>
    <xf numFmtId="0" fontId="35" fillId="2" borderId="0" xfId="0" applyFont="1" applyFill="1"/>
    <xf numFmtId="0" fontId="23" fillId="4" borderId="0" xfId="0" applyFont="1" applyFill="1"/>
    <xf numFmtId="10" fontId="4" fillId="4" borderId="0" xfId="0" applyNumberFormat="1" applyFont="1" applyFill="1"/>
    <xf numFmtId="10" fontId="18" fillId="4" borderId="0" xfId="0" applyNumberFormat="1" applyFont="1" applyFill="1"/>
    <xf numFmtId="168" fontId="9" fillId="2" borderId="0" xfId="0" applyNumberFormat="1" applyFont="1" applyFill="1" applyBorder="1" applyAlignment="1">
      <alignment horizontal="center"/>
    </xf>
    <xf numFmtId="170" fontId="0" fillId="2" borderId="0" xfId="0" applyNumberFormat="1" applyFill="1"/>
    <xf numFmtId="0" fontId="4" fillId="4" borderId="19" xfId="0" applyFont="1" applyFill="1" applyBorder="1"/>
    <xf numFmtId="0" fontId="9" fillId="2" borderId="29" xfId="0" applyFont="1" applyFill="1" applyBorder="1" applyAlignment="1">
      <alignment horizontal="right" vertical="center"/>
    </xf>
    <xf numFmtId="3" fontId="34" fillId="2" borderId="0" xfId="0" applyNumberFormat="1" applyFont="1" applyFill="1" applyBorder="1" applyAlignment="1">
      <alignment horizontal="center"/>
    </xf>
    <xf numFmtId="165" fontId="9" fillId="2" borderId="0" xfId="0" applyNumberFormat="1" applyFont="1" applyFill="1" applyBorder="1" applyAlignment="1">
      <alignment horizontal="center"/>
    </xf>
    <xf numFmtId="169" fontId="9" fillId="2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Alignment="1">
      <alignment wrapText="1"/>
    </xf>
    <xf numFmtId="168" fontId="4" fillId="4" borderId="0" xfId="0" applyNumberFormat="1" applyFont="1" applyFill="1"/>
    <xf numFmtId="3" fontId="34" fillId="2" borderId="0" xfId="0" applyNumberFormat="1" applyFont="1" applyFill="1" applyBorder="1" applyAlignment="1">
      <alignment horizontal="left"/>
    </xf>
    <xf numFmtId="168" fontId="0" fillId="4" borderId="0" xfId="0" applyNumberFormat="1" applyFill="1"/>
    <xf numFmtId="10" fontId="9" fillId="4" borderId="12" xfId="0" applyNumberFormat="1" applyFont="1" applyFill="1" applyBorder="1" applyAlignment="1">
      <alignment horizontal="center"/>
    </xf>
    <xf numFmtId="10" fontId="9" fillId="4" borderId="19" xfId="0" applyNumberFormat="1" applyFont="1" applyFill="1" applyBorder="1" applyAlignment="1">
      <alignment horizontal="center"/>
    </xf>
    <xf numFmtId="165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/>
    <xf numFmtId="3" fontId="9" fillId="2" borderId="0" xfId="0" applyNumberFormat="1" applyFont="1" applyFill="1" applyBorder="1" applyAlignment="1">
      <alignment horizontal="center"/>
    </xf>
    <xf numFmtId="10" fontId="36" fillId="2" borderId="9" xfId="0" applyNumberFormat="1" applyFont="1" applyFill="1" applyBorder="1" applyAlignment="1">
      <alignment horizontal="center"/>
    </xf>
    <xf numFmtId="10" fontId="36" fillId="2" borderId="8" xfId="0" applyNumberFormat="1" applyFont="1" applyFill="1" applyBorder="1" applyAlignment="1">
      <alignment horizontal="center"/>
    </xf>
    <xf numFmtId="3" fontId="4" fillId="2" borderId="30" xfId="0" applyNumberFormat="1" applyFont="1" applyFill="1" applyBorder="1"/>
    <xf numFmtId="3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/>
    <xf numFmtId="168" fontId="19" fillId="2" borderId="0" xfId="0" applyNumberFormat="1" applyFont="1" applyFill="1" applyAlignment="1">
      <alignment horizontal="left" wrapText="1"/>
    </xf>
    <xf numFmtId="0" fontId="19" fillId="2" borderId="0" xfId="0" applyFont="1" applyFill="1" applyAlignment="1">
      <alignment wrapText="1"/>
    </xf>
    <xf numFmtId="171" fontId="4" fillId="2" borderId="0" xfId="0" applyNumberFormat="1" applyFont="1" applyFill="1"/>
    <xf numFmtId="168" fontId="18" fillId="2" borderId="0" xfId="0" applyNumberFormat="1" applyFont="1" applyFill="1"/>
    <xf numFmtId="0" fontId="38" fillId="2" borderId="0" xfId="0" applyFont="1" applyFill="1"/>
    <xf numFmtId="3" fontId="4" fillId="2" borderId="32" xfId="0" applyNumberFormat="1" applyFont="1" applyFill="1" applyBorder="1"/>
    <xf numFmtId="0" fontId="38" fillId="4" borderId="0" xfId="0" applyFont="1" applyFill="1"/>
    <xf numFmtId="14" fontId="39" fillId="4" borderId="0" xfId="0" applyNumberFormat="1" applyFont="1" applyFill="1" applyBorder="1" applyAlignment="1">
      <alignment horizontal="center" wrapText="1"/>
    </xf>
    <xf numFmtId="10" fontId="9" fillId="4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Border="1"/>
    <xf numFmtId="10" fontId="5" fillId="4" borderId="0" xfId="0" applyNumberFormat="1" applyFont="1" applyFill="1" applyBorder="1"/>
    <xf numFmtId="168" fontId="5" fillId="4" borderId="0" xfId="0" applyNumberFormat="1" applyFont="1" applyFill="1"/>
    <xf numFmtId="0" fontId="9" fillId="4" borderId="0" xfId="0" applyFont="1" applyFill="1" applyBorder="1" applyAlignment="1">
      <alignment horizontal="right" vertical="center"/>
    </xf>
    <xf numFmtId="168" fontId="23" fillId="4" borderId="0" xfId="11" applyNumberFormat="1" applyFill="1"/>
    <xf numFmtId="168" fontId="23" fillId="4" borderId="0" xfId="0" applyNumberFormat="1" applyFont="1" applyFill="1"/>
    <xf numFmtId="10" fontId="23" fillId="4" borderId="0" xfId="0" applyNumberFormat="1" applyFont="1" applyFill="1"/>
    <xf numFmtId="172" fontId="0" fillId="2" borderId="0" xfId="0" applyNumberFormat="1" applyFill="1"/>
    <xf numFmtId="10" fontId="9" fillId="6" borderId="12" xfId="0" applyNumberFormat="1" applyFont="1" applyFill="1" applyBorder="1" applyAlignment="1">
      <alignment horizontal="center"/>
    </xf>
    <xf numFmtId="10" fontId="9" fillId="6" borderId="19" xfId="0" applyNumberFormat="1" applyFont="1" applyFill="1" applyBorder="1" applyAlignment="1">
      <alignment horizontal="center"/>
    </xf>
    <xf numFmtId="0" fontId="19" fillId="6" borderId="0" xfId="0" quotePrefix="1" applyFont="1" applyFill="1" applyBorder="1" applyAlignment="1">
      <alignment horizontal="right"/>
    </xf>
    <xf numFmtId="168" fontId="40" fillId="6" borderId="0" xfId="0" applyNumberFormat="1" applyFont="1" applyFill="1" applyBorder="1" applyAlignment="1">
      <alignment horizontal="right"/>
    </xf>
    <xf numFmtId="0" fontId="41" fillId="2" borderId="0" xfId="0" applyFont="1" applyFill="1" applyAlignment="1">
      <alignment horizontal="left"/>
    </xf>
    <xf numFmtId="3" fontId="4" fillId="4" borderId="0" xfId="0" applyNumberFormat="1" applyFont="1" applyFill="1" applyBorder="1" applyAlignment="1"/>
    <xf numFmtId="10" fontId="34" fillId="4" borderId="0" xfId="0" applyNumberFormat="1" applyFont="1" applyFill="1" applyBorder="1" applyAlignment="1">
      <alignment horizontal="center"/>
    </xf>
    <xf numFmtId="3" fontId="34" fillId="4" borderId="0" xfId="0" applyNumberFormat="1" applyFont="1" applyFill="1" applyBorder="1" applyAlignment="1">
      <alignment horizontal="center"/>
    </xf>
    <xf numFmtId="165" fontId="0" fillId="4" borderId="0" xfId="0" applyNumberFormat="1" applyFill="1"/>
    <xf numFmtId="10" fontId="34" fillId="4" borderId="12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Border="1"/>
    <xf numFmtId="168" fontId="9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40" fillId="6" borderId="0" xfId="0" applyNumberFormat="1" applyFont="1" applyFill="1" applyBorder="1" applyAlignment="1">
      <alignment horizontal="right"/>
    </xf>
    <xf numFmtId="0" fontId="9" fillId="4" borderId="28" xfId="0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center"/>
    </xf>
    <xf numFmtId="10" fontId="34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2" borderId="9" xfId="0" applyFill="1" applyBorder="1"/>
    <xf numFmtId="0" fontId="0" fillId="2" borderId="8" xfId="0" applyFill="1" applyBorder="1"/>
    <xf numFmtId="0" fontId="36" fillId="2" borderId="9" xfId="0" applyFont="1" applyFill="1" applyBorder="1"/>
    <xf numFmtId="0" fontId="36" fillId="2" borderId="8" xfId="0" applyFont="1" applyFill="1" applyBorder="1"/>
    <xf numFmtId="10" fontId="9" fillId="2" borderId="8" xfId="0" applyNumberFormat="1" applyFont="1" applyFill="1" applyBorder="1" applyAlignment="1">
      <alignment horizontal="center"/>
    </xf>
    <xf numFmtId="10" fontId="9" fillId="2" borderId="9" xfId="0" applyNumberFormat="1" applyFont="1" applyFill="1" applyBorder="1" applyAlignment="1">
      <alignment horizontal="center"/>
    </xf>
    <xf numFmtId="165" fontId="18" fillId="4" borderId="0" xfId="0" applyNumberFormat="1" applyFont="1" applyFill="1" applyBorder="1"/>
    <xf numFmtId="0" fontId="27" fillId="4" borderId="0" xfId="0" applyFont="1" applyFill="1"/>
    <xf numFmtId="168" fontId="4" fillId="2" borderId="31" xfId="0" applyNumberFormat="1" applyFont="1" applyFill="1" applyBorder="1"/>
    <xf numFmtId="168" fontId="4" fillId="2" borderId="12" xfId="0" applyNumberFormat="1" applyFont="1" applyFill="1" applyBorder="1"/>
    <xf numFmtId="168" fontId="4" fillId="2" borderId="33" xfId="0" applyNumberFormat="1" applyFont="1" applyFill="1" applyBorder="1"/>
    <xf numFmtId="168" fontId="5" fillId="2" borderId="0" xfId="0" applyNumberFormat="1" applyFont="1" applyFill="1" applyBorder="1"/>
    <xf numFmtId="168" fontId="4" fillId="2" borderId="32" xfId="0" applyNumberFormat="1" applyFont="1" applyFill="1" applyBorder="1"/>
    <xf numFmtId="168" fontId="4" fillId="2" borderId="30" xfId="0" applyNumberFormat="1" applyFont="1" applyFill="1" applyBorder="1"/>
    <xf numFmtId="168" fontId="4" fillId="2" borderId="3" xfId="0" applyNumberFormat="1" applyFont="1" applyFill="1" applyBorder="1"/>
    <xf numFmtId="168" fontId="4" fillId="2" borderId="4" xfId="0" applyNumberFormat="1" applyFont="1" applyFill="1" applyBorder="1"/>
    <xf numFmtId="168" fontId="4" fillId="2" borderId="0" xfId="0" applyNumberFormat="1" applyFont="1" applyFill="1" applyBorder="1" applyAlignment="1"/>
    <xf numFmtId="168" fontId="33" fillId="2" borderId="0" xfId="0" applyNumberFormat="1" applyFont="1" applyFill="1"/>
    <xf numFmtId="168" fontId="5" fillId="4" borderId="0" xfId="0" applyNumberFormat="1" applyFont="1" applyFill="1" applyBorder="1"/>
    <xf numFmtId="168" fontId="9" fillId="4" borderId="0" xfId="0" applyNumberFormat="1" applyFont="1" applyFill="1" applyBorder="1" applyAlignment="1">
      <alignment horizontal="center"/>
    </xf>
    <xf numFmtId="168" fontId="5" fillId="2" borderId="12" xfId="0" applyNumberFormat="1" applyFont="1" applyFill="1" applyBorder="1"/>
    <xf numFmtId="14" fontId="9" fillId="2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" fillId="4" borderId="0" xfId="0" applyFont="1" applyFill="1" applyBorder="1"/>
    <xf numFmtId="168" fontId="33" fillId="4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right"/>
    </xf>
    <xf numFmtId="0" fontId="21" fillId="5" borderId="7" xfId="35" applyBorder="1">
      <alignment horizontal="center" vertical="center"/>
    </xf>
    <xf numFmtId="0" fontId="34" fillId="4" borderId="12" xfId="0" applyFont="1" applyFill="1" applyBorder="1" applyAlignment="1">
      <alignment horizontal="left"/>
    </xf>
    <xf numFmtId="0" fontId="34" fillId="4" borderId="19" xfId="0" applyFont="1" applyFill="1" applyBorder="1" applyAlignment="1">
      <alignment horizontal="left"/>
    </xf>
    <xf numFmtId="0" fontId="34" fillId="4" borderId="20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left"/>
    </xf>
    <xf numFmtId="0" fontId="34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168" fontId="4" fillId="4" borderId="12" xfId="0" applyNumberFormat="1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10" fontId="34" fillId="4" borderId="19" xfId="0" applyNumberFormat="1" applyFont="1" applyFill="1" applyBorder="1" applyAlignment="1">
      <alignment horizontal="center"/>
    </xf>
    <xf numFmtId="0" fontId="1" fillId="4" borderId="0" xfId="0" applyFont="1" applyFill="1"/>
    <xf numFmtId="168" fontId="18" fillId="2" borderId="0" xfId="0" applyNumberFormat="1" applyFont="1" applyFill="1" applyAlignment="1">
      <alignment wrapText="1"/>
    </xf>
    <xf numFmtId="0" fontId="42" fillId="0" borderId="0" xfId="0" applyFont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168" fontId="30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/>
    <xf numFmtId="10" fontId="4" fillId="0" borderId="0" xfId="0" applyNumberFormat="1" applyFont="1" applyFill="1"/>
    <xf numFmtId="168" fontId="4" fillId="0" borderId="12" xfId="0" applyNumberFormat="1" applyFont="1" applyFill="1" applyBorder="1"/>
    <xf numFmtId="0" fontId="0" fillId="4" borderId="0" xfId="0" applyFill="1" applyBorder="1"/>
    <xf numFmtId="168" fontId="27" fillId="2" borderId="0" xfId="0" applyNumberFormat="1" applyFont="1" applyFill="1"/>
    <xf numFmtId="10" fontId="43" fillId="2" borderId="12" xfId="0" applyNumberFormat="1" applyFont="1" applyFill="1" applyBorder="1" applyAlignment="1">
      <alignment horizontal="center"/>
    </xf>
    <xf numFmtId="10" fontId="43" fillId="2" borderId="19" xfId="0" applyNumberFormat="1" applyFont="1" applyFill="1" applyBorder="1" applyAlignment="1">
      <alignment horizontal="center"/>
    </xf>
    <xf numFmtId="168" fontId="18" fillId="4" borderId="0" xfId="0" applyNumberFormat="1" applyFont="1" applyFill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3" fontId="0" fillId="4" borderId="0" xfId="0" applyNumberFormat="1" applyFill="1"/>
    <xf numFmtId="10" fontId="1" fillId="2" borderId="0" xfId="36" applyNumberFormat="1" applyFont="1" applyFill="1"/>
    <xf numFmtId="10" fontId="0" fillId="2" borderId="0" xfId="36" applyNumberFormat="1" applyFont="1" applyFill="1"/>
    <xf numFmtId="168" fontId="4" fillId="0" borderId="0" xfId="0" applyNumberFormat="1" applyFont="1" applyFill="1" applyBorder="1"/>
    <xf numFmtId="0" fontId="18" fillId="2" borderId="0" xfId="0" applyFont="1" applyFill="1" applyBorder="1" applyAlignment="1">
      <alignment wrapText="1"/>
    </xf>
    <xf numFmtId="165" fontId="23" fillId="2" borderId="0" xfId="36" applyNumberFormat="1" applyFont="1" applyFill="1"/>
    <xf numFmtId="43" fontId="9" fillId="4" borderId="0" xfId="37" applyFont="1" applyFill="1" applyBorder="1" applyAlignment="1">
      <alignment horizontal="center"/>
    </xf>
    <xf numFmtId="165" fontId="9" fillId="4" borderId="0" xfId="36" applyNumberFormat="1" applyFont="1" applyFill="1" applyBorder="1" applyAlignment="1">
      <alignment horizontal="center"/>
    </xf>
    <xf numFmtId="9" fontId="4" fillId="2" borderId="0" xfId="36" applyFont="1" applyFill="1"/>
    <xf numFmtId="168" fontId="9" fillId="4" borderId="0" xfId="0" applyNumberFormat="1" applyFont="1" applyFill="1" applyBorder="1" applyAlignment="1">
      <alignment horizontal="right" vertical="center"/>
    </xf>
    <xf numFmtId="168" fontId="4" fillId="0" borderId="0" xfId="0" applyNumberFormat="1" applyFont="1" applyFill="1"/>
    <xf numFmtId="168" fontId="5" fillId="0" borderId="0" xfId="0" applyNumberFormat="1" applyFont="1" applyFill="1"/>
    <xf numFmtId="168" fontId="18" fillId="0" borderId="0" xfId="0" applyNumberFormat="1" applyFont="1" applyFill="1"/>
    <xf numFmtId="10" fontId="9" fillId="4" borderId="0" xfId="36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0" fontId="9" fillId="2" borderId="35" xfId="0" applyFont="1" applyFill="1" applyBorder="1" applyAlignment="1">
      <alignment horizontal="right" vertical="center"/>
    </xf>
    <xf numFmtId="0" fontId="0" fillId="2" borderId="37" xfId="0" applyFill="1" applyBorder="1"/>
    <xf numFmtId="0" fontId="36" fillId="2" borderId="0" xfId="0" applyFont="1" applyFill="1" applyBorder="1"/>
    <xf numFmtId="14" fontId="9" fillId="2" borderId="5" xfId="0" applyNumberFormat="1" applyFont="1" applyFill="1" applyBorder="1" applyAlignment="1">
      <alignment horizontal="center" vertical="center"/>
    </xf>
    <xf numFmtId="14" fontId="9" fillId="2" borderId="34" xfId="0" applyNumberFormat="1" applyFont="1" applyFill="1" applyBorder="1" applyAlignment="1">
      <alignment vertical="center"/>
    </xf>
    <xf numFmtId="10" fontId="9" fillId="2" borderId="19" xfId="36" applyNumberFormat="1" applyFont="1" applyFill="1" applyBorder="1" applyAlignment="1">
      <alignment vertical="center"/>
    </xf>
    <xf numFmtId="0" fontId="39" fillId="4" borderId="0" xfId="0" applyFont="1" applyFill="1"/>
    <xf numFmtId="14" fontId="4" fillId="2" borderId="9" xfId="0" applyNumberFormat="1" applyFont="1" applyFill="1" applyBorder="1" applyAlignment="1">
      <alignment horizontal="center" vertical="center"/>
    </xf>
    <xf numFmtId="168" fontId="34" fillId="2" borderId="0" xfId="0" applyNumberFormat="1" applyFont="1" applyFill="1" applyBorder="1" applyAlignment="1">
      <alignment horizontal="left"/>
    </xf>
    <xf numFmtId="10" fontId="9" fillId="0" borderId="19" xfId="0" applyNumberFormat="1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29" fillId="0" borderId="0" xfId="0" applyFont="1" applyFill="1"/>
    <xf numFmtId="14" fontId="9" fillId="2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0" fontId="43" fillId="2" borderId="0" xfId="0" applyNumberFormat="1" applyFont="1" applyFill="1" applyBorder="1" applyAlignment="1">
      <alignment horizontal="center"/>
    </xf>
    <xf numFmtId="165" fontId="4" fillId="2" borderId="19" xfId="0" applyNumberFormat="1" applyFont="1" applyFill="1" applyBorder="1"/>
    <xf numFmtId="0" fontId="45" fillId="2" borderId="0" xfId="0" applyFont="1" applyFill="1" applyAlignment="1">
      <alignment horizontal="right"/>
    </xf>
    <xf numFmtId="0" fontId="46" fillId="2" borderId="0" xfId="0" applyFont="1" applyFill="1"/>
    <xf numFmtId="3" fontId="45" fillId="4" borderId="0" xfId="0" applyNumberFormat="1" applyFont="1" applyFill="1"/>
    <xf numFmtId="3" fontId="45" fillId="2" borderId="0" xfId="0" applyNumberFormat="1" applyFont="1" applyFill="1"/>
    <xf numFmtId="173" fontId="0" fillId="2" borderId="0" xfId="37" applyNumberFormat="1" applyFont="1" applyFill="1"/>
    <xf numFmtId="0" fontId="0" fillId="0" borderId="0" xfId="0" applyFill="1"/>
    <xf numFmtId="0" fontId="4" fillId="0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168" fontId="3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8" fontId="23" fillId="0" borderId="0" xfId="0" applyNumberFormat="1" applyFont="1" applyFill="1"/>
    <xf numFmtId="165" fontId="4" fillId="0" borderId="0" xfId="0" applyNumberFormat="1" applyFont="1" applyFill="1"/>
    <xf numFmtId="3" fontId="5" fillId="0" borderId="0" xfId="0" applyNumberFormat="1" applyFont="1" applyFill="1"/>
    <xf numFmtId="10" fontId="0" fillId="0" borderId="0" xfId="36" applyNumberFormat="1" applyFont="1" applyFill="1"/>
    <xf numFmtId="0" fontId="34" fillId="0" borderId="0" xfId="0" applyFont="1" applyFill="1" applyBorder="1" applyAlignment="1">
      <alignment horizontal="left"/>
    </xf>
    <xf numFmtId="168" fontId="5" fillId="0" borderId="0" xfId="0" applyNumberFormat="1" applyFont="1" applyFill="1" applyBorder="1"/>
    <xf numFmtId="0" fontId="34" fillId="0" borderId="5" xfId="0" applyFont="1" applyFill="1" applyBorder="1" applyAlignment="1">
      <alignment horizontal="left"/>
    </xf>
    <xf numFmtId="3" fontId="5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3" xfId="0" applyNumberFormat="1" applyFont="1" applyFill="1" applyBorder="1"/>
    <xf numFmtId="165" fontId="4" fillId="0" borderId="4" xfId="0" applyNumberFormat="1" applyFont="1" applyFill="1" applyBorder="1"/>
    <xf numFmtId="174" fontId="0" fillId="0" borderId="0" xfId="0" applyNumberFormat="1" applyFill="1"/>
    <xf numFmtId="175" fontId="4" fillId="0" borderId="0" xfId="0" applyNumberFormat="1" applyFont="1" applyFill="1"/>
    <xf numFmtId="3" fontId="45" fillId="0" borderId="0" xfId="0" applyNumberFormat="1" applyFont="1" applyFill="1"/>
    <xf numFmtId="168" fontId="9" fillId="0" borderId="0" xfId="0" applyNumberFormat="1" applyFont="1" applyFill="1" applyBorder="1" applyAlignment="1">
      <alignment horizontal="center"/>
    </xf>
    <xf numFmtId="10" fontId="9" fillId="0" borderId="0" xfId="36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wrapText="1"/>
    </xf>
    <xf numFmtId="0" fontId="23" fillId="0" borderId="0" xfId="0" applyFont="1" applyFill="1" applyAlignment="1">
      <alignment horizontal="left"/>
    </xf>
    <xf numFmtId="0" fontId="29" fillId="4" borderId="0" xfId="0" applyFont="1" applyFill="1"/>
    <xf numFmtId="14" fontId="27" fillId="0" borderId="0" xfId="0" applyNumberFormat="1" applyFont="1" applyFill="1"/>
    <xf numFmtId="14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/>
    <xf numFmtId="2" fontId="39" fillId="4" borderId="0" xfId="0" applyNumberFormat="1" applyFont="1" applyFill="1"/>
    <xf numFmtId="168" fontId="5" fillId="0" borderId="12" xfId="0" applyNumberFormat="1" applyFont="1" applyFill="1" applyBorder="1"/>
    <xf numFmtId="3" fontId="23" fillId="0" borderId="0" xfId="0" applyNumberFormat="1" applyFont="1" applyFill="1"/>
    <xf numFmtId="3" fontId="33" fillId="0" borderId="0" xfId="0" applyNumberFormat="1" applyFont="1" applyFill="1"/>
    <xf numFmtId="168" fontId="33" fillId="0" borderId="0" xfId="0" applyNumberFormat="1" applyFont="1" applyFill="1"/>
    <xf numFmtId="14" fontId="38" fillId="0" borderId="0" xfId="0" applyNumberFormat="1" applyFont="1" applyFill="1"/>
    <xf numFmtId="14" fontId="39" fillId="0" borderId="0" xfId="0" applyNumberFormat="1" applyFont="1" applyFill="1" applyBorder="1" applyAlignment="1">
      <alignment horizontal="center" wrapText="1"/>
    </xf>
    <xf numFmtId="0" fontId="39" fillId="0" borderId="0" xfId="0" applyFont="1" applyFill="1"/>
    <xf numFmtId="176" fontId="9" fillId="2" borderId="0" xfId="0" applyNumberFormat="1" applyFont="1" applyFill="1" applyBorder="1" applyAlignment="1">
      <alignment horizontal="center"/>
    </xf>
    <xf numFmtId="0" fontId="34" fillId="0" borderId="37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168" fontId="4" fillId="2" borderId="0" xfId="0" applyNumberFormat="1" applyFont="1" applyFill="1" applyAlignment="1"/>
    <xf numFmtId="174" fontId="4" fillId="4" borderId="0" xfId="0" applyNumberFormat="1" applyFont="1" applyFill="1"/>
    <xf numFmtId="9" fontId="0" fillId="0" borderId="0" xfId="36" applyNumberFormat="1" applyFont="1" applyFill="1"/>
    <xf numFmtId="3" fontId="4" fillId="0" borderId="0" xfId="0" applyNumberFormat="1" applyFont="1" applyFill="1"/>
    <xf numFmtId="177" fontId="4" fillId="2" borderId="0" xfId="0" applyNumberFormat="1" applyFont="1" applyFill="1"/>
    <xf numFmtId="177" fontId="9" fillId="2" borderId="0" xfId="0" applyNumberFormat="1" applyFont="1" applyFill="1" applyBorder="1" applyAlignment="1">
      <alignment horizontal="center"/>
    </xf>
    <xf numFmtId="168" fontId="9" fillId="0" borderId="12" xfId="0" applyNumberFormat="1" applyFont="1" applyFill="1" applyBorder="1" applyAlignment="1">
      <alignment horizontal="center"/>
    </xf>
    <xf numFmtId="168" fontId="0" fillId="0" borderId="12" xfId="0" applyNumberFormat="1" applyFill="1" applyBorder="1"/>
    <xf numFmtId="168" fontId="34" fillId="0" borderId="20" xfId="0" applyNumberFormat="1" applyFont="1" applyFill="1" applyBorder="1" applyAlignment="1">
      <alignment horizontal="left"/>
    </xf>
    <xf numFmtId="168" fontId="34" fillId="0" borderId="38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9" fontId="0" fillId="2" borderId="0" xfId="36" applyFont="1" applyFill="1"/>
    <xf numFmtId="43" fontId="9" fillId="0" borderId="0" xfId="37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8" fontId="19" fillId="2" borderId="0" xfId="0" applyNumberFormat="1" applyFont="1" applyFill="1" applyAlignment="1">
      <alignment wrapText="1"/>
    </xf>
    <xf numFmtId="165" fontId="4" fillId="7" borderId="0" xfId="0" applyNumberFormat="1" applyFont="1" applyFill="1"/>
    <xf numFmtId="3" fontId="5" fillId="7" borderId="0" xfId="0" applyNumberFormat="1" applyFont="1" applyFill="1"/>
    <xf numFmtId="43" fontId="38" fillId="2" borderId="0" xfId="37" applyFont="1" applyFill="1"/>
    <xf numFmtId="43" fontId="38" fillId="2" borderId="0" xfId="37" applyNumberFormat="1" applyFont="1" applyFill="1"/>
    <xf numFmtId="178" fontId="38" fillId="2" borderId="0" xfId="37" applyNumberFormat="1" applyFont="1" applyFill="1"/>
    <xf numFmtId="179" fontId="38" fillId="2" borderId="0" xfId="37" applyNumberFormat="1" applyFont="1" applyFill="1"/>
    <xf numFmtId="180" fontId="38" fillId="2" borderId="0" xfId="37" applyNumberFormat="1" applyFont="1" applyFill="1"/>
    <xf numFmtId="165" fontId="18" fillId="0" borderId="0" xfId="0" applyNumberFormat="1" applyFont="1" applyFill="1" applyBorder="1"/>
    <xf numFmtId="0" fontId="0" fillId="2" borderId="0" xfId="0" applyNumberFormat="1" applyFill="1"/>
    <xf numFmtId="0" fontId="4" fillId="0" borderId="0" xfId="0" applyFont="1" applyFill="1" applyAlignment="1">
      <alignment horizontal="left" vertical="center"/>
    </xf>
    <xf numFmtId="10" fontId="9" fillId="0" borderId="12" xfId="0" applyNumberFormat="1" applyFont="1" applyFill="1" applyBorder="1" applyAlignment="1">
      <alignment horizontal="center"/>
    </xf>
    <xf numFmtId="0" fontId="23" fillId="0" borderId="0" xfId="0" applyFont="1" applyFill="1"/>
    <xf numFmtId="14" fontId="9" fillId="0" borderId="16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68" fontId="4" fillId="0" borderId="0" xfId="0" applyNumberFormat="1" applyFont="1" applyFill="1" applyAlignment="1">
      <alignment horizontal="right" wrapText="1"/>
    </xf>
    <xf numFmtId="168" fontId="0" fillId="0" borderId="0" xfId="0" applyNumberFormat="1" applyFill="1"/>
    <xf numFmtId="170" fontId="4" fillId="0" borderId="0" xfId="0" applyNumberFormat="1" applyFont="1" applyFill="1"/>
    <xf numFmtId="170" fontId="4" fillId="4" borderId="0" xfId="0" applyNumberFormat="1" applyFont="1" applyFill="1"/>
    <xf numFmtId="170" fontId="4" fillId="2" borderId="0" xfId="0" applyNumberFormat="1" applyFont="1" applyFill="1"/>
    <xf numFmtId="0" fontId="4" fillId="0" borderId="0" xfId="0" applyFont="1" applyFill="1"/>
    <xf numFmtId="0" fontId="34" fillId="0" borderId="12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/>
    </xf>
    <xf numFmtId="168" fontId="4" fillId="0" borderId="0" xfId="0" applyNumberFormat="1" applyFont="1" applyFill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165" fontId="9" fillId="0" borderId="0" xfId="0" applyNumberFormat="1" applyFont="1" applyFill="1" applyBorder="1" applyAlignment="1">
      <alignment horizontal="center"/>
    </xf>
    <xf numFmtId="168" fontId="4" fillId="0" borderId="0" xfId="0" applyNumberFormat="1" applyFont="1" applyFill="1" applyBorder="1" applyAlignment="1"/>
    <xf numFmtId="10" fontId="34" fillId="0" borderId="0" xfId="0" applyNumberFormat="1" applyFont="1" applyFill="1" applyBorder="1" applyAlignment="1">
      <alignment horizontal="center"/>
    </xf>
    <xf numFmtId="165" fontId="23" fillId="0" borderId="0" xfId="0" applyNumberFormat="1" applyFont="1" applyFill="1"/>
    <xf numFmtId="177" fontId="4" fillId="0" borderId="0" xfId="0" applyNumberFormat="1" applyFont="1" applyFill="1"/>
    <xf numFmtId="177" fontId="9" fillId="0" borderId="0" xfId="0" applyNumberFormat="1" applyFont="1" applyFill="1" applyBorder="1" applyAlignment="1">
      <alignment horizontal="center"/>
    </xf>
    <xf numFmtId="174" fontId="4" fillId="0" borderId="0" xfId="0" applyNumberFormat="1" applyFont="1" applyFill="1"/>
    <xf numFmtId="3" fontId="0" fillId="0" borderId="0" xfId="0" applyNumberFormat="1" applyFill="1"/>
    <xf numFmtId="168" fontId="23" fillId="0" borderId="0" xfId="11" applyNumberFormat="1" applyFill="1"/>
    <xf numFmtId="9" fontId="0" fillId="0" borderId="0" xfId="36" applyFont="1" applyFill="1"/>
    <xf numFmtId="10" fontId="23" fillId="0" borderId="0" xfId="0" applyNumberFormat="1" applyFont="1" applyFill="1"/>
    <xf numFmtId="169" fontId="9" fillId="0" borderId="0" xfId="0" applyNumberFormat="1" applyFont="1" applyFill="1" applyBorder="1" applyAlignment="1">
      <alignment horizontal="center"/>
    </xf>
    <xf numFmtId="43" fontId="38" fillId="0" borderId="0" xfId="37" applyFont="1" applyFill="1"/>
    <xf numFmtId="165" fontId="9" fillId="0" borderId="0" xfId="36" applyNumberFormat="1" applyFont="1" applyFill="1" applyBorder="1" applyAlignment="1">
      <alignment horizontal="center"/>
    </xf>
    <xf numFmtId="10" fontId="18" fillId="0" borderId="0" xfId="0" applyNumberFormat="1" applyFont="1" applyFill="1"/>
    <xf numFmtId="3" fontId="4" fillId="7" borderId="0" xfId="0" applyNumberFormat="1" applyFont="1" applyFill="1" applyAlignment="1">
      <alignment vertical="center"/>
    </xf>
    <xf numFmtId="3" fontId="4" fillId="7" borderId="0" xfId="0" applyNumberFormat="1" applyFont="1" applyFill="1"/>
    <xf numFmtId="168" fontId="4" fillId="7" borderId="0" xfId="0" applyNumberFormat="1" applyFont="1" applyFill="1"/>
    <xf numFmtId="10" fontId="18" fillId="7" borderId="0" xfId="0" applyNumberFormat="1" applyFont="1" applyFill="1"/>
    <xf numFmtId="10" fontId="4" fillId="7" borderId="0" xfId="0" applyNumberFormat="1" applyFont="1" applyFill="1"/>
    <xf numFmtId="165" fontId="4" fillId="7" borderId="0" xfId="0" applyNumberFormat="1" applyFont="1" applyFill="1" applyAlignment="1">
      <alignment horizontal="right"/>
    </xf>
    <xf numFmtId="3" fontId="23" fillId="7" borderId="0" xfId="0" applyNumberFormat="1" applyFont="1" applyFill="1"/>
    <xf numFmtId="0" fontId="0" fillId="7" borderId="0" xfId="0" applyFill="1"/>
    <xf numFmtId="170" fontId="4" fillId="7" borderId="0" xfId="0" applyNumberFormat="1" applyFont="1" applyFill="1"/>
    <xf numFmtId="168" fontId="4" fillId="7" borderId="0" xfId="0" applyNumberFormat="1" applyFont="1" applyFill="1" applyAlignment="1">
      <alignment horizontal="right"/>
    </xf>
    <xf numFmtId="168" fontId="4" fillId="7" borderId="0" xfId="0" applyNumberFormat="1" applyFont="1" applyFill="1" applyAlignment="1">
      <alignment horizontal="right" wrapText="1"/>
    </xf>
    <xf numFmtId="168" fontId="4" fillId="7" borderId="0" xfId="0" applyNumberFormat="1" applyFont="1" applyFill="1" applyBorder="1" applyAlignment="1">
      <alignment horizontal="right"/>
    </xf>
    <xf numFmtId="168" fontId="4" fillId="7" borderId="0" xfId="0" applyNumberFormat="1" applyFont="1" applyFill="1" applyBorder="1"/>
    <xf numFmtId="168" fontId="40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/>
    <xf numFmtId="168" fontId="9" fillId="7" borderId="0" xfId="0" applyNumberFormat="1" applyFont="1" applyFill="1" applyBorder="1" applyAlignment="1">
      <alignment horizontal="center"/>
    </xf>
    <xf numFmtId="165" fontId="4" fillId="7" borderId="3" xfId="0" applyNumberFormat="1" applyFont="1" applyFill="1" applyBorder="1"/>
    <xf numFmtId="165" fontId="4" fillId="7" borderId="4" xfId="0" applyNumberFormat="1" applyFont="1" applyFill="1" applyBorder="1"/>
    <xf numFmtId="168" fontId="34" fillId="7" borderId="0" xfId="0" applyNumberFormat="1" applyFont="1" applyFill="1" applyBorder="1" applyAlignment="1">
      <alignment horizontal="left"/>
    </xf>
    <xf numFmtId="168" fontId="23" fillId="7" borderId="0" xfId="0" applyNumberFormat="1" applyFont="1" applyFill="1"/>
    <xf numFmtId="168" fontId="4" fillId="7" borderId="12" xfId="0" applyNumberFormat="1" applyFont="1" applyFill="1" applyBorder="1"/>
    <xf numFmtId="168" fontId="5" fillId="7" borderId="12" xfId="0" applyNumberFormat="1" applyFont="1" applyFill="1" applyBorder="1"/>
    <xf numFmtId="168" fontId="9" fillId="7" borderId="12" xfId="0" applyNumberFormat="1" applyFont="1" applyFill="1" applyBorder="1" applyAlignment="1">
      <alignment horizontal="center"/>
    </xf>
    <xf numFmtId="168" fontId="0" fillId="7" borderId="12" xfId="0" applyNumberFormat="1" applyFill="1" applyBorder="1"/>
    <xf numFmtId="165" fontId="4" fillId="7" borderId="0" xfId="0" applyNumberFormat="1" applyFont="1" applyFill="1" applyBorder="1"/>
    <xf numFmtId="0" fontId="0" fillId="7" borderId="0" xfId="0" applyFill="1" applyBorder="1"/>
    <xf numFmtId="168" fontId="4" fillId="7" borderId="0" xfId="0" applyNumberFormat="1" applyFont="1" applyFill="1" applyBorder="1" applyAlignment="1"/>
    <xf numFmtId="168" fontId="33" fillId="7" borderId="0" xfId="0" applyNumberFormat="1" applyFont="1" applyFill="1"/>
    <xf numFmtId="0" fontId="9" fillId="7" borderId="0" xfId="0" applyFont="1" applyFill="1" applyBorder="1" applyAlignment="1">
      <alignment horizontal="right" vertical="center"/>
    </xf>
    <xf numFmtId="165" fontId="23" fillId="7" borderId="0" xfId="0" applyNumberFormat="1" applyFont="1" applyFill="1"/>
    <xf numFmtId="168" fontId="18" fillId="7" borderId="0" xfId="0" applyNumberFormat="1" applyFont="1" applyFill="1"/>
    <xf numFmtId="177" fontId="4" fillId="7" borderId="0" xfId="0" applyNumberFormat="1" applyFont="1" applyFill="1"/>
    <xf numFmtId="177" fontId="9" fillId="7" borderId="0" xfId="0" applyNumberFormat="1" applyFont="1" applyFill="1" applyBorder="1" applyAlignment="1">
      <alignment horizontal="center"/>
    </xf>
    <xf numFmtId="174" fontId="4" fillId="7" borderId="0" xfId="0" applyNumberFormat="1" applyFont="1" applyFill="1"/>
    <xf numFmtId="168" fontId="23" fillId="7" borderId="0" xfId="11" applyNumberFormat="1" applyFill="1"/>
    <xf numFmtId="168" fontId="0" fillId="7" borderId="0" xfId="0" applyNumberFormat="1" applyFill="1"/>
    <xf numFmtId="10" fontId="23" fillId="7" borderId="0" xfId="0" applyNumberFormat="1" applyFont="1" applyFill="1"/>
    <xf numFmtId="3" fontId="45" fillId="7" borderId="0" xfId="0" applyNumberFormat="1" applyFont="1" applyFill="1"/>
    <xf numFmtId="3" fontId="33" fillId="7" borderId="0" xfId="0" applyNumberFormat="1" applyFont="1" applyFill="1"/>
    <xf numFmtId="3" fontId="9" fillId="7" borderId="0" xfId="0" applyNumberFormat="1" applyFont="1" applyFill="1" applyBorder="1" applyAlignment="1">
      <alignment horizontal="center"/>
    </xf>
    <xf numFmtId="10" fontId="9" fillId="7" borderId="0" xfId="0" applyNumberFormat="1" applyFont="1" applyFill="1" applyBorder="1" applyAlignment="1">
      <alignment horizontal="center"/>
    </xf>
    <xf numFmtId="169" fontId="9" fillId="7" borderId="0" xfId="0" applyNumberFormat="1" applyFont="1" applyFill="1" applyBorder="1" applyAlignment="1">
      <alignment horizontal="center"/>
    </xf>
    <xf numFmtId="165" fontId="9" fillId="7" borderId="0" xfId="36" applyNumberFormat="1" applyFont="1" applyFill="1" applyBorder="1" applyAlignment="1">
      <alignment horizontal="center"/>
    </xf>
    <xf numFmtId="0" fontId="27" fillId="2" borderId="1" xfId="3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2" borderId="5" xfId="3" applyFont="1" applyFill="1" applyBorder="1" applyAlignment="1">
      <alignment horizontal="left" wrapText="1"/>
    </xf>
    <xf numFmtId="0" fontId="17" fillId="2" borderId="1" xfId="3" applyFont="1" applyFill="1" applyBorder="1" applyAlignment="1">
      <alignment horizontal="left" wrapText="1"/>
    </xf>
    <xf numFmtId="0" fontId="25" fillId="4" borderId="10" xfId="28">
      <alignment horizontal="left" wrapText="1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  <xf numFmtId="168" fontId="4" fillId="2" borderId="7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1" fillId="5" borderId="6" xfId="35" applyBorder="1">
      <alignment horizontal="center" vertical="center"/>
    </xf>
    <xf numFmtId="0" fontId="21" fillId="5" borderId="7" xfId="35" applyBorder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1" fillId="5" borderId="9" xfId="35" applyBorder="1">
      <alignment horizontal="center" vertical="center"/>
    </xf>
    <xf numFmtId="0" fontId="21" fillId="5" borderId="13" xfId="35" applyBorder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4" fontId="9" fillId="2" borderId="19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0" borderId="27" xfId="3" applyFont="1" applyBorder="1" applyAlignment="1" applyProtection="1">
      <alignment horizontal="center"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4" fontId="9" fillId="2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9" fillId="2" borderId="36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2" xfId="3" applyFont="1" applyBorder="1" applyAlignment="1" applyProtection="1">
      <alignment horizontal="center" vertical="center" wrapText="1"/>
      <protection locked="0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14" fontId="9" fillId="2" borderId="14" xfId="0" applyNumberFormat="1" applyFont="1" applyFill="1" applyBorder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/>
    </xf>
    <xf numFmtId="168" fontId="4" fillId="0" borderId="6" xfId="0" applyNumberFormat="1" applyFont="1" applyFill="1" applyBorder="1" applyAlignment="1">
      <alignment horizontal="center" vertical="center"/>
    </xf>
    <xf numFmtId="168" fontId="4" fillId="0" borderId="7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8" fontId="20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9" fillId="0" borderId="16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</cellXfs>
  <cellStyles count="38">
    <cellStyle name="fo]_x000d__x000a_UserName=bsv_x000d__x000a_UserCompany=СПб РЦ АБ ИНКОМБАНК_x000d__x000a__x000d__x000a_[File Paths]_x000d__x000a_WorkingDirectory=C:\MSTOCK\DLWIN_x000d__x000a_DownLoad" xfId="1"/>
    <cellStyle name="Iau?iue_IAS99q4_rab" xfId="2"/>
    <cellStyle name="Гиперссылка" xfId="3" builtinId="8"/>
    <cellStyle name="Гиперссылка 2" xfId="4"/>
    <cellStyle name="Гиперссылка 3" xfId="5"/>
    <cellStyle name="Гиперссылка 4" xfId="6"/>
    <cellStyle name="Гиперссылка 5" xfId="7"/>
    <cellStyle name="Гиперссылка 6" xfId="8"/>
    <cellStyle name="Гиперссылка 7" xfId="9"/>
    <cellStyle name="Гиперссылка 8" xfId="10"/>
    <cellStyle name="Заливон" xfId="35"/>
    <cellStyle name="минус" xfId="11"/>
    <cellStyle name="Обычный" xfId="0" builtinId="0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3" xfId="17"/>
    <cellStyle name="Обычный 3 2" xfId="18"/>
    <cellStyle name="Обычный 3 3" xfId="19"/>
    <cellStyle name="Обычный 3 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Процентный" xfId="36" builtinId="5"/>
    <cellStyle name="Процентный 2" xfId="26"/>
    <cellStyle name="Процентный 2 2" xfId="27"/>
    <cellStyle name="Стиль оглавл" xfId="28"/>
    <cellStyle name="Стиль ссылки" xfId="29"/>
    <cellStyle name="Стиль ссылки об" xfId="30"/>
    <cellStyle name="Тысячи [0]_ Куйб.ф-л" xfId="31"/>
    <cellStyle name="Тысячи_ Куйб.ф-л" xfId="32"/>
    <cellStyle name="Финансовый" xfId="37" builtinId="3"/>
    <cellStyle name="Финансовый 2" xfId="33"/>
    <cellStyle name="Финансовый 2 2" xfId="34"/>
  </cellStyles>
  <dxfs count="0"/>
  <tableStyles count="0" defaultTableStyle="TableStyleMedium2" defaultPivotStyle="PivotStyleLight16"/>
  <colors>
    <mruColors>
      <color rgb="FFE7FFFF"/>
      <color rgb="FF6ED9FF"/>
      <color rgb="FFCCFFFF"/>
      <color rgb="FF008080"/>
      <color rgb="FF99CCFF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701040</xdr:colOff>
      <xdr:row>2</xdr:row>
      <xdr:rowOff>121920</xdr:rowOff>
    </xdr:from>
    <xdr:to>
      <xdr:col>4</xdr:col>
      <xdr:colOff>576232</xdr:colOff>
      <xdr:row>6</xdr:row>
      <xdr:rowOff>70343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487680"/>
          <a:ext cx="1841152" cy="679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285750"/>
          <a:ext cx="1841152" cy="6828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124011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467" y="186267"/>
          <a:ext cx="1841152" cy="6828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134171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" y="182880"/>
          <a:ext cx="1841152" cy="6828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841152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38"/>
  <sheetViews>
    <sheetView tabSelected="1" zoomScaleNormal="100" workbookViewId="0"/>
  </sheetViews>
  <sheetFormatPr defaultColWidth="9.140625" defaultRowHeight="15" x14ac:dyDescent="0.25"/>
  <cols>
    <col min="1" max="1" width="5.85546875" style="1" customWidth="1"/>
    <col min="2" max="2" width="10.42578125" style="1" customWidth="1"/>
    <col min="3" max="5" width="9.140625" style="1"/>
    <col min="6" max="6" width="9.5703125" style="1" customWidth="1"/>
    <col min="7" max="13" width="9.140625" style="1"/>
    <col min="14" max="16" width="9.140625" style="1" hidden="1" customWidth="1"/>
    <col min="17" max="16384" width="9.140625" style="1"/>
  </cols>
  <sheetData>
    <row r="1" spans="1:16" x14ac:dyDescent="0.25">
      <c r="A1" s="61"/>
    </row>
    <row r="8" spans="1:16" ht="21" x14ac:dyDescent="0.35">
      <c r="B8" s="2"/>
      <c r="C8" s="442" t="s">
        <v>473</v>
      </c>
      <c r="D8" s="442"/>
      <c r="E8" s="442"/>
      <c r="F8" s="442"/>
      <c r="G8" s="442"/>
      <c r="H8" s="442"/>
      <c r="I8" s="442"/>
      <c r="J8" s="442"/>
      <c r="K8" s="2"/>
      <c r="L8" s="2"/>
      <c r="M8" s="2"/>
      <c r="N8" s="2"/>
      <c r="O8" s="2"/>
      <c r="P8" s="2"/>
    </row>
    <row r="9" spans="1:16" x14ac:dyDescent="0.25">
      <c r="B9" s="61"/>
    </row>
    <row r="10" spans="1:16" x14ac:dyDescent="0.25">
      <c r="A10" s="61"/>
      <c r="B10" s="61"/>
      <c r="C10" s="61"/>
    </row>
    <row r="11" spans="1:16" ht="28.5" customHeight="1" x14ac:dyDescent="0.25">
      <c r="C11" s="443" t="s">
        <v>0</v>
      </c>
      <c r="D11" s="443"/>
      <c r="E11" s="443"/>
      <c r="F11" s="443"/>
    </row>
    <row r="12" spans="1:16" ht="28.5" customHeight="1" x14ac:dyDescent="0.25">
      <c r="C12" s="444" t="s">
        <v>157</v>
      </c>
      <c r="D12" s="444"/>
      <c r="E12" s="444"/>
      <c r="F12" s="444"/>
    </row>
    <row r="13" spans="1:16" ht="28.5" customHeight="1" x14ac:dyDescent="0.25">
      <c r="C13" s="444" t="s">
        <v>177</v>
      </c>
      <c r="D13" s="444"/>
      <c r="E13" s="444"/>
      <c r="F13" s="444"/>
    </row>
    <row r="14" spans="1:16" ht="28.5" customHeight="1" x14ac:dyDescent="0.25">
      <c r="C14" s="445" t="s">
        <v>1</v>
      </c>
      <c r="D14" s="445"/>
      <c r="E14" s="445"/>
      <c r="F14" s="445"/>
    </row>
    <row r="15" spans="1:16" ht="28.5" customHeight="1" x14ac:dyDescent="0.25">
      <c r="C15" s="445" t="s">
        <v>2</v>
      </c>
      <c r="D15" s="445"/>
      <c r="E15" s="445"/>
      <c r="F15" s="445"/>
    </row>
    <row r="16" spans="1:16" ht="28.5" customHeight="1" x14ac:dyDescent="0.25">
      <c r="C16" s="441" t="s">
        <v>194</v>
      </c>
      <c r="D16" s="441"/>
      <c r="E16" s="441"/>
      <c r="F16" s="441"/>
    </row>
    <row r="17" spans="3:6" ht="15.75" x14ac:dyDescent="0.25">
      <c r="C17" s="4"/>
      <c r="D17" s="3"/>
      <c r="E17" s="3"/>
      <c r="F17" s="3"/>
    </row>
    <row r="18" spans="3:6" ht="15.75" x14ac:dyDescent="0.25">
      <c r="C18" s="4"/>
      <c r="D18" s="3"/>
      <c r="E18" s="3"/>
      <c r="F18" s="3"/>
    </row>
    <row r="19" spans="3:6" ht="15.75" x14ac:dyDescent="0.25">
      <c r="C19" s="183" t="s">
        <v>281</v>
      </c>
      <c r="D19" s="3"/>
      <c r="E19" s="3"/>
      <c r="F19" s="3"/>
    </row>
    <row r="20" spans="3:6" ht="15.75" x14ac:dyDescent="0.25">
      <c r="C20" s="183" t="s">
        <v>461</v>
      </c>
      <c r="D20" s="3"/>
      <c r="E20" s="3"/>
      <c r="F20" s="3"/>
    </row>
    <row r="21" spans="3:6" ht="15.75" x14ac:dyDescent="0.25">
      <c r="C21" s="183" t="s">
        <v>428</v>
      </c>
      <c r="D21" s="3"/>
      <c r="E21" s="3"/>
      <c r="F21" s="3"/>
    </row>
    <row r="22" spans="3:6" ht="15.75" x14ac:dyDescent="0.25">
      <c r="C22" s="183" t="s">
        <v>422</v>
      </c>
      <c r="D22" s="3"/>
      <c r="E22" s="3"/>
      <c r="F22" s="3"/>
    </row>
    <row r="23" spans="3:6" ht="15.75" x14ac:dyDescent="0.25">
      <c r="C23" s="183" t="s">
        <v>413</v>
      </c>
      <c r="D23" s="3"/>
      <c r="E23" s="3"/>
      <c r="F23" s="3"/>
    </row>
    <row r="24" spans="3:6" ht="15.75" x14ac:dyDescent="0.25">
      <c r="C24" s="183" t="s">
        <v>414</v>
      </c>
      <c r="D24" s="3"/>
      <c r="E24" s="3"/>
      <c r="F24" s="3"/>
    </row>
    <row r="25" spans="3:6" ht="15.75" x14ac:dyDescent="0.25">
      <c r="C25" s="183" t="s">
        <v>398</v>
      </c>
      <c r="D25" s="3"/>
      <c r="E25" s="3"/>
      <c r="F25" s="3"/>
    </row>
    <row r="26" spans="3:6" ht="15.75" x14ac:dyDescent="0.25">
      <c r="C26" s="183" t="s">
        <v>416</v>
      </c>
      <c r="D26" s="3"/>
      <c r="E26" s="3"/>
      <c r="F26" s="3"/>
    </row>
    <row r="27" spans="3:6" ht="15.75" x14ac:dyDescent="0.25">
      <c r="C27" s="183" t="s">
        <v>396</v>
      </c>
      <c r="D27" s="3"/>
      <c r="E27" s="3"/>
      <c r="F27" s="3"/>
    </row>
    <row r="28" spans="3:6" ht="15.75" customHeight="1" x14ac:dyDescent="0.25">
      <c r="C28" s="183" t="s">
        <v>397</v>
      </c>
      <c r="D28" s="3"/>
      <c r="E28" s="3"/>
      <c r="F28" s="3"/>
    </row>
    <row r="29" spans="3:6" ht="15.75" customHeight="1" x14ac:dyDescent="0.25">
      <c r="C29" s="183" t="s">
        <v>343</v>
      </c>
      <c r="D29" s="3"/>
      <c r="E29" s="3"/>
      <c r="F29" s="3"/>
    </row>
    <row r="30" spans="3:6" ht="15.75" x14ac:dyDescent="0.25">
      <c r="C30" s="183" t="s">
        <v>344</v>
      </c>
      <c r="D30" s="3"/>
      <c r="E30" s="3"/>
      <c r="F30" s="3"/>
    </row>
    <row r="31" spans="3:6" ht="15.75" x14ac:dyDescent="0.25">
      <c r="C31" s="249" t="s">
        <v>345</v>
      </c>
      <c r="D31" s="3"/>
      <c r="E31" s="3"/>
      <c r="F31" s="3"/>
    </row>
    <row r="32" spans="3:6" ht="15.75" x14ac:dyDescent="0.25">
      <c r="C32" s="183" t="s">
        <v>290</v>
      </c>
      <c r="D32" s="3"/>
      <c r="E32" s="3"/>
      <c r="F32" s="3"/>
    </row>
    <row r="33" spans="3:11" ht="15.75" x14ac:dyDescent="0.25">
      <c r="C33" s="183" t="s">
        <v>287</v>
      </c>
      <c r="D33" s="3"/>
      <c r="E33" s="3"/>
      <c r="F33" s="3"/>
    </row>
    <row r="34" spans="3:11" x14ac:dyDescent="0.25">
      <c r="C34" s="183" t="s">
        <v>288</v>
      </c>
      <c r="D34" s="338"/>
      <c r="E34" s="338"/>
      <c r="F34" s="338"/>
      <c r="G34" s="338"/>
      <c r="H34" s="338"/>
      <c r="I34" s="338"/>
      <c r="J34" s="338"/>
    </row>
    <row r="35" spans="3:11" ht="15" customHeight="1" x14ac:dyDescent="0.25">
      <c r="C35" s="183" t="s">
        <v>285</v>
      </c>
      <c r="D35" s="338"/>
      <c r="E35" s="338"/>
      <c r="F35" s="338"/>
      <c r="G35" s="338"/>
      <c r="H35" s="338"/>
      <c r="I35" s="338"/>
      <c r="J35" s="338"/>
    </row>
    <row r="36" spans="3:11" ht="15" customHeight="1" x14ac:dyDescent="0.25">
      <c r="C36" s="338" t="s">
        <v>282</v>
      </c>
      <c r="D36" s="338"/>
      <c r="E36" s="338"/>
      <c r="F36" s="338"/>
      <c r="G36" s="338"/>
      <c r="H36" s="338"/>
      <c r="I36" s="338"/>
      <c r="J36" s="338"/>
      <c r="K36" s="61"/>
    </row>
    <row r="37" spans="3:11" ht="15" customHeight="1" x14ac:dyDescent="0.25">
      <c r="C37" s="338" t="s">
        <v>283</v>
      </c>
    </row>
    <row r="38" spans="3:11" x14ac:dyDescent="0.25">
      <c r="C38" s="338" t="s">
        <v>284</v>
      </c>
    </row>
  </sheetData>
  <customSheetViews>
    <customSheetView guid="{E4AC4991-F371-4BAF-8335-AD017EF379C0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1"/>
    </customSheetView>
    <customSheetView guid="{0284F5E2-DB98-486F-B3F7-128FA2A0A465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2"/>
    </customSheetView>
  </customSheetViews>
  <mergeCells count="7">
    <mergeCell ref="C16:F16"/>
    <mergeCell ref="C8:J8"/>
    <mergeCell ref="C11:F11"/>
    <mergeCell ref="C12:F12"/>
    <mergeCell ref="C13:F13"/>
    <mergeCell ref="C14:F14"/>
    <mergeCell ref="C15:F15"/>
  </mergeCells>
  <phoneticPr fontId="14" type="noConversion"/>
  <hyperlinks>
    <hyperlink ref="C11:F11" location="'Key Financials'!A1" display="Key financial and operational results"/>
    <hyperlink ref="C12:F12" location="'Assets and Liabili-s structure'!A1" display="Assets and Liabilities structure"/>
    <hyperlink ref="C13:F13" location="'Loan Portfolio IFRS 9'!A1" display="Loan portfolio"/>
    <hyperlink ref="C14:F14" location="'Customer Deposits'!A1" display="Customer deposits"/>
    <hyperlink ref="C15:F15" location="Capital!A1" display="Capital"/>
    <hyperlink ref="C16:F16" location="'Income and Expenses structure'!A1" display="Income and Expenses structure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Q91"/>
  <sheetViews>
    <sheetView showGridLines="0" zoomScale="70" zoomScaleNormal="7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74" customWidth="1"/>
    <col min="2" max="2" width="54.42578125" style="1" customWidth="1"/>
    <col min="3" max="19" width="16.7109375" style="1" customWidth="1"/>
    <col min="20" max="20" width="15.7109375" style="1" customWidth="1"/>
    <col min="21" max="32" width="16.7109375" style="1" customWidth="1"/>
    <col min="33" max="62" width="10.85546875" style="1" bestFit="1" customWidth="1"/>
    <col min="63" max="16384" width="9.140625" style="1"/>
  </cols>
  <sheetData>
    <row r="1" spans="1:69" ht="22.5" customHeight="1" x14ac:dyDescent="0.25">
      <c r="A1" s="324">
        <v>1</v>
      </c>
      <c r="B1" s="54"/>
      <c r="C1" s="258"/>
      <c r="D1" s="258"/>
      <c r="E1" s="258"/>
      <c r="F1" s="259"/>
    </row>
    <row r="2" spans="1:69" x14ac:dyDescent="0.25">
      <c r="A2" s="74">
        <v>2</v>
      </c>
      <c r="C2" s="260"/>
      <c r="D2" s="260"/>
      <c r="E2" s="260"/>
      <c r="F2" s="260"/>
    </row>
    <row r="3" spans="1:69" x14ac:dyDescent="0.25">
      <c r="A3" s="74">
        <v>3</v>
      </c>
      <c r="C3" s="130"/>
      <c r="D3" s="130"/>
      <c r="E3" s="130"/>
    </row>
    <row r="4" spans="1:69" x14ac:dyDescent="0.25">
      <c r="A4" s="324">
        <v>4</v>
      </c>
      <c r="C4" s="6"/>
    </row>
    <row r="5" spans="1:69" ht="51" customHeight="1" thickBot="1" x14ac:dyDescent="0.3">
      <c r="A5" s="74">
        <v>5</v>
      </c>
      <c r="B5" s="109" t="s">
        <v>0</v>
      </c>
      <c r="C5" s="110" t="s">
        <v>3</v>
      </c>
      <c r="D5" s="111" t="s">
        <v>0</v>
      </c>
      <c r="E5" s="112" t="s">
        <v>157</v>
      </c>
      <c r="F5" s="112" t="s">
        <v>177</v>
      </c>
      <c r="G5" s="113" t="s">
        <v>1</v>
      </c>
      <c r="H5" s="113" t="s">
        <v>2</v>
      </c>
      <c r="I5" s="114" t="s">
        <v>194</v>
      </c>
      <c r="J5"/>
    </row>
    <row r="6" spans="1:69" ht="15.75" thickTop="1" x14ac:dyDescent="0.25">
      <c r="A6" s="74">
        <v>6</v>
      </c>
      <c r="B6" s="208"/>
    </row>
    <row r="7" spans="1:69" ht="15.75" customHeight="1" x14ac:dyDescent="0.25">
      <c r="A7" s="324">
        <v>7</v>
      </c>
      <c r="B7" s="455" t="s">
        <v>173</v>
      </c>
      <c r="C7" s="446">
        <v>46203</v>
      </c>
      <c r="D7" s="446">
        <v>46112</v>
      </c>
      <c r="E7" s="446">
        <v>46022</v>
      </c>
      <c r="F7" s="446">
        <v>45930</v>
      </c>
      <c r="G7" s="446">
        <v>45838</v>
      </c>
      <c r="H7" s="446">
        <v>45747</v>
      </c>
      <c r="I7" s="446">
        <v>45657</v>
      </c>
      <c r="J7" s="446">
        <v>45565</v>
      </c>
      <c r="K7" s="446">
        <v>45473</v>
      </c>
      <c r="L7" s="446">
        <v>45382</v>
      </c>
      <c r="M7" s="446">
        <v>45291</v>
      </c>
      <c r="N7" s="446">
        <v>45199</v>
      </c>
      <c r="O7" s="446">
        <v>45107</v>
      </c>
      <c r="P7" s="446">
        <v>45016</v>
      </c>
      <c r="Q7" s="446">
        <v>44926</v>
      </c>
      <c r="R7" s="446">
        <v>44834</v>
      </c>
      <c r="S7" s="446">
        <v>44742</v>
      </c>
      <c r="T7" s="446">
        <v>44651</v>
      </c>
      <c r="U7" s="446">
        <v>44561</v>
      </c>
      <c r="V7" s="446">
        <v>44469</v>
      </c>
      <c r="W7" s="446">
        <v>44377</v>
      </c>
      <c r="X7" s="446">
        <v>44286</v>
      </c>
      <c r="Y7" s="446">
        <v>44196</v>
      </c>
      <c r="Z7" s="446">
        <v>44104</v>
      </c>
      <c r="AA7" s="446">
        <v>44012</v>
      </c>
      <c r="AB7" s="446">
        <v>43921</v>
      </c>
      <c r="AC7" s="446">
        <v>43830</v>
      </c>
      <c r="AD7" s="446">
        <v>43738</v>
      </c>
      <c r="AE7" s="446">
        <v>43646</v>
      </c>
      <c r="AF7" s="446">
        <v>43555</v>
      </c>
      <c r="AG7" s="446">
        <v>43465</v>
      </c>
      <c r="AH7" s="446">
        <v>43373</v>
      </c>
      <c r="AI7" s="446">
        <v>43281</v>
      </c>
      <c r="AJ7" s="446">
        <v>43190</v>
      </c>
      <c r="AK7" s="446">
        <v>43100</v>
      </c>
      <c r="AL7" s="446">
        <v>43008</v>
      </c>
      <c r="AM7" s="446">
        <v>42916</v>
      </c>
      <c r="AN7" s="446">
        <v>42825</v>
      </c>
      <c r="AO7" s="446">
        <v>42735</v>
      </c>
      <c r="AP7" s="446">
        <v>42643</v>
      </c>
      <c r="AQ7" s="446">
        <v>42551</v>
      </c>
      <c r="AR7" s="446">
        <v>42460</v>
      </c>
      <c r="AS7" s="446">
        <v>42369</v>
      </c>
      <c r="AT7" s="446">
        <v>42277</v>
      </c>
      <c r="AU7" s="446">
        <v>42185</v>
      </c>
      <c r="AV7" s="446">
        <v>42094</v>
      </c>
      <c r="AW7" s="446">
        <v>42004</v>
      </c>
      <c r="AX7" s="446">
        <v>41912</v>
      </c>
      <c r="AY7" s="446">
        <v>41820</v>
      </c>
      <c r="AZ7" s="446">
        <v>41729</v>
      </c>
      <c r="BA7" s="446">
        <v>41639</v>
      </c>
      <c r="BB7" s="446">
        <v>41547</v>
      </c>
      <c r="BC7" s="446">
        <v>41455</v>
      </c>
      <c r="BD7" s="446">
        <v>41364</v>
      </c>
      <c r="BE7" s="446">
        <v>41274</v>
      </c>
      <c r="BF7" s="446">
        <v>41182</v>
      </c>
      <c r="BG7" s="446">
        <v>41090</v>
      </c>
      <c r="BH7" s="446">
        <v>40999</v>
      </c>
      <c r="BI7" s="446">
        <v>40908</v>
      </c>
      <c r="BJ7" s="446">
        <v>40816</v>
      </c>
      <c r="BK7" s="446">
        <v>40724</v>
      </c>
      <c r="BL7" s="446">
        <v>40633</v>
      </c>
      <c r="BM7" s="446">
        <v>40543</v>
      </c>
      <c r="BN7" s="446">
        <v>40451</v>
      </c>
      <c r="BO7" s="446">
        <v>40359</v>
      </c>
      <c r="BP7" s="446">
        <v>40268</v>
      </c>
      <c r="BQ7" s="446">
        <v>40178</v>
      </c>
    </row>
    <row r="8" spans="1:69" ht="15" customHeight="1" x14ac:dyDescent="0.25">
      <c r="A8" s="74">
        <v>8</v>
      </c>
      <c r="B8" s="456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8"/>
      <c r="S8" s="448"/>
      <c r="T8" s="448"/>
      <c r="U8" s="447"/>
      <c r="V8" s="447"/>
      <c r="W8" s="448"/>
      <c r="X8" s="448"/>
      <c r="Y8" s="448"/>
      <c r="Z8" s="448"/>
      <c r="AA8" s="448"/>
      <c r="AB8" s="448"/>
      <c r="AC8" s="448"/>
      <c r="AD8" s="448"/>
      <c r="AE8" s="448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</row>
    <row r="9" spans="1:69" ht="9.75" customHeight="1" x14ac:dyDescent="0.25">
      <c r="A9" s="74">
        <v>9</v>
      </c>
      <c r="B9" s="8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69" x14ac:dyDescent="0.25">
      <c r="A10" s="324">
        <v>10</v>
      </c>
      <c r="B10" s="12" t="s">
        <v>7</v>
      </c>
      <c r="C10" s="31">
        <f>'Assets and Liabili-s structure'!F29</f>
        <v>1353699</v>
      </c>
      <c r="D10" s="31">
        <f>'Assets and Liabili-s structure'!G29</f>
        <v>1392751</v>
      </c>
      <c r="E10" s="31">
        <f>'Assets and Liabili-s structure'!H29</f>
        <v>1305759</v>
      </c>
      <c r="F10" s="31">
        <f>'Assets and Liabili-s structure'!I29</f>
        <v>1353333</v>
      </c>
      <c r="G10" s="31">
        <f>'Assets and Liabili-s structure'!J29</f>
        <v>1252641</v>
      </c>
      <c r="H10" s="31">
        <f>'Assets and Liabili-s structure'!K29</f>
        <v>1143318</v>
      </c>
      <c r="I10" s="31">
        <f>'Assets and Liabili-s structure'!L29</f>
        <v>1137432</v>
      </c>
      <c r="J10" s="31">
        <f>'Assets and Liabili-s structure'!M29</f>
        <v>1037777</v>
      </c>
      <c r="K10" s="31">
        <f>'Assets and Liabili-s structure'!N29</f>
        <v>1074800</v>
      </c>
      <c r="L10" s="31">
        <f>'Assets and Liabili-s structure'!O29</f>
        <v>1012528</v>
      </c>
      <c r="M10" s="31">
        <f>'Assets and Liabili-s structure'!P29</f>
        <v>1057302</v>
      </c>
      <c r="N10" s="31">
        <f>'Assets and Liabili-s structure'!Q29</f>
        <v>965981</v>
      </c>
      <c r="O10" s="31">
        <f>'Assets and Liabili-s structure'!R29</f>
        <v>861288</v>
      </c>
      <c r="P10" s="31">
        <f>'Assets and Liabili-s structure'!S29</f>
        <v>836670</v>
      </c>
      <c r="Q10" s="31">
        <f>'Assets and Liabili-s structure'!T29</f>
        <v>839329</v>
      </c>
      <c r="R10" s="398"/>
      <c r="S10" s="398"/>
      <c r="T10" s="398"/>
      <c r="U10" s="31">
        <f>'Assets and Liabili-s structure'!X29</f>
        <v>796557</v>
      </c>
      <c r="V10" s="31">
        <f>'Assets and Liabili-s structure'!Y29</f>
        <v>770884.478</v>
      </c>
      <c r="W10" s="31">
        <f>'Assets and Liabili-s structure'!Z29</f>
        <v>737761.13600000006</v>
      </c>
      <c r="X10" s="31">
        <f>'Assets and Liabili-s structure'!AA29</f>
        <v>731005.51740000013</v>
      </c>
      <c r="Y10" s="31">
        <f>'Assets and Liabili-s structure'!AB29</f>
        <v>730227</v>
      </c>
      <c r="Z10" s="31">
        <f>'Assets and Liabili-s structure'!AC29</f>
        <v>720766.84900000005</v>
      </c>
      <c r="AA10" s="31">
        <f>'Assets and Liabili-s structure'!AD29</f>
        <v>671365.85800000001</v>
      </c>
      <c r="AB10" s="31">
        <f>'Assets and Liabili-s structure'!AE29</f>
        <v>668651.06799999997</v>
      </c>
      <c r="AC10" s="31">
        <f>'Assets and Liabili-s structure'!AF29</f>
        <v>673651.27899999998</v>
      </c>
      <c r="AD10" s="31">
        <f>'Assets and Liabili-s structure'!AG29</f>
        <v>655945.679</v>
      </c>
      <c r="AE10" s="31">
        <f>'Assets and Liabili-s structure'!AH29</f>
        <v>657547.55000000005</v>
      </c>
      <c r="AF10" s="31">
        <f>'Assets and Liabili-s structure'!AI29</f>
        <v>650846.60100000002</v>
      </c>
      <c r="AG10" s="31">
        <f>'Assets and Liabili-s structure'!AJ29</f>
        <v>673403.48900000006</v>
      </c>
      <c r="AH10" s="31">
        <f>'Assets and Liabili-s structure'!AK29</f>
        <v>613049.67500000005</v>
      </c>
      <c r="AI10" s="31">
        <f>'Assets and Liabili-s structure'!AL29</f>
        <v>602133.397</v>
      </c>
      <c r="AJ10" s="31">
        <f>'Assets and Liabili-s structure'!AM29</f>
        <v>602696.70400000003</v>
      </c>
      <c r="AK10" s="31">
        <f>'Assets and Liabili-s structure'!AN29</f>
        <v>606859.37100000004</v>
      </c>
      <c r="AL10" s="31">
        <f>'Assets and Liabili-s structure'!AO29</f>
        <v>572773.25199999998</v>
      </c>
      <c r="AM10" s="31">
        <f>'Assets and Liabili-s structure'!AP29</f>
        <v>559683.57099999988</v>
      </c>
      <c r="AN10" s="31">
        <f>'Assets and Liabili-s structure'!AQ29</f>
        <v>552980.63899999997</v>
      </c>
      <c r="AO10" s="31">
        <f>'Assets and Liabili-s structure'!AR29</f>
        <v>580287.52</v>
      </c>
      <c r="AP10" s="31">
        <f>'Assets and Liabili-s structure'!AS29</f>
        <v>546706.45799999998</v>
      </c>
      <c r="AQ10" s="31">
        <f>'Assets and Liabili-s structure'!AT29</f>
        <v>574574.98600000003</v>
      </c>
      <c r="AR10" s="31">
        <f>'Assets and Liabili-s structure'!AU29</f>
        <v>561533.91800000006</v>
      </c>
      <c r="AS10" s="31">
        <f>'Assets and Liabili-s structure'!AV29</f>
        <v>562534.576</v>
      </c>
      <c r="AT10" s="31">
        <f>'Assets and Liabili-s structure'!AW29</f>
        <v>527570.96000000008</v>
      </c>
      <c r="AU10" s="31">
        <f>'Assets and Liabili-s structure'!AX29</f>
        <v>520263.59100000007</v>
      </c>
      <c r="AV10" s="31">
        <f>'Assets and Liabili-s structure'!AY29</f>
        <v>521222.40100000001</v>
      </c>
      <c r="AW10" s="31">
        <f>'Assets and Liabili-s structure'!AZ29</f>
        <v>521600.14999999997</v>
      </c>
      <c r="AX10" s="31">
        <f>'Assets and Liabili-s structure'!BA29</f>
        <v>448289.68799999997</v>
      </c>
      <c r="AY10" s="31">
        <f>'Assets and Liabili-s structure'!BB29</f>
        <v>439698.37300000002</v>
      </c>
      <c r="AZ10" s="31">
        <f>'Assets and Liabili-s structure'!BC29</f>
        <v>428854.10400000005</v>
      </c>
      <c r="BA10" s="31">
        <f>'Assets and Liabili-s structure'!BD29</f>
        <v>409422.31899999996</v>
      </c>
      <c r="BB10" s="31">
        <f>'Assets and Liabili-s structure'!BE29</f>
        <v>403356.91200000001</v>
      </c>
      <c r="BC10" s="31">
        <f>'Assets and Liabili-s structure'!BF29</f>
        <v>374246.96799999994</v>
      </c>
      <c r="BD10" s="31">
        <f>'Assets and Liabili-s structure'!BG29</f>
        <v>348855.56900000002</v>
      </c>
      <c r="BE10" s="31">
        <f>'Assets and Liabili-s structure'!BH29</f>
        <v>351366.23300000001</v>
      </c>
      <c r="BF10" s="31">
        <f>'Assets and Liabili-s structure'!BI29</f>
        <v>317240.46300000005</v>
      </c>
      <c r="BG10" s="31">
        <f>'Assets and Liabili-s structure'!BJ29</f>
        <v>340587.62</v>
      </c>
      <c r="BH10" s="31">
        <f>'Assets and Liabili-s structure'!BK29</f>
        <v>340696.03499999997</v>
      </c>
      <c r="BI10" s="31">
        <f>'Assets and Liabili-s structure'!BL29</f>
        <v>330033.45799999998</v>
      </c>
      <c r="BJ10" s="31">
        <f>'Assets and Liabili-s structure'!BM29</f>
        <v>305819.033</v>
      </c>
      <c r="BK10" s="31">
        <f>'Assets and Liabili-s structure'!BN29</f>
        <v>292056.04000000004</v>
      </c>
      <c r="BL10" s="31">
        <f>'Assets and Liabili-s structure'!BO29</f>
        <v>282434.43599999999</v>
      </c>
      <c r="BM10" s="31">
        <f>'Assets and Liabili-s structure'!BP29</f>
        <v>272608.69899999996</v>
      </c>
      <c r="BN10" s="31">
        <f>'Assets and Liabili-s structure'!BQ29</f>
        <v>247427.11699999997</v>
      </c>
      <c r="BO10" s="31">
        <f>'Assets and Liabili-s structure'!BR29</f>
        <v>239460.12499999997</v>
      </c>
      <c r="BP10" s="31">
        <f>'Assets and Liabili-s structure'!BS29</f>
        <v>232076.37600000002</v>
      </c>
      <c r="BQ10" s="31">
        <f>'Assets and Liabili-s structure'!BT29</f>
        <v>235606.34000000003</v>
      </c>
    </row>
    <row r="11" spans="1:69" x14ac:dyDescent="0.25">
      <c r="A11" s="74">
        <v>11</v>
      </c>
      <c r="B11" s="12" t="s">
        <v>184</v>
      </c>
      <c r="C11" s="11">
        <f>'Loan Portfolio IFRS 9'!F24</f>
        <v>983438</v>
      </c>
      <c r="D11" s="11">
        <f>'Loan Portfolio IFRS 9'!G24</f>
        <v>949312</v>
      </c>
      <c r="E11" s="11">
        <f>'Loan Portfolio IFRS 9'!H24</f>
        <v>933052</v>
      </c>
      <c r="F11" s="11">
        <f>'Loan Portfolio IFRS 9'!I24</f>
        <v>918271</v>
      </c>
      <c r="G11" s="11">
        <f>'Loan Portfolio IFRS 9'!J24</f>
        <v>821835</v>
      </c>
      <c r="H11" s="11">
        <f>'Loan Portfolio IFRS 9'!K24</f>
        <v>729349</v>
      </c>
      <c r="I11" s="11">
        <f>'Loan Portfolio IFRS 9'!L24</f>
        <v>717762</v>
      </c>
      <c r="J11" s="11">
        <f>'Loan Portfolio IFRS 9'!M24</f>
        <v>708783</v>
      </c>
      <c r="K11" s="11">
        <f>'Loan Portfolio IFRS 9'!N24</f>
        <v>686952</v>
      </c>
      <c r="L11" s="11">
        <f>'Loan Portfolio IFRS 9'!O24</f>
        <v>675607</v>
      </c>
      <c r="M11" s="11">
        <f>'Loan Portfolio IFRS 9'!P24</f>
        <v>651757</v>
      </c>
      <c r="N11" s="11">
        <f>'Loan Portfolio IFRS 9'!Q24</f>
        <v>623516</v>
      </c>
      <c r="O11" s="11">
        <f>'Loan Portfolio IFRS 9'!R24</f>
        <v>538589</v>
      </c>
      <c r="P11" s="11">
        <f>'Loan Portfolio IFRS 9'!S24</f>
        <v>561400</v>
      </c>
      <c r="Q11" s="11">
        <f>'Loan Portfolio IFRS 9'!T24</f>
        <v>515269</v>
      </c>
      <c r="R11" s="399"/>
      <c r="S11" s="399"/>
      <c r="T11" s="399"/>
      <c r="U11" s="11">
        <f>'Loan Portfolio IFRS 9'!X24</f>
        <v>473799</v>
      </c>
      <c r="V11" s="11">
        <f>'Loan Portfolio IFRS 9'!Y24</f>
        <v>472663.63099999999</v>
      </c>
      <c r="W11" s="11">
        <f>'Loan Portfolio IFRS 9'!Z24</f>
        <v>464833.99600000004</v>
      </c>
      <c r="X11" s="11">
        <f>'Loan Portfolio IFRS 9'!AA24</f>
        <v>440448.87799999997</v>
      </c>
      <c r="Y11" s="11">
        <f>'Loan Portfolio IFRS 9'!AB24</f>
        <v>419464.58100000001</v>
      </c>
      <c r="Z11" s="11">
        <f>'Loan Portfolio IFRS 9'!AC24</f>
        <v>427182.34500000003</v>
      </c>
      <c r="AA11" s="11">
        <f>'Loan Portfolio IFRS 9'!AD24</f>
        <v>378472.17800000001</v>
      </c>
      <c r="AB11" s="11">
        <f>'Loan Portfolio IFRS 9'!AE24</f>
        <v>396604.96399999998</v>
      </c>
      <c r="AC11" s="11">
        <f>'Loan Portfolio IFRS 9'!AF24</f>
        <v>368069.65399999998</v>
      </c>
      <c r="AD11" s="11">
        <f>'Loan Portfolio IFRS 9'!AG24</f>
        <v>354946.16200000001</v>
      </c>
      <c r="AE11" s="11">
        <f>'Loan Portfolio IFRS 9'!AH24</f>
        <v>329403.24</v>
      </c>
      <c r="AF11" s="11">
        <f>'Loan Portfolio IFRS 9'!AI24</f>
        <v>335272.59299999999</v>
      </c>
      <c r="AG11" s="11">
        <f>'Loan Portfolio IFRS 9'!AJ24</f>
        <v>338783.58599999995</v>
      </c>
      <c r="AH11" s="11">
        <f>'Loan Portfolio IFRS 9'!AK24</f>
        <v>338548.3930000001</v>
      </c>
      <c r="AI11" s="11">
        <f>'Loan Portfolio IFRS 9'!AL24</f>
        <v>318159.95399999997</v>
      </c>
      <c r="AJ11" s="11">
        <f>'Loan Portfolio IFRS 9'!AM24</f>
        <v>309997.75799999997</v>
      </c>
      <c r="AK11" s="11">
        <f>'Loan Portfolio IAS 39'!E21</f>
        <v>318215.90999999997</v>
      </c>
      <c r="AL11" s="11">
        <f>'Loan Portfolio IAS 39'!F21</f>
        <v>305496.41499999998</v>
      </c>
      <c r="AM11" s="11">
        <f>'Loan Portfolio IAS 39'!G21</f>
        <v>311091.27799999993</v>
      </c>
      <c r="AN11" s="11">
        <f>'Loan Portfolio IAS 39'!H21</f>
        <v>305491.63299999997</v>
      </c>
      <c r="AO11" s="11">
        <f>'Loan Portfolio IAS 39'!I21</f>
        <v>314711.065</v>
      </c>
      <c r="AP11" s="11">
        <f>'Loan Portfolio IAS 39'!J21</f>
        <v>314482.96700000006</v>
      </c>
      <c r="AQ11" s="11">
        <f>'Loan Portfolio IAS 39'!K21</f>
        <v>327948.17099999997</v>
      </c>
      <c r="AR11" s="11">
        <f>'Loan Portfolio IAS 39'!L21</f>
        <v>329370.26199999999</v>
      </c>
      <c r="AS11" s="11">
        <f>'Loan Portfolio IAS 39'!M21</f>
        <v>335302.09999999998</v>
      </c>
      <c r="AT11" s="11">
        <f>'Loan Portfolio IAS 39'!N21</f>
        <v>321018.46799999994</v>
      </c>
      <c r="AU11" s="11">
        <f>'Loan Portfolio IAS 39'!O21</f>
        <v>305911.408</v>
      </c>
      <c r="AV11" s="11">
        <f>'Loan Portfolio IAS 39'!P21</f>
        <v>309699.09199999995</v>
      </c>
      <c r="AW11" s="11">
        <f>'Loan Portfolio IAS 39'!Q21</f>
        <v>315338.995</v>
      </c>
      <c r="AX11" s="11">
        <f>'Loan Portfolio IAS 39'!R21</f>
        <v>277011.31199999998</v>
      </c>
      <c r="AY11" s="11">
        <f>'Loan Portfolio IAS 39'!S21</f>
        <v>261582.36500000005</v>
      </c>
      <c r="AZ11" s="11">
        <f>'Loan Portfolio IAS 39'!T21</f>
        <v>264624.78200000001</v>
      </c>
      <c r="BA11" s="11">
        <f>'Loan Portfolio IAS 39'!U21</f>
        <v>250884.103</v>
      </c>
      <c r="BB11" s="11">
        <f>'Loan Portfolio IAS 39'!V21</f>
        <v>257483.16200000004</v>
      </c>
      <c r="BC11" s="11">
        <f>'Loan Portfolio IAS 39'!W21</f>
        <v>243726.72500000003</v>
      </c>
      <c r="BD11" s="11">
        <f>'Loan Portfolio IAS 39'!X21</f>
        <v>230969.25199999998</v>
      </c>
      <c r="BE11" s="11">
        <f>'Loan Portfolio IAS 39'!Y21</f>
        <v>222378.91999999998</v>
      </c>
      <c r="BF11" s="11">
        <f>'Loan Portfolio IAS 39'!Z21</f>
        <v>223011.924</v>
      </c>
      <c r="BG11" s="11">
        <f>'Loan Portfolio IAS 39'!AA21</f>
        <v>221735.77500000002</v>
      </c>
      <c r="BH11" s="11">
        <f>'Loan Portfolio IAS 39'!AB21</f>
        <v>208992.378</v>
      </c>
      <c r="BI11" s="11">
        <f>'Loan Portfolio IAS 39'!AC21</f>
        <v>209907.068</v>
      </c>
      <c r="BJ11" s="11">
        <f>'Loan Portfolio IAS 39'!AD21</f>
        <v>203365.94900000002</v>
      </c>
      <c r="BK11" s="11">
        <f>'Loan Portfolio IAS 39'!AE21</f>
        <v>198346.72900000002</v>
      </c>
      <c r="BL11" s="11">
        <f>'Loan Portfolio IAS 39'!AF21</f>
        <v>192575.16599999997</v>
      </c>
      <c r="BM11" s="11">
        <f>'Loan Portfolio IAS 39'!AG21</f>
        <v>182818.33899999998</v>
      </c>
      <c r="BN11" s="11">
        <f>'Loan Portfolio IAS 39'!AH21</f>
        <v>176249.37000000002</v>
      </c>
      <c r="BO11" s="11">
        <f>'Loan Portfolio IAS 39'!AI21</f>
        <v>157624.59100000004</v>
      </c>
      <c r="BP11" s="11">
        <f>'Loan Portfolio IAS 39'!AJ21</f>
        <v>159606.44399999999</v>
      </c>
      <c r="BQ11" s="11">
        <f>'Loan Portfolio IAS 39'!AK21</f>
        <v>158200.48899999997</v>
      </c>
    </row>
    <row r="12" spans="1:69" x14ac:dyDescent="0.25">
      <c r="A12" s="74">
        <v>12</v>
      </c>
      <c r="B12" s="12" t="s">
        <v>1</v>
      </c>
      <c r="C12" s="11">
        <f>'Customer Deposits'!F22</f>
        <v>909336</v>
      </c>
      <c r="D12" s="11">
        <f>'Customer Deposits'!G22</f>
        <v>903135.36599999992</v>
      </c>
      <c r="E12" s="11">
        <f>'Customer Deposits'!H22</f>
        <v>887981</v>
      </c>
      <c r="F12" s="11">
        <f>'Customer Deposits'!I22</f>
        <v>856388</v>
      </c>
      <c r="G12" s="11">
        <f>'Customer Deposits'!J22</f>
        <v>757181</v>
      </c>
      <c r="H12" s="11">
        <f>'Customer Deposits'!K22</f>
        <v>728333</v>
      </c>
      <c r="I12" s="11">
        <f>'Customer Deposits'!L22</f>
        <v>715716</v>
      </c>
      <c r="J12" s="11">
        <f>'Customer Deposits'!M22</f>
        <v>619424</v>
      </c>
      <c r="K12" s="11">
        <f>'Customer Deposits'!N22</f>
        <v>654431</v>
      </c>
      <c r="L12" s="11">
        <f>'Customer Deposits'!O22</f>
        <v>648426</v>
      </c>
      <c r="M12" s="11">
        <f>'Customer Deposits'!P22</f>
        <v>651098</v>
      </c>
      <c r="N12" s="11">
        <f>'Customer Deposits'!Q22</f>
        <v>612275</v>
      </c>
      <c r="O12" s="11">
        <f>'Customer Deposits'!R22</f>
        <v>579458</v>
      </c>
      <c r="P12" s="11">
        <f>'Customer Deposits'!S22</f>
        <v>587860</v>
      </c>
      <c r="Q12" s="11">
        <f>'Customer Deposits'!T22</f>
        <v>646563</v>
      </c>
      <c r="R12" s="399"/>
      <c r="S12" s="399"/>
      <c r="T12" s="399"/>
      <c r="U12" s="11">
        <f>'Customer Deposits'!X22</f>
        <v>505166</v>
      </c>
      <c r="V12" s="11">
        <f>'Customer Deposits'!Y22</f>
        <v>492525.35400000005</v>
      </c>
      <c r="W12" s="11">
        <f>'Customer Deposits'!Z22</f>
        <v>492633.016</v>
      </c>
      <c r="X12" s="11">
        <f>'Customer Deposits'!AA22</f>
        <v>485409.02799999993</v>
      </c>
      <c r="Y12" s="11">
        <f>'Customer Deposits'!AB22</f>
        <v>479071.75100000005</v>
      </c>
      <c r="Z12" s="11">
        <f>'Customer Deposits'!AC22</f>
        <v>474837.91299999994</v>
      </c>
      <c r="AA12" s="11">
        <f>'Customer Deposits'!AD22</f>
        <v>432247.48800000001</v>
      </c>
      <c r="AB12" s="11">
        <f>'Customer Deposits'!AE22</f>
        <v>434696.81700000004</v>
      </c>
      <c r="AC12" s="11">
        <f>'Customer Deposits'!AF22</f>
        <v>417574.58100000001</v>
      </c>
      <c r="AD12" s="11">
        <f>'Customer Deposits'!AG22</f>
        <v>416994.93600000005</v>
      </c>
      <c r="AE12" s="11">
        <f>'Customer Deposits'!AH22</f>
        <v>399812.24000000005</v>
      </c>
      <c r="AF12" s="11">
        <f>'Customer Deposits'!AI22</f>
        <v>405326.84299999999</v>
      </c>
      <c r="AG12" s="11">
        <f>'Customer Deposits'!AJ22</f>
        <v>414765.89799999999</v>
      </c>
      <c r="AH12" s="11">
        <f>'Customer Deposits'!AK22</f>
        <v>380116.71799999999</v>
      </c>
      <c r="AI12" s="11">
        <f>'Customer Deposits'!AL22</f>
        <v>361926.61099999998</v>
      </c>
      <c r="AJ12" s="11">
        <f>'Customer Deposits'!AM22</f>
        <v>353415.58899999998</v>
      </c>
      <c r="AK12" s="11">
        <f>'Customer Deposits'!AN22</f>
        <v>360225.49300000002</v>
      </c>
      <c r="AL12" s="11">
        <f>'Customer Deposits'!AO22</f>
        <v>335686.58099999995</v>
      </c>
      <c r="AM12" s="11">
        <f>'Customer Deposits'!AP22</f>
        <v>322756.85200000001</v>
      </c>
      <c r="AN12" s="11">
        <f>'Customer Deposits'!AQ22</f>
        <v>328200.47099999996</v>
      </c>
      <c r="AO12" s="11">
        <f>'Customer Deposits'!AR22</f>
        <v>357827.152</v>
      </c>
      <c r="AP12" s="11">
        <f>'Customer Deposits'!AS22</f>
        <v>333727.28200000001</v>
      </c>
      <c r="AQ12" s="11">
        <f>'Customer Deposits'!AT22</f>
        <v>339231.31799999997</v>
      </c>
      <c r="AR12" s="11">
        <f>'Customer Deposits'!AU22</f>
        <v>330070.44999999995</v>
      </c>
      <c r="AS12" s="11">
        <f>'Customer Deposits'!AV22</f>
        <v>343025.09599999996</v>
      </c>
      <c r="AT12" s="11">
        <f>'Customer Deposits'!AW22</f>
        <v>328392.8</v>
      </c>
      <c r="AU12" s="11">
        <f>'Customer Deposits'!AX22</f>
        <v>314274.913</v>
      </c>
      <c r="AV12" s="11">
        <f>'Customer Deposits'!AY22</f>
        <v>317360.49400000001</v>
      </c>
      <c r="AW12" s="11">
        <f>'Customer Deposits'!AZ22</f>
        <v>324887.69500000001</v>
      </c>
      <c r="AX12" s="11">
        <f>'Customer Deposits'!BA22</f>
        <v>284443.67099999997</v>
      </c>
      <c r="AY12" s="11">
        <f>'Customer Deposits'!BB22</f>
        <v>267457.37599999999</v>
      </c>
      <c r="AZ12" s="11">
        <f>'Customer Deposits'!BC22</f>
        <v>273008.13400000002</v>
      </c>
      <c r="BA12" s="11">
        <f>'Customer Deposits'!BD22</f>
        <v>261634.63100000002</v>
      </c>
      <c r="BB12" s="11">
        <f>'Customer Deposits'!BE22</f>
        <v>262365.24</v>
      </c>
      <c r="BC12" s="11">
        <f>'Customer Deposits'!BF22</f>
        <v>248605.22399999999</v>
      </c>
      <c r="BD12" s="11">
        <f>'Customer Deposits'!BG22</f>
        <v>236138.111</v>
      </c>
      <c r="BE12" s="11">
        <f>'Customer Deposits'!BH22</f>
        <v>228041.068</v>
      </c>
      <c r="BF12" s="11">
        <f>'Customer Deposits'!BI22</f>
        <v>224710.57200000001</v>
      </c>
      <c r="BG12" s="11">
        <f>'Customer Deposits'!BJ22</f>
        <v>226861.413</v>
      </c>
      <c r="BH12" s="11">
        <f>'Customer Deposits'!BK22</f>
        <v>224469.33800000002</v>
      </c>
      <c r="BI12" s="11">
        <f>'Customer Deposits'!BL22</f>
        <v>236059.334</v>
      </c>
      <c r="BJ12" s="11">
        <f>'Customer Deposits'!BM22</f>
        <v>221952.261</v>
      </c>
      <c r="BK12" s="11">
        <f>'Customer Deposits'!BN22</f>
        <v>212228.799</v>
      </c>
      <c r="BL12" s="11">
        <f>'Customer Deposits'!BO22</f>
        <v>200009.201</v>
      </c>
      <c r="BM12" s="11">
        <f>'Customer Deposits'!BP22</f>
        <v>202172.90599999999</v>
      </c>
      <c r="BN12" s="11">
        <f>'Customer Deposits'!BQ22</f>
        <v>179043.09599999999</v>
      </c>
      <c r="BO12" s="11">
        <f>'Customer Deposits'!BR22</f>
        <v>175228.11900000001</v>
      </c>
      <c r="BP12" s="11">
        <f>'Customer Deposits'!BS22</f>
        <v>172946.693</v>
      </c>
      <c r="BQ12" s="11">
        <f>'Customer Deposits'!BT22</f>
        <v>181141.05799999999</v>
      </c>
    </row>
    <row r="13" spans="1:69" ht="8.25" customHeight="1" x14ac:dyDescent="0.25">
      <c r="A13" s="324">
        <v>13</v>
      </c>
      <c r="B13" s="49" t="s">
        <v>174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399"/>
      <c r="S13" s="399"/>
      <c r="T13" s="399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27"/>
      <c r="BL13" s="27"/>
      <c r="BM13" s="27"/>
      <c r="BN13" s="27"/>
      <c r="BO13" s="27"/>
      <c r="BP13" s="27"/>
      <c r="BQ13" s="5"/>
    </row>
    <row r="14" spans="1:69" x14ac:dyDescent="0.25">
      <c r="A14" s="74">
        <v>14</v>
      </c>
      <c r="B14" s="12" t="s">
        <v>15</v>
      </c>
      <c r="C14" s="13">
        <f>'Assets and Liabili-s structure'!F66</f>
        <v>1.0814890409166238</v>
      </c>
      <c r="D14" s="13">
        <f>'Assets and Liabili-s structure'!G66</f>
        <v>1.0511296760727908</v>
      </c>
      <c r="E14" s="13">
        <f>'Assets and Liabili-s structure'!H66</f>
        <v>1.0507567166414598</v>
      </c>
      <c r="F14" s="13">
        <f>'Assets and Liabili-s structure'!I66</f>
        <v>1.0722617227958855</v>
      </c>
      <c r="G14" s="13">
        <f>'Assets and Liabili-s structure'!J66</f>
        <v>1.0853877738612037</v>
      </c>
      <c r="H14" s="13">
        <f>'Assets and Liabili-s structure'!K66</f>
        <v>1.0013949663134858</v>
      </c>
      <c r="I14" s="13">
        <f>'Assets and Liabili-s structure'!L66</f>
        <v>1.0028586757876028</v>
      </c>
      <c r="J14" s="13">
        <f>'Assets and Liabili-s structure'!M66</f>
        <v>1.1442614428888773</v>
      </c>
      <c r="K14" s="13">
        <f>'Assets and Liabili-s structure'!N66</f>
        <v>1.0496935505805807</v>
      </c>
      <c r="L14" s="13">
        <f>'Assets and Liabili-s structure'!O66</f>
        <v>1.0421627274886853</v>
      </c>
      <c r="M14" s="13">
        <f>'Assets and Liabili-s structure'!P66</f>
        <v>1.0010121364218596</v>
      </c>
      <c r="N14" s="13">
        <f>'Assets and Liabili-s structure'!Q66</f>
        <v>1.0183577340937746</v>
      </c>
      <c r="O14" s="13">
        <f>'Assets and Liabili-s structure'!R66</f>
        <v>0.92947029810616133</v>
      </c>
      <c r="P14" s="13">
        <f>'Assets and Liabili-s structure'!S66</f>
        <v>0.95498928316265774</v>
      </c>
      <c r="Q14" s="13">
        <f>'Assets and Liabili-s structure'!T66</f>
        <v>0.79693548811175396</v>
      </c>
      <c r="R14" s="355"/>
      <c r="S14" s="355"/>
      <c r="T14" s="355"/>
      <c r="U14" s="13">
        <f>'Assets and Liabili-s structure'!X66</f>
        <v>0.93790753930391202</v>
      </c>
      <c r="V14" s="13">
        <f>'Assets and Liabili-s structure'!Y66</f>
        <v>0.95967370443227973</v>
      </c>
      <c r="W14" s="13">
        <f>'Assets and Liabili-s structure'!Z66</f>
        <v>0.94357052999468471</v>
      </c>
      <c r="X14" s="13">
        <f>'Assets and Liabili-s structure'!AA66</f>
        <v>0.90737677421195395</v>
      </c>
      <c r="Y14" s="13">
        <f>'Assets and Liabili-s structure'!AB66</f>
        <v>0.87557820118896534</v>
      </c>
      <c r="Z14" s="13">
        <f>'Assets and Liabili-s structure'!AC66</f>
        <v>0.89963824139712301</v>
      </c>
      <c r="AA14" s="13">
        <f>'Assets and Liabili-s structure'!AD66</f>
        <v>0.87559138805220771</v>
      </c>
      <c r="AB14" s="13">
        <f>'Assets and Liabili-s structure'!AE66</f>
        <v>0.912371447155087</v>
      </c>
      <c r="AC14" s="13">
        <f>'Assets and Liabili-s structure'!AF66</f>
        <v>0.88144650260691992</v>
      </c>
      <c r="AD14" s="13">
        <f>'Assets and Liabili-s structure'!AG66</f>
        <v>0.85120017380738644</v>
      </c>
      <c r="AE14" s="13">
        <f>'Assets and Liabili-s structure'!AH66</f>
        <v>0.82389483623612914</v>
      </c>
      <c r="AF14" s="13">
        <f>'Assets and Liabili-s structure'!AI66</f>
        <v>0.82716602364280123</v>
      </c>
      <c r="AG14" s="13">
        <f>'Assets and Liabili-s structure'!AJ66</f>
        <v>0.81680675203437292</v>
      </c>
      <c r="AH14" s="13">
        <f>'Assets and Liabili-s structure'!AK66</f>
        <v>0.89064326026302265</v>
      </c>
      <c r="AI14" s="13">
        <f>'Assets and Liabili-s structure'!AL66</f>
        <v>0.87907311684246392</v>
      </c>
      <c r="AJ14" s="13">
        <f>'Assets and Liabili-s structure'!AM66</f>
        <v>0.8771479460686723</v>
      </c>
      <c r="AK14" s="13">
        <f>'Assets and Liabili-s structure'!AN66</f>
        <v>0.88337976124305029</v>
      </c>
      <c r="AL14" s="13">
        <f>'Assets and Liabili-s structure'!AO66</f>
        <v>0.91006442405274468</v>
      </c>
      <c r="AM14" s="13">
        <f>'Assets and Liabili-s structure'!AP66</f>
        <v>0.96385646368864686</v>
      </c>
      <c r="AN14" s="13">
        <f>'Assets and Liabili-s structure'!AQ66</f>
        <v>0.9308080273900643</v>
      </c>
      <c r="AO14" s="13">
        <f>'Assets and Liabili-s structure'!AR66</f>
        <v>0.87950582632141916</v>
      </c>
      <c r="AP14" s="13">
        <f>'Assets and Liabili-s structure'!AS66</f>
        <v>0.94233520590624031</v>
      </c>
      <c r="AQ14" s="13">
        <f>'Assets and Liabili-s structure'!AT66</f>
        <v>0.96673907625474609</v>
      </c>
      <c r="AR14" s="13">
        <f>'Assets and Liabili-s structure'!AU66</f>
        <v>0.997878671053407</v>
      </c>
      <c r="AS14" s="13">
        <f>'Assets and Liabili-s structure'!AV66</f>
        <v>0.97748562396729122</v>
      </c>
      <c r="AT14" s="13">
        <f>'Assets and Liabili-s structure'!AW66</f>
        <v>0.97754417271024219</v>
      </c>
      <c r="AU14" s="13">
        <f>'Assets and Liabili-s structure'!AX66</f>
        <v>0.97338793313101657</v>
      </c>
      <c r="AV14" s="13">
        <f>'Assets and Liabili-s structure'!AY66</f>
        <v>0.97585899270751697</v>
      </c>
      <c r="AW14" s="13">
        <f>'Assets and Liabili-s structure'!AZ66</f>
        <v>0.97060922852125864</v>
      </c>
      <c r="AX14" s="13">
        <f>'Assets and Liabili-s structure'!BA66</f>
        <v>0.97387054184095379</v>
      </c>
      <c r="AY14" s="13">
        <f>'Assets and Liabili-s structure'!BB66</f>
        <v>0.9780338419232828</v>
      </c>
      <c r="AZ14" s="13">
        <f>'Assets and Liabili-s structure'!BC66</f>
        <v>0.96929266583683538</v>
      </c>
      <c r="BA14" s="13">
        <f>'Assets and Liabili-s structure'!BD66</f>
        <v>0.95891014901616756</v>
      </c>
      <c r="BB14" s="13">
        <f>'Assets and Liabili-s structure'!BE66</f>
        <v>0.98139205483165382</v>
      </c>
      <c r="BC14" s="13">
        <f>'Assets and Liabili-s structure'!BF66</f>
        <v>0.98037652257862429</v>
      </c>
      <c r="BD14" s="13">
        <f>'Assets and Liabili-s structure'!BG66</f>
        <v>0.97811086495902377</v>
      </c>
      <c r="BE14" s="13">
        <f>'Assets and Liabili-s structure'!BH66</f>
        <v>0.97517048990491495</v>
      </c>
      <c r="BF14" s="13">
        <f>'Assets and Liabili-s structure'!BI66</f>
        <v>0.99244072949091144</v>
      </c>
      <c r="BG14" s="13">
        <f>'Assets and Liabili-s structure'!BJ66</f>
        <v>0.97740630311599075</v>
      </c>
      <c r="BH14" s="13">
        <f>'Assets and Liabili-s structure'!BK66</f>
        <v>0.93105089479971637</v>
      </c>
      <c r="BI14" s="13">
        <f>'Assets and Liabili-s structure'!BL66</f>
        <v>0.88921316705909204</v>
      </c>
      <c r="BJ14" s="13">
        <f>'Assets and Liabili-s structure'!BM66</f>
        <v>0.9162598663502689</v>
      </c>
      <c r="BK14" s="13">
        <f>'Assets and Liabili-s structure'!BN66</f>
        <v>0.93458913179827219</v>
      </c>
      <c r="BL14" s="13">
        <f>'Assets and Liabili-s structure'!BO66</f>
        <v>0.96283153493523532</v>
      </c>
      <c r="BM14" s="13">
        <f>'Assets and Liabili-s structure'!BP66</f>
        <v>0.90426725626627713</v>
      </c>
      <c r="BN14" s="13">
        <f>'Assets and Liabili-s structure'!BQ66</f>
        <v>0.98439634891032046</v>
      </c>
      <c r="BO14" s="13">
        <f>'Assets and Liabili-s structure'!BR66</f>
        <v>0.89953936559691072</v>
      </c>
      <c r="BP14" s="13">
        <f>'Assets and Liabili-s structure'!BS66</f>
        <v>0.9228649662587074</v>
      </c>
      <c r="BQ14" s="13">
        <f>'Assets and Liabili-s structure'!BT66</f>
        <v>0.87335522242560815</v>
      </c>
    </row>
    <row r="15" spans="1:69" x14ac:dyDescent="0.25">
      <c r="A15" s="74">
        <v>15</v>
      </c>
      <c r="B15" s="12" t="s">
        <v>185</v>
      </c>
      <c r="C15" s="13">
        <f>'Assets and Liabili-s structure'!F77</f>
        <v>0.72648203182539106</v>
      </c>
      <c r="D15" s="13">
        <f>'Assets and Liabili-s structure'!G77</f>
        <v>0.68160927545555527</v>
      </c>
      <c r="E15" s="13">
        <f>'Assets and Liabili-s structure'!H77</f>
        <v>0.71456677687077019</v>
      </c>
      <c r="F15" s="13">
        <f>'Assets and Liabili-s structure'!I77</f>
        <v>0.67852553658264447</v>
      </c>
      <c r="G15" s="13">
        <f>'Assets and Liabili-s structure'!J77</f>
        <v>0.65608183030892331</v>
      </c>
      <c r="H15" s="13">
        <f>'Assets and Liabili-s structure'!K77</f>
        <v>0.63792313249682064</v>
      </c>
      <c r="I15" s="13">
        <f>'Assets and Liabili-s structure'!L77</f>
        <v>0.63103728398708669</v>
      </c>
      <c r="J15" s="13">
        <f>'Assets and Liabili-s structure'!M77</f>
        <v>0.68298198938693</v>
      </c>
      <c r="K15" s="13">
        <f>'Assets and Liabili-s structure'!N77</f>
        <v>0.63914402679568294</v>
      </c>
      <c r="L15" s="13">
        <f>'Assets and Liabili-s structure'!O77</f>
        <v>0.66724772055686365</v>
      </c>
      <c r="M15" s="13">
        <f>'Assets and Liabili-s structure'!P77</f>
        <v>0.61643409357023826</v>
      </c>
      <c r="N15" s="13">
        <f>'Assets and Liabili-s structure'!Q77</f>
        <v>0.64547439338868984</v>
      </c>
      <c r="O15" s="13">
        <f>'Assets and Liabili-s structure'!R77</f>
        <v>0.62532973871689845</v>
      </c>
      <c r="P15" s="13">
        <f>'Assets and Liabili-s structure'!S77</f>
        <v>0.67099334265600541</v>
      </c>
      <c r="Q15" s="13">
        <f>'Assets and Liabili-s structure'!T77</f>
        <v>0.61390587004619168</v>
      </c>
      <c r="R15" s="355"/>
      <c r="S15" s="355"/>
      <c r="T15" s="355"/>
      <c r="U15" s="13">
        <f>'Assets and Liabili-s structure'!X77</f>
        <v>0.59480865776083824</v>
      </c>
      <c r="V15" s="13">
        <f>'Assets and Liabili-s structure'!Y77</f>
        <v>0.61314456898430381</v>
      </c>
      <c r="W15" s="13">
        <f>'Assets and Liabili-s structure'!Z77</f>
        <v>0.63006029095032179</v>
      </c>
      <c r="X15" s="13">
        <f>'Assets and Liabili-s structure'!AA77</f>
        <v>0.60252469716858525</v>
      </c>
      <c r="Y15" s="13">
        <f>'Assets and Liabili-s structure'!AB77</f>
        <v>0.5744309646178517</v>
      </c>
      <c r="Z15" s="13">
        <f>'Assets and Liabili-s structure'!AC77</f>
        <v>0.59267757055236037</v>
      </c>
      <c r="AA15" s="13">
        <f>'Assets and Liabili-s structure'!AD77</f>
        <v>0.56373462172692135</v>
      </c>
      <c r="AB15" s="13">
        <f>'Assets and Liabili-s structure'!AE77</f>
        <v>0.59314189863822975</v>
      </c>
      <c r="AC15" s="13">
        <f>'Assets and Liabili-s structure'!AF77</f>
        <v>0.54638010120960523</v>
      </c>
      <c r="AD15" s="13">
        <f>'Assets and Liabili-s structure'!AG77</f>
        <v>0.54112127476946148</v>
      </c>
      <c r="AE15" s="13">
        <f>'Assets and Liabili-s structure'!AH77</f>
        <v>0.50095729198595595</v>
      </c>
      <c r="AF15" s="13">
        <f>'Assets and Liabili-s structure'!AI77</f>
        <v>0.51513304745675392</v>
      </c>
      <c r="AG15" s="13">
        <f>'Assets and Liabili-s structure'!AJ77</f>
        <v>0.50309152170133764</v>
      </c>
      <c r="AH15" s="13">
        <f>'Assets and Liabili-s structure'!AK77</f>
        <v>0.55223647741106785</v>
      </c>
      <c r="AI15" s="13">
        <f>'Assets and Liabili-s structure'!AL77</f>
        <v>0.52838782167732834</v>
      </c>
      <c r="AJ15" s="13">
        <f>'Assets and Liabili-s structure'!AM77</f>
        <v>0.51435117521399287</v>
      </c>
      <c r="AK15" s="13">
        <f>'Assets and Liabili-s structure'!AN77</f>
        <v>0.52436515806888651</v>
      </c>
      <c r="AL15" s="13">
        <f>'Assets and Liabili-s structure'!AO77</f>
        <v>0.53336361978020586</v>
      </c>
      <c r="AM15" s="13">
        <f>'Assets and Liabili-s structure'!AP77</f>
        <v>0.55583421440112279</v>
      </c>
      <c r="AN15" s="13">
        <f>'Assets and Liabili-s structure'!AQ77</f>
        <v>0.55244544104192406</v>
      </c>
      <c r="AO15" s="13">
        <f>'Assets and Liabili-s structure'!AR77</f>
        <v>0.54233643522094022</v>
      </c>
      <c r="AP15" s="13">
        <f>'Assets and Liabili-s structure'!AS77</f>
        <v>0.57523184955682372</v>
      </c>
      <c r="AQ15" s="13">
        <f>'Assets and Liabili-s structure'!AT77</f>
        <v>0.5707665300278143</v>
      </c>
      <c r="AR15" s="13">
        <f>'Assets and Liabili-s structure'!AU77</f>
        <v>0.58655452759311322</v>
      </c>
      <c r="AS15" s="13">
        <f>'Assets and Liabili-s structure'!AV77</f>
        <v>0.59605598358810918</v>
      </c>
      <c r="AT15" s="13">
        <f>'Assets and Liabili-s structure'!AW77</f>
        <v>0.60848396204370303</v>
      </c>
      <c r="AU15" s="13">
        <f>'Assets and Liabili-s structure'!AX77</f>
        <v>0.58799311212996264</v>
      </c>
      <c r="AV15" s="13">
        <f>'Assets and Liabili-s structure'!AY77</f>
        <v>0.59417839948133766</v>
      </c>
      <c r="AW15" s="13">
        <f>'Assets and Liabili-s structure'!AZ77</f>
        <v>0.60456078281419212</v>
      </c>
      <c r="AX15" s="13">
        <f>'Assets and Liabili-s structure'!BA77</f>
        <v>0.61792925292539858</v>
      </c>
      <c r="AY15" s="13">
        <f>'Assets and Liabili-s structure'!BB77</f>
        <v>0.59491319746138782</v>
      </c>
      <c r="AZ15" s="13">
        <f>'Assets and Liabili-s structure'!BC77</f>
        <v>0.61705083274660688</v>
      </c>
      <c r="BA15" s="13">
        <f>'Assets and Liabili-s structure'!BD77</f>
        <v>0.61277583404044966</v>
      </c>
      <c r="BB15" s="13">
        <f>'Assets and Liabili-s structure'!BE77</f>
        <v>0.63835068729403599</v>
      </c>
      <c r="BC15" s="13">
        <f>'Assets and Liabili-s structure'!BF77</f>
        <v>0.65124569025232559</v>
      </c>
      <c r="BD15" s="13">
        <f>'Assets and Liabili-s structure'!BG77</f>
        <v>0.66207700986994988</v>
      </c>
      <c r="BE15" s="13">
        <f>'Assets and Liabili-s structure'!BH77</f>
        <v>0.63289781178261373</v>
      </c>
      <c r="BF15" s="13">
        <f>'Assets and Liabili-s structure'!BI77</f>
        <v>0.70297439958029551</v>
      </c>
      <c r="BG15" s="13">
        <f>'Assets and Liabili-s structure'!BJ77</f>
        <v>0.65103885748988755</v>
      </c>
      <c r="BH15" s="13">
        <f>'Assets and Liabili-s structure'!BK77</f>
        <v>0.6134276790159886</v>
      </c>
      <c r="BI15" s="13">
        <f>'Assets and Liabili-s structure'!BL77</f>
        <v>0.63601753977319475</v>
      </c>
      <c r="BJ15" s="13">
        <f>'Assets and Liabili-s structure'!BM77</f>
        <v>0.66498787536222437</v>
      </c>
      <c r="BK15" s="13">
        <f>'Assets and Liabili-s structure'!BN77</f>
        <v>0.67913928094073994</v>
      </c>
      <c r="BL15" s="13">
        <f>'Assets and Liabili-s structure'!BO77</f>
        <v>0.68184024840370383</v>
      </c>
      <c r="BM15" s="13">
        <f>'Assets and Liabili-s structure'!BP77</f>
        <v>0.67062547772916081</v>
      </c>
      <c r="BN15" s="13">
        <f>'Assets and Liabili-s structure'!BQ77</f>
        <v>0.7123284308405049</v>
      </c>
      <c r="BO15" s="13">
        <f>'Assets and Liabili-s structure'!BR77</f>
        <v>0.65824984848730039</v>
      </c>
      <c r="BP15" s="13">
        <f>'Assets and Liabili-s structure'!BS77</f>
        <v>0.6877324040944176</v>
      </c>
      <c r="BQ15" s="13">
        <f>'Assets and Liabili-s structure'!BT77</f>
        <v>0.67146108631881463</v>
      </c>
    </row>
    <row r="16" spans="1:69" x14ac:dyDescent="0.25">
      <c r="A16" s="324">
        <v>16</v>
      </c>
      <c r="B16" s="12" t="s">
        <v>186</v>
      </c>
      <c r="C16" s="13">
        <f>'Assets and Liabili-s structure'!F89</f>
        <v>0.67174238881760273</v>
      </c>
      <c r="D16" s="13">
        <f>'Assets and Liabili-s structure'!G89</f>
        <v>0.64845403090717579</v>
      </c>
      <c r="E16" s="13">
        <f>'Assets and Liabili-s structure'!H89</f>
        <v>0.68004968757634454</v>
      </c>
      <c r="F16" s="13">
        <f>'Assets and Liabili-s structure'!I89</f>
        <v>0.63279843172375161</v>
      </c>
      <c r="G16" s="13">
        <f>'Assets and Liabili-s structure'!J89</f>
        <v>0.60446768068425027</v>
      </c>
      <c r="H16" s="13">
        <f>'Assets and Liabili-s structure'!K89</f>
        <v>0.63703449084156816</v>
      </c>
      <c r="I16" s="13">
        <f>'Assets and Liabili-s structure'!L89</f>
        <v>0.6292384951364125</v>
      </c>
      <c r="J16" s="13">
        <f>'Assets and Liabili-s structure'!M89</f>
        <v>0.59687582206967393</v>
      </c>
      <c r="K16" s="13">
        <f>'Assets and Liabili-s structure'!N89</f>
        <v>0.60888630442873093</v>
      </c>
      <c r="L16" s="13">
        <f>'Assets and Liabili-s structure'!O89</f>
        <v>0.64025291152442199</v>
      </c>
      <c r="M16" s="13">
        <f>'Assets and Liabili-s structure'!P89</f>
        <v>0.61581080902145269</v>
      </c>
      <c r="N16" s="13">
        <f>'Assets and Liabili-s structure'!Q89</f>
        <v>0.63383855376037412</v>
      </c>
      <c r="O16" s="13">
        <f>'Assets and Liabili-s structure'!R89</f>
        <v>0.67278076555112809</v>
      </c>
      <c r="P16" s="13">
        <f>'Assets and Liabili-s structure'!S89</f>
        <v>0.70261871466647541</v>
      </c>
      <c r="Q16" s="13">
        <f>'Assets and Liabili-s structure'!T89</f>
        <v>0.77033320664483174</v>
      </c>
      <c r="R16" s="355"/>
      <c r="S16" s="355"/>
      <c r="T16" s="355"/>
      <c r="U16" s="13">
        <f>'Assets and Liabili-s structure'!X89</f>
        <v>0.63418688179251459</v>
      </c>
      <c r="V16" s="13">
        <f>'Assets and Liabili-s structure'!Y89</f>
        <v>0.63890941905824705</v>
      </c>
      <c r="W16" s="13">
        <f>'Assets and Liabili-s structure'!Z89</f>
        <v>0.66774053546783751</v>
      </c>
      <c r="X16" s="13">
        <f>'Assets and Liabili-s structure'!AA89</f>
        <v>0.66402922647162455</v>
      </c>
      <c r="Y16" s="13">
        <f>'Assets and Liabili-s structure'!AB89</f>
        <v>0.65605900630899705</v>
      </c>
      <c r="Z16" s="13">
        <f>'Assets and Liabili-s structure'!AC89</f>
        <v>0.65879543941122642</v>
      </c>
      <c r="AA16" s="13">
        <f>'Assets and Liabili-s structure'!AD89</f>
        <v>0.64383299038718766</v>
      </c>
      <c r="AB16" s="13">
        <f>'Assets and Liabili-s structure'!AE89</f>
        <v>0.65011010645690026</v>
      </c>
      <c r="AC16" s="13">
        <f>'Assets and Liabili-s structure'!AF89</f>
        <v>0.61986756949362221</v>
      </c>
      <c r="AD16" s="13">
        <f>'Assets and Liabili-s structure'!AG89</f>
        <v>0.63571565352136428</v>
      </c>
      <c r="AE16" s="13">
        <f>'Assets and Liabili-s structure'!AH89</f>
        <v>0.60803547971549754</v>
      </c>
      <c r="AF16" s="13">
        <f>'Assets and Liabili-s structure'!AI89</f>
        <v>0.62276862532159094</v>
      </c>
      <c r="AG16" s="13">
        <f>'Assets and Liabili-s structure'!AJ89</f>
        <v>0.61592478324685362</v>
      </c>
      <c r="AH16" s="13">
        <f>'Assets and Liabili-s structure'!AK89</f>
        <v>0.62004227960809222</v>
      </c>
      <c r="AI16" s="13">
        <f>'Assets and Liabili-s structure'!AL89</f>
        <v>0.60107380325227167</v>
      </c>
      <c r="AJ16" s="13">
        <f>'Assets and Liabili-s structure'!AM89</f>
        <v>0.58639044589830702</v>
      </c>
      <c r="AK16" s="13">
        <f>'Assets and Liabili-s structure'!AN89</f>
        <v>0.59358973464710663</v>
      </c>
      <c r="AL16" s="13">
        <f>'Assets and Liabili-s structure'!AO89</f>
        <v>0.58607237650825206</v>
      </c>
      <c r="AM16" s="13">
        <f>'Assets and Liabili-s structure'!AP89</f>
        <v>0.57667737400853591</v>
      </c>
      <c r="AN16" s="13">
        <f>'Assets and Liabili-s structure'!AQ89</f>
        <v>0.59351168531598442</v>
      </c>
      <c r="AO16" s="13">
        <f>'Assets and Liabili-s structure'!AR89</f>
        <v>0.6166376833332553</v>
      </c>
      <c r="AP16" s="13">
        <f>'Assets and Liabili-s structure'!AS89</f>
        <v>0.61043230259409142</v>
      </c>
      <c r="AQ16" s="13">
        <f>'Assets and Liabili-s structure'!AT89</f>
        <v>0.5904039094385497</v>
      </c>
      <c r="AR16" s="13">
        <f>'Assets and Liabili-s structure'!AU89</f>
        <v>0.5878014478192215</v>
      </c>
      <c r="AS16" s="13">
        <f>'Assets and Liabili-s structure'!AV89</f>
        <v>0.60978491035900328</v>
      </c>
      <c r="AT16" s="13">
        <f>'Assets and Liabili-s structure'!AW89</f>
        <v>0.62246185802190479</v>
      </c>
      <c r="AU16" s="13">
        <f>'Assets and Liabili-s structure'!AX89</f>
        <v>0.60406862682036111</v>
      </c>
      <c r="AV16" s="13">
        <f>'Assets and Liabili-s structure'!AY89</f>
        <v>0.60887731108855392</v>
      </c>
      <c r="AW16" s="13">
        <f>'Assets and Liabili-s structure'!AZ89</f>
        <v>0.62286733429812091</v>
      </c>
      <c r="AX16" s="13">
        <f>'Assets and Liabili-s structure'!BA89</f>
        <v>0.6345086193461581</v>
      </c>
      <c r="AY16" s="13">
        <f>'Assets and Liabili-s structure'!BB89</f>
        <v>0.60827465468015274</v>
      </c>
      <c r="AZ16" s="13">
        <f>'Assets and Liabili-s structure'!BC89</f>
        <v>0.6365990938494086</v>
      </c>
      <c r="BA16" s="13">
        <f>'Assets and Liabili-s structure'!BD89</f>
        <v>0.63903363069955155</v>
      </c>
      <c r="BB16" s="13">
        <f>'Assets and Liabili-s structure'!BE89</f>
        <v>0.65045430534236137</v>
      </c>
      <c r="BC16" s="13">
        <f>'Assets and Liabili-s structure'!BF89</f>
        <v>0.6642811973295667</v>
      </c>
      <c r="BD16" s="13">
        <f>'Assets and Liabili-s structure'!BG89</f>
        <v>0.67689362585465862</v>
      </c>
      <c r="BE16" s="13">
        <f>'Assets and Liabili-s structure'!BH89</f>
        <v>0.64901247354636948</v>
      </c>
      <c r="BF16" s="13">
        <f>'Assets and Liabili-s structure'!BI89</f>
        <v>0.70832884895896753</v>
      </c>
      <c r="BG16" s="13">
        <f>'Assets and Liabili-s structure'!BJ89</f>
        <v>0.66608825358948764</v>
      </c>
      <c r="BH16" s="13">
        <f>'Assets and Liabili-s structure'!BK89</f>
        <v>0.6588551522180176</v>
      </c>
      <c r="BI16" s="13">
        <f>'Assets and Liabili-s structure'!BL89</f>
        <v>0.71525879657934555</v>
      </c>
      <c r="BJ16" s="13">
        <f>'Assets and Liabili-s structure'!BM89</f>
        <v>0.72576339942844548</v>
      </c>
      <c r="BK16" s="13">
        <f>'Assets and Liabili-s structure'!BN89</f>
        <v>0.72667149427897459</v>
      </c>
      <c r="BL16" s="13">
        <f>'Assets and Liabili-s structure'!BO89</f>
        <v>0.70816152531768473</v>
      </c>
      <c r="BM16" s="13">
        <f>'Assets and Liabili-s structure'!BP89</f>
        <v>0.74162309105183766</v>
      </c>
      <c r="BN16" s="13">
        <f>'Assets and Liabili-s structure'!BQ89</f>
        <v>0.72361953762731679</v>
      </c>
      <c r="BO16" s="13">
        <f>'Assets and Liabili-s structure'!BR89</f>
        <v>0.73176324868284426</v>
      </c>
      <c r="BP16" s="13">
        <f>'Assets and Liabili-s structure'!BS89</f>
        <v>0.74521455385015145</v>
      </c>
      <c r="BQ16" s="13">
        <f>'Assets and Liabili-s structure'!BT89</f>
        <v>0.76882930230145763</v>
      </c>
    </row>
    <row r="17" spans="1:69" x14ac:dyDescent="0.25">
      <c r="A17" s="74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R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1"/>
      <c r="BF17" s="11"/>
      <c r="BG17" s="11"/>
      <c r="BH17" s="11"/>
      <c r="BI17" s="11"/>
      <c r="BJ17" s="27"/>
      <c r="BK17" s="27"/>
      <c r="BL17" s="27"/>
      <c r="BM17" s="27"/>
      <c r="BN17" s="27"/>
      <c r="BO17" s="27"/>
      <c r="BP17" s="5"/>
    </row>
    <row r="18" spans="1:69" x14ac:dyDescent="0.25">
      <c r="A18" s="74">
        <v>18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R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1"/>
      <c r="BF18" s="11"/>
      <c r="BG18" s="11"/>
      <c r="BH18" s="11"/>
      <c r="BI18" s="11"/>
      <c r="BJ18" s="27"/>
      <c r="BK18" s="27"/>
      <c r="BL18" s="27"/>
      <c r="BM18" s="27"/>
      <c r="BN18" s="27"/>
      <c r="BO18" s="27"/>
      <c r="BP18" s="5"/>
    </row>
    <row r="19" spans="1:69" x14ac:dyDescent="0.25">
      <c r="A19" s="324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R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1"/>
      <c r="BF19" s="11"/>
      <c r="BG19" s="11"/>
      <c r="BH19" s="11"/>
      <c r="BI19" s="11"/>
      <c r="BJ19" s="27"/>
      <c r="BK19" s="27"/>
      <c r="BL19" s="27"/>
      <c r="BM19" s="27"/>
      <c r="BN19" s="27"/>
      <c r="BO19" s="27"/>
      <c r="BP19" s="5"/>
    </row>
    <row r="20" spans="1:69" x14ac:dyDescent="0.25">
      <c r="A20" s="74">
        <v>20</v>
      </c>
      <c r="B20" s="453" t="s">
        <v>162</v>
      </c>
      <c r="C20" s="446" t="s">
        <v>474</v>
      </c>
      <c r="D20" s="446" t="s">
        <v>472</v>
      </c>
      <c r="E20" s="446" t="s">
        <v>470</v>
      </c>
      <c r="F20" s="446" t="s">
        <v>467</v>
      </c>
      <c r="G20" s="446" t="s">
        <v>465</v>
      </c>
      <c r="H20" s="446" t="s">
        <v>462</v>
      </c>
      <c r="I20" s="446" t="s">
        <v>458</v>
      </c>
      <c r="J20" s="446" t="s">
        <v>456</v>
      </c>
      <c r="K20" s="446" t="s">
        <v>453</v>
      </c>
      <c r="L20" s="446" t="s">
        <v>452</v>
      </c>
      <c r="M20" s="446" t="s">
        <v>450</v>
      </c>
      <c r="N20" s="446" t="s">
        <v>448</v>
      </c>
      <c r="O20" s="446" t="s">
        <v>446</v>
      </c>
      <c r="P20" s="446" t="s">
        <v>438</v>
      </c>
      <c r="Q20" s="446" t="s">
        <v>436</v>
      </c>
      <c r="R20" s="446" t="s">
        <v>433</v>
      </c>
      <c r="S20" s="446" t="s">
        <v>431</v>
      </c>
      <c r="T20" s="446" t="s">
        <v>429</v>
      </c>
      <c r="U20" s="446" t="s">
        <v>423</v>
      </c>
      <c r="V20" s="446" t="s">
        <v>420</v>
      </c>
      <c r="W20" s="446" t="s">
        <v>418</v>
      </c>
      <c r="X20" s="446" t="s">
        <v>415</v>
      </c>
      <c r="Y20" s="446" t="s">
        <v>409</v>
      </c>
      <c r="Z20" s="446" t="s">
        <v>407</v>
      </c>
      <c r="AA20" s="446" t="s">
        <v>405</v>
      </c>
      <c r="AB20" s="446" t="s">
        <v>402</v>
      </c>
      <c r="AC20" s="446" t="s">
        <v>392</v>
      </c>
      <c r="AD20" s="446" t="s">
        <v>386</v>
      </c>
      <c r="AE20" s="446" t="s">
        <v>383</v>
      </c>
      <c r="AF20" s="446" t="s">
        <v>381</v>
      </c>
      <c r="AG20" s="446" t="s">
        <v>375</v>
      </c>
      <c r="AH20" s="446" t="s">
        <v>372</v>
      </c>
      <c r="AI20" s="446" t="s">
        <v>346</v>
      </c>
      <c r="AJ20" s="446" t="s">
        <v>311</v>
      </c>
      <c r="AK20" s="446" t="s">
        <v>308</v>
      </c>
      <c r="AL20" s="446" t="s">
        <v>306</v>
      </c>
      <c r="AM20" s="446" t="s">
        <v>291</v>
      </c>
      <c r="AN20" s="446" t="s">
        <v>286</v>
      </c>
      <c r="AO20" s="446" t="s">
        <v>273</v>
      </c>
      <c r="AP20" s="446" t="s">
        <v>272</v>
      </c>
      <c r="AQ20" s="446" t="s">
        <v>270</v>
      </c>
      <c r="AR20" s="446" t="s">
        <v>266</v>
      </c>
      <c r="AS20" s="446" t="s">
        <v>265</v>
      </c>
      <c r="AT20" s="446" t="s">
        <v>263</v>
      </c>
      <c r="AU20" s="446" t="s">
        <v>255</v>
      </c>
      <c r="AV20" s="446" t="s">
        <v>253</v>
      </c>
      <c r="AW20" s="446" t="s">
        <v>244</v>
      </c>
      <c r="AX20" s="446" t="s">
        <v>242</v>
      </c>
      <c r="AY20" s="446" t="s">
        <v>239</v>
      </c>
      <c r="AZ20" s="446" t="s">
        <v>231</v>
      </c>
      <c r="BA20" s="446" t="s">
        <v>226</v>
      </c>
      <c r="BB20" s="446" t="s">
        <v>221</v>
      </c>
      <c r="BC20" s="446" t="s">
        <v>204</v>
      </c>
      <c r="BD20" s="446" t="s">
        <v>203</v>
      </c>
      <c r="BE20" s="446" t="s">
        <v>199</v>
      </c>
      <c r="BF20" s="446" t="s">
        <v>163</v>
      </c>
      <c r="BG20" s="446" t="s">
        <v>164</v>
      </c>
      <c r="BH20" s="446" t="s">
        <v>4</v>
      </c>
      <c r="BI20" s="446" t="s">
        <v>165</v>
      </c>
      <c r="BJ20" s="446" t="s">
        <v>168</v>
      </c>
      <c r="BK20" s="446" t="s">
        <v>169</v>
      </c>
      <c r="BL20" s="446" t="s">
        <v>5</v>
      </c>
      <c r="BM20" s="446" t="s">
        <v>170</v>
      </c>
      <c r="BN20" s="446" t="s">
        <v>171</v>
      </c>
      <c r="BO20" s="446" t="s">
        <v>172</v>
      </c>
      <c r="BP20" s="446" t="s">
        <v>6</v>
      </c>
      <c r="BQ20" s="284"/>
    </row>
    <row r="21" spans="1:69" x14ac:dyDescent="0.25">
      <c r="A21" s="74">
        <v>21</v>
      </c>
      <c r="B21" s="454"/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7"/>
      <c r="Z21" s="448"/>
      <c r="AA21" s="448"/>
      <c r="AB21" s="448"/>
      <c r="AC21" s="447"/>
      <c r="AD21" s="448"/>
      <c r="AE21" s="448"/>
      <c r="AF21" s="447"/>
      <c r="AG21" s="447"/>
      <c r="AH21" s="447"/>
      <c r="AI21" s="447"/>
      <c r="AJ21" s="447"/>
      <c r="AK21" s="448"/>
      <c r="AL21" s="447"/>
      <c r="AM21" s="447"/>
      <c r="AN21" s="447"/>
      <c r="AO21" s="448"/>
      <c r="AP21" s="447"/>
      <c r="AQ21" s="447"/>
      <c r="AR21" s="447"/>
      <c r="AS21" s="448"/>
      <c r="AT21" s="448"/>
      <c r="AU21" s="447"/>
      <c r="AV21" s="447"/>
      <c r="AW21" s="447"/>
      <c r="AX21" s="447"/>
      <c r="AY21" s="447"/>
      <c r="AZ21" s="447"/>
      <c r="BA21" s="447"/>
      <c r="BB21" s="447"/>
      <c r="BC21" s="447"/>
      <c r="BD21" s="447"/>
      <c r="BE21" s="447"/>
      <c r="BF21" s="447"/>
      <c r="BG21" s="447"/>
      <c r="BH21" s="447"/>
      <c r="BI21" s="447"/>
      <c r="BJ21" s="447"/>
      <c r="BK21" s="447"/>
      <c r="BL21" s="447"/>
      <c r="BM21" s="447"/>
      <c r="BN21" s="447"/>
      <c r="BO21" s="447"/>
      <c r="BP21" s="447"/>
      <c r="BQ21" s="284"/>
    </row>
    <row r="22" spans="1:69" ht="10.5" customHeight="1" x14ac:dyDescent="0.25">
      <c r="A22" s="324">
        <v>22</v>
      </c>
      <c r="B22" s="8" t="s">
        <v>8</v>
      </c>
      <c r="C22" s="8"/>
      <c r="D22" s="8"/>
      <c r="E22" s="8"/>
      <c r="F22" s="8"/>
      <c r="G22" s="8"/>
      <c r="H22" s="8"/>
      <c r="I22" s="8"/>
      <c r="J22" s="8"/>
      <c r="K22" s="8"/>
      <c r="L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11"/>
      <c r="BG22" s="11"/>
      <c r="BH22" s="11"/>
      <c r="BI22" s="11"/>
      <c r="BJ22" s="11"/>
      <c r="BK22" s="27"/>
      <c r="BL22" s="27"/>
      <c r="BM22" s="27"/>
      <c r="BN22" s="27"/>
      <c r="BO22" s="27"/>
      <c r="BP22" s="27"/>
      <c r="BQ22" s="5"/>
    </row>
    <row r="23" spans="1:69" ht="8.25" customHeight="1" x14ac:dyDescent="0.25">
      <c r="A23" s="74">
        <v>23</v>
      </c>
      <c r="B23" s="8" t="s">
        <v>63</v>
      </c>
      <c r="C23" s="8"/>
      <c r="D23" s="8"/>
      <c r="E23" s="8"/>
      <c r="F23" s="8"/>
      <c r="G23" s="8"/>
      <c r="H23" s="8"/>
      <c r="I23" s="8"/>
      <c r="J23" s="8"/>
      <c r="K23" s="8"/>
      <c r="L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11"/>
      <c r="BG23" s="11"/>
      <c r="BH23" s="11"/>
      <c r="BI23" s="11"/>
      <c r="BJ23" s="11"/>
      <c r="BK23" s="27"/>
      <c r="BL23" s="27"/>
      <c r="BM23" s="27"/>
      <c r="BN23" s="27"/>
      <c r="BO23" s="27"/>
      <c r="BP23" s="27"/>
      <c r="BQ23" s="5"/>
    </row>
    <row r="24" spans="1:69" x14ac:dyDescent="0.25">
      <c r="A24" s="74">
        <v>24</v>
      </c>
      <c r="B24" s="12" t="s">
        <v>11</v>
      </c>
      <c r="C24" s="11">
        <f>'Income and Expenses structure'!F135</f>
        <v>46047</v>
      </c>
      <c r="D24" s="11">
        <f>'Income and Expenses structure'!G135</f>
        <v>22615</v>
      </c>
      <c r="E24" s="11">
        <f>'Income and Expenses structure'!H135</f>
        <v>99110</v>
      </c>
      <c r="F24" s="11">
        <f>'Income and Expenses structure'!I135</f>
        <v>74917</v>
      </c>
      <c r="G24" s="11">
        <f>'Income and Expenses structure'!J135</f>
        <v>50762</v>
      </c>
      <c r="H24" s="11">
        <f>'Income and Expenses structure'!K135</f>
        <v>25386</v>
      </c>
      <c r="I24" s="11">
        <f>'Income and Expenses structure'!L135</f>
        <v>94359</v>
      </c>
      <c r="J24" s="11">
        <f>'Income and Expenses structure'!M135</f>
        <v>68233</v>
      </c>
      <c r="K24" s="11">
        <f>'Income and Expenses structure'!N135</f>
        <v>44578</v>
      </c>
      <c r="L24" s="11">
        <f>'Income and Expenses structure'!O135</f>
        <v>22314</v>
      </c>
      <c r="M24" s="11">
        <f>'Income and Expenses structure'!P135</f>
        <v>74586</v>
      </c>
      <c r="N24" s="11">
        <f>'Income and Expenses structure'!Q135</f>
        <v>54022</v>
      </c>
      <c r="O24" s="11">
        <f>'Income and Expenses structure'!R135</f>
        <v>36618</v>
      </c>
      <c r="P24" s="11">
        <f>'Income and Expenses structure'!S135</f>
        <v>20814</v>
      </c>
      <c r="Q24" s="399"/>
      <c r="R24" s="399"/>
      <c r="S24" s="399"/>
      <c r="T24" s="399"/>
      <c r="U24" s="11">
        <f>'Income and Expenses structure'!X135</f>
        <v>44546.682999999997</v>
      </c>
      <c r="V24" s="11">
        <f>'Income and Expenses structure'!Y135</f>
        <v>30904.683000000001</v>
      </c>
      <c r="W24" s="11">
        <f>'Income and Expenses structure'!Z135</f>
        <v>20105.683000000001</v>
      </c>
      <c r="X24" s="11">
        <f>'Income and Expenses structure'!AA135</f>
        <v>9239</v>
      </c>
      <c r="Y24" s="11">
        <f>'Income and Expenses structure'!AB135</f>
        <v>37070</v>
      </c>
      <c r="Z24" s="11">
        <f>'Income and Expenses structure'!AC135</f>
        <v>25769.616999999998</v>
      </c>
      <c r="AA24" s="11">
        <f>'Income and Expenses structure'!AD135</f>
        <v>16590.691999999999</v>
      </c>
      <c r="AB24" s="11">
        <f>'Income and Expenses structure'!AE135</f>
        <v>8226.92</v>
      </c>
      <c r="AC24" s="11">
        <f>'Income and Expenses structure'!AF135</f>
        <v>31856.852000000006</v>
      </c>
      <c r="AD24" s="11">
        <f>'Income and Expenses structure'!AG135</f>
        <v>22922.161000000004</v>
      </c>
      <c r="AE24" s="11">
        <f>'Income and Expenses structure'!AH135</f>
        <v>15395.686999999998</v>
      </c>
      <c r="AF24" s="11">
        <f>'Income and Expenses structure'!AI135</f>
        <v>7402.7790000000005</v>
      </c>
      <c r="AG24" s="11">
        <f>'Income and Expenses structure'!AJ135</f>
        <v>32796.879999999997</v>
      </c>
      <c r="AH24" s="11">
        <f>'Income and Expenses structure'!AK135</f>
        <v>23169.042999999994</v>
      </c>
      <c r="AI24" s="11">
        <f>'Income and Expenses structure'!AL135</f>
        <v>15473.766</v>
      </c>
      <c r="AJ24" s="11">
        <f>'Income and Expenses structure'!AM135</f>
        <v>7200.5569999999998</v>
      </c>
      <c r="AK24" s="11">
        <f>'Income and Expenses structure'!AN135</f>
        <v>32093.572999999989</v>
      </c>
      <c r="AL24" s="11">
        <f>'Income and Expenses structure'!AO135</f>
        <v>23989.803</v>
      </c>
      <c r="AM24" s="11">
        <f>'Income and Expenses structure'!AP135</f>
        <v>15749.166999999999</v>
      </c>
      <c r="AN24" s="11">
        <f>'Income and Expenses structure'!AQ135</f>
        <v>7322.8210000000008</v>
      </c>
      <c r="AO24" s="11">
        <f>'Income and Expenses structure'!AR135</f>
        <v>30300.364999999998</v>
      </c>
      <c r="AP24" s="11">
        <f>'Income and Expenses structure'!AS135</f>
        <v>22675.613999999998</v>
      </c>
      <c r="AQ24" s="11">
        <f>'Income and Expenses structure'!AT135</f>
        <v>14986.125999999998</v>
      </c>
      <c r="AR24" s="11">
        <f>'Income and Expenses structure'!AU135</f>
        <v>7364.264000000001</v>
      </c>
      <c r="AS24" s="11">
        <f>'Income and Expenses structure'!AV135</f>
        <v>27408.803999999996</v>
      </c>
      <c r="AT24" s="11">
        <f>'Income and Expenses structure'!AW135</f>
        <v>19365.642999999996</v>
      </c>
      <c r="AU24" s="11">
        <f>'Income and Expenses structure'!AX135</f>
        <v>12291.070000000003</v>
      </c>
      <c r="AV24" s="11">
        <f>'Income and Expenses structure'!AY135</f>
        <v>5394.5159999999996</v>
      </c>
      <c r="AW24" s="11">
        <f>'Income and Expenses structure'!AZ135</f>
        <v>22038.270000000004</v>
      </c>
      <c r="AX24" s="11">
        <f>'Income and Expenses structure'!BA135</f>
        <v>15427.098000000002</v>
      </c>
      <c r="AY24" s="11">
        <f>'Income and Expenses structure'!BB135</f>
        <v>10142.876</v>
      </c>
      <c r="AZ24" s="11">
        <f>'Income and Expenses structure'!BC135</f>
        <v>4572.9259999999995</v>
      </c>
      <c r="BA24" s="11">
        <f>'Income and Expenses structure'!BD135</f>
        <v>20075.062000000002</v>
      </c>
      <c r="BB24" s="11">
        <f>'Income and Expenses structure'!BE135</f>
        <v>12992.039999999999</v>
      </c>
      <c r="BC24" s="11">
        <f>'Income and Expenses structure'!BF135</f>
        <v>8013.0659999999998</v>
      </c>
      <c r="BD24" s="11">
        <f>'Income and Expenses structure'!BG135</f>
        <v>4037.5659999999998</v>
      </c>
      <c r="BE24" s="11">
        <f>'Income and Expenses structure'!BH135</f>
        <v>14783.519999999999</v>
      </c>
      <c r="BF24" s="11">
        <f>'Income and Expenses structure'!BI135</f>
        <v>10846.494999999999</v>
      </c>
      <c r="BG24" s="11">
        <f>'Income and Expenses structure'!BJ135</f>
        <v>6905.4789999999975</v>
      </c>
      <c r="BH24" s="11">
        <f>'Income and Expenses structure'!BK135</f>
        <v>3548.4580000000005</v>
      </c>
      <c r="BI24" s="11">
        <f>'Income and Expenses structure'!BL135</f>
        <v>16665.962</v>
      </c>
      <c r="BJ24" s="11">
        <f>'Income and Expenses structure'!BM135</f>
        <v>12913.270999999997</v>
      </c>
      <c r="BK24" s="11">
        <f>'Income and Expenses structure'!BN135</f>
        <v>9184.1010000000006</v>
      </c>
      <c r="BL24" s="11">
        <f>'Income and Expenses structure'!BO135</f>
        <v>4267.4639999999999</v>
      </c>
      <c r="BM24" s="11">
        <f>'Income and Expenses structure'!BP135</f>
        <v>14494.93</v>
      </c>
      <c r="BN24" s="11">
        <f>'Income and Expenses structure'!BQ135</f>
        <v>10992.956</v>
      </c>
      <c r="BO24" s="11">
        <f>'Income and Expenses structure'!BR135</f>
        <v>7410.39</v>
      </c>
      <c r="BP24" s="11">
        <f>'Income and Expenses structure'!BS135</f>
        <v>4259.732</v>
      </c>
      <c r="BQ24" s="5"/>
    </row>
    <row r="25" spans="1:69" x14ac:dyDescent="0.25">
      <c r="A25" s="324">
        <v>25</v>
      </c>
      <c r="B25" s="12" t="s">
        <v>10</v>
      </c>
      <c r="C25" s="11">
        <f>'Income and Expenses structure'!F131</f>
        <v>36590</v>
      </c>
      <c r="D25" s="11">
        <f>'Income and Expenses structure'!G131</f>
        <v>18367</v>
      </c>
      <c r="E25" s="11">
        <f>'Income and Expenses structure'!H131</f>
        <v>77758</v>
      </c>
      <c r="F25" s="11">
        <f>'Income and Expenses structure'!I131</f>
        <v>59072</v>
      </c>
      <c r="G25" s="11">
        <f>'Income and Expenses structure'!J131</f>
        <v>39430</v>
      </c>
      <c r="H25" s="11">
        <f>'Income and Expenses structure'!K131</f>
        <v>19928</v>
      </c>
      <c r="I25" s="11">
        <f>'Income and Expenses structure'!L131</f>
        <v>70557</v>
      </c>
      <c r="J25" s="11">
        <f>'Income and Expenses structure'!M131</f>
        <v>51210</v>
      </c>
      <c r="K25" s="11">
        <f>'Income and Expenses structure'!N131</f>
        <v>33866</v>
      </c>
      <c r="L25" s="11">
        <f>'Income and Expenses structure'!O131</f>
        <v>17202</v>
      </c>
      <c r="M25" s="11">
        <f>'Income and Expenses structure'!P131</f>
        <v>50832</v>
      </c>
      <c r="N25" s="11">
        <f>'Income and Expenses structure'!Q131</f>
        <v>34755</v>
      </c>
      <c r="O25" s="11">
        <f>'Income and Expenses structure'!R131</f>
        <v>22095</v>
      </c>
      <c r="P25" s="11">
        <f>'Income and Expenses structure'!S131</f>
        <v>11209</v>
      </c>
      <c r="Q25" s="399"/>
      <c r="R25" s="399"/>
      <c r="S25" s="399"/>
      <c r="T25" s="399"/>
      <c r="U25" s="11">
        <f>'Income and Expenses structure'!X131</f>
        <v>28107.683000000001</v>
      </c>
      <c r="V25" s="11">
        <f>'Income and Expenses structure'!Y131</f>
        <v>20153.683000000001</v>
      </c>
      <c r="W25" s="11">
        <f>'Income and Expenses structure'!Z131</f>
        <v>13096.683000000001</v>
      </c>
      <c r="X25" s="11">
        <f>'Income and Expenses structure'!AA131</f>
        <v>6466</v>
      </c>
      <c r="Y25" s="11">
        <f>'Income and Expenses structure'!AB131</f>
        <v>25524</v>
      </c>
      <c r="Z25" s="11">
        <f>'Income and Expenses structure'!AC131</f>
        <v>18333.587</v>
      </c>
      <c r="AA25" s="11">
        <f>'Income and Expenses structure'!AD131</f>
        <v>12293.163</v>
      </c>
      <c r="AB25" s="11">
        <f>'Income and Expenses structure'!AE131</f>
        <v>6235.6049999999996</v>
      </c>
      <c r="AC25" s="11">
        <f>'Income and Expenses structure'!AF131</f>
        <v>23281.469000000005</v>
      </c>
      <c r="AD25" s="11">
        <f>'Income and Expenses structure'!AG131</f>
        <v>16914.134000000002</v>
      </c>
      <c r="AE25" s="11">
        <f>'Income and Expenses structure'!AH131</f>
        <v>11057.760999999999</v>
      </c>
      <c r="AF25" s="11">
        <f>'Income and Expenses structure'!AI131</f>
        <v>5736.3910000000005</v>
      </c>
      <c r="AG25" s="11">
        <f>'Income and Expenses structure'!AJ131</f>
        <v>21895.264999999999</v>
      </c>
      <c r="AH25" s="11">
        <f>'Income and Expenses structure'!AK131</f>
        <v>15829.462999999996</v>
      </c>
      <c r="AI25" s="11">
        <f>'Income and Expenses structure'!AL131</f>
        <v>10310.013999999999</v>
      </c>
      <c r="AJ25" s="11">
        <f>'Income and Expenses structure'!AM131</f>
        <v>5053.8419999999996</v>
      </c>
      <c r="AK25" s="11">
        <f>'Income and Expenses structure'!AN131</f>
        <v>19657.520999999997</v>
      </c>
      <c r="AL25" s="11">
        <f>'Income and Expenses structure'!AO131</f>
        <v>13941.552000000001</v>
      </c>
      <c r="AM25" s="11">
        <f>'Income and Expenses structure'!AP131</f>
        <v>8793.2519999999986</v>
      </c>
      <c r="AN25" s="11">
        <f>'Income and Expenses structure'!AQ131</f>
        <v>4453.5990000000011</v>
      </c>
      <c r="AO25" s="11">
        <f>'Income and Expenses structure'!AR131</f>
        <v>21357.581999999999</v>
      </c>
      <c r="AP25" s="11">
        <f>'Income and Expenses structure'!AS131</f>
        <v>15506.97</v>
      </c>
      <c r="AQ25" s="11">
        <f>'Income and Expenses structure'!AT131</f>
        <v>10026.615999999998</v>
      </c>
      <c r="AR25" s="11">
        <f>'Income and Expenses structure'!AU131</f>
        <v>4889.6530000000012</v>
      </c>
      <c r="AS25" s="11">
        <f>'Income and Expenses structure'!AV131</f>
        <v>16869.748999999996</v>
      </c>
      <c r="AT25" s="11">
        <f>'Income and Expenses structure'!AW131</f>
        <v>11878.002999999999</v>
      </c>
      <c r="AU25" s="11">
        <f>'Income and Expenses structure'!AX131</f>
        <v>7952.9910000000018</v>
      </c>
      <c r="AV25" s="11">
        <f>'Income and Expenses structure'!AY131</f>
        <v>3977.694</v>
      </c>
      <c r="AW25" s="11">
        <f>'Income and Expenses structure'!AZ131</f>
        <v>17999.700000000004</v>
      </c>
      <c r="AX25" s="11">
        <f>'Income and Expenses structure'!BA131</f>
        <v>12602.809000000001</v>
      </c>
      <c r="AY25" s="11">
        <f>'Income and Expenses structure'!BB131</f>
        <v>8259.6350000000002</v>
      </c>
      <c r="AZ25" s="11">
        <f>'Income and Expenses structure'!BC131</f>
        <v>3967.893</v>
      </c>
      <c r="BA25" s="11">
        <f>'Income and Expenses structure'!BD131</f>
        <v>12943.022000000003</v>
      </c>
      <c r="BB25" s="11">
        <f>'Income and Expenses structure'!BE131</f>
        <v>9238.4009999999998</v>
      </c>
      <c r="BC25" s="11">
        <f>'Income and Expenses structure'!BF131</f>
        <v>5945.3370000000004</v>
      </c>
      <c r="BD25" s="11">
        <f>'Income and Expenses structure'!BG131</f>
        <v>2890.64</v>
      </c>
      <c r="BE25" s="11">
        <f>'Income and Expenses structure'!BH131</f>
        <v>11624.099999999999</v>
      </c>
      <c r="BF25" s="11">
        <f>'Income and Expenses structure'!BI131</f>
        <v>8610.232</v>
      </c>
      <c r="BG25" s="11">
        <f>'Income and Expenses structure'!BJ131</f>
        <v>5788.7879999999986</v>
      </c>
      <c r="BH25" s="11">
        <f>'Income and Expenses structure'!BK131</f>
        <v>2839.6120000000001</v>
      </c>
      <c r="BI25" s="11">
        <f>'Income and Expenses structure'!BL131</f>
        <v>13322.564</v>
      </c>
      <c r="BJ25" s="11">
        <f>'Income and Expenses structure'!BM131</f>
        <v>10117.833999999997</v>
      </c>
      <c r="BK25" s="11">
        <f>'Income and Expenses structure'!BN131</f>
        <v>6645.8789999999999</v>
      </c>
      <c r="BL25" s="11">
        <f>'Income and Expenses structure'!BO131</f>
        <v>3267.7710000000002</v>
      </c>
      <c r="BM25" s="11">
        <f>'Income and Expenses structure'!BP131</f>
        <v>11769.359999999999</v>
      </c>
      <c r="BN25" s="11">
        <f>'Income and Expenses structure'!BQ131</f>
        <v>8858.9659999999985</v>
      </c>
      <c r="BO25" s="11">
        <f>'Income and Expenses structure'!BR131</f>
        <v>5820.3750000000009</v>
      </c>
      <c r="BP25" s="11">
        <f>'Income and Expenses structure'!BS131</f>
        <v>3024.3710000000001</v>
      </c>
      <c r="BQ25" s="5"/>
    </row>
    <row r="26" spans="1:69" x14ac:dyDescent="0.25">
      <c r="A26" s="74">
        <v>26</v>
      </c>
      <c r="B26" s="12" t="s">
        <v>261</v>
      </c>
      <c r="C26" s="11">
        <f>'Income and Expenses structure'!F132</f>
        <v>5941</v>
      </c>
      <c r="D26" s="11">
        <f>'Income and Expenses structure'!G132</f>
        <v>2795</v>
      </c>
      <c r="E26" s="11">
        <f>'Income and Expenses structure'!H132</f>
        <v>11787</v>
      </c>
      <c r="F26" s="11">
        <f>'Income and Expenses structure'!I132</f>
        <v>8475</v>
      </c>
      <c r="G26" s="11">
        <f>'Income and Expenses structure'!J132</f>
        <v>5602</v>
      </c>
      <c r="H26" s="11">
        <f>'Income and Expenses structure'!K132</f>
        <v>2761</v>
      </c>
      <c r="I26" s="11">
        <f>'Income and Expenses structure'!L132</f>
        <v>11599</v>
      </c>
      <c r="J26" s="11">
        <f>'Income and Expenses structure'!M132</f>
        <v>8524</v>
      </c>
      <c r="K26" s="11">
        <f>'Income and Expenses structure'!N132</f>
        <v>5368</v>
      </c>
      <c r="L26" s="11">
        <f>'Income and Expenses structure'!O132</f>
        <v>2659</v>
      </c>
      <c r="M26" s="11">
        <f>'Income and Expenses structure'!P132</f>
        <v>12487</v>
      </c>
      <c r="N26" s="11">
        <f>'Income and Expenses structure'!Q132</f>
        <v>9430</v>
      </c>
      <c r="O26" s="11">
        <f>'Income and Expenses structure'!R132</f>
        <v>6458</v>
      </c>
      <c r="P26" s="11">
        <f>'Income and Expenses structure'!S132</f>
        <v>3566</v>
      </c>
      <c r="Q26" s="399"/>
      <c r="R26" s="399"/>
      <c r="S26" s="399"/>
      <c r="T26" s="399"/>
      <c r="U26" s="11">
        <f>'Income and Expenses structure'!X132</f>
        <v>9009</v>
      </c>
      <c r="V26" s="11">
        <f>'Income and Expenses structure'!Y132</f>
        <v>6409</v>
      </c>
      <c r="W26" s="11">
        <f>'Income and Expenses structure'!Z132</f>
        <v>4213</v>
      </c>
      <c r="X26" s="11">
        <f>'Income and Expenses structure'!AA132</f>
        <v>1905</v>
      </c>
      <c r="Y26" s="11">
        <f>'Income and Expenses structure'!AB132</f>
        <v>7540</v>
      </c>
      <c r="Z26" s="11">
        <f>'Income and Expenses structure'!AC132</f>
        <v>5225.1329999999998</v>
      </c>
      <c r="AA26" s="11">
        <f>'Income and Expenses structure'!AD132</f>
        <v>3325.1319999999996</v>
      </c>
      <c r="AB26" s="11">
        <f>'Income and Expenses structure'!AE132</f>
        <v>1682.1690000000001</v>
      </c>
      <c r="AC26" s="11">
        <f>'Income and Expenses structure'!AF132</f>
        <v>6818.9260000000013</v>
      </c>
      <c r="AD26" s="11">
        <f>'Income and Expenses structure'!AG132</f>
        <v>4825.646999999999</v>
      </c>
      <c r="AE26" s="11">
        <f>'Income and Expenses structure'!AH132</f>
        <v>3042.1179999999995</v>
      </c>
      <c r="AF26" s="11">
        <f>'Income and Expenses structure'!AI132</f>
        <v>1278.4550000000004</v>
      </c>
      <c r="AG26" s="11">
        <f>'Income and Expenses structure'!AJ132</f>
        <v>5243.0819999999985</v>
      </c>
      <c r="AH26" s="11">
        <f>'Income and Expenses structure'!AK132</f>
        <v>3746.9524999999999</v>
      </c>
      <c r="AI26" s="11">
        <f>'Income and Expenses structure'!AL132</f>
        <v>2421.3310000000001</v>
      </c>
      <c r="AJ26" s="11">
        <f>'Income and Expenses structure'!AM132</f>
        <v>1235.2635000000002</v>
      </c>
      <c r="AK26" s="11">
        <f>'Income and Expenses structure'!AN132</f>
        <v>5211.0729999999994</v>
      </c>
      <c r="AL26" s="11">
        <f>'Income and Expenses structure'!AO132</f>
        <v>3745.7579999999998</v>
      </c>
      <c r="AM26" s="11">
        <f>'Income and Expenses structure'!AP132</f>
        <v>2433.7350000000001</v>
      </c>
      <c r="AN26" s="11">
        <f>'Income and Expenses structure'!AQ132</f>
        <v>1171.204</v>
      </c>
      <c r="AO26" s="11">
        <f>'Income and Expenses structure'!AR132</f>
        <v>4699.5190000000002</v>
      </c>
      <c r="AP26" s="11">
        <f>'Income and Expenses structure'!AS132</f>
        <v>3474.2979999999998</v>
      </c>
      <c r="AQ26" s="11">
        <f>'Income and Expenses structure'!AT132</f>
        <v>2295.7780000000002</v>
      </c>
      <c r="AR26" s="11">
        <f>'Income and Expenses structure'!AU132</f>
        <v>1127.9749999999999</v>
      </c>
      <c r="AS26" s="11">
        <f>'Income and Expenses structure'!AV132</f>
        <v>4042.3099999999995</v>
      </c>
      <c r="AT26" s="11">
        <f>'Income and Expenses structure'!AW132</f>
        <v>2897.942</v>
      </c>
      <c r="AU26" s="11">
        <f>'Income and Expenses structure'!AX132</f>
        <v>1863.5250000000001</v>
      </c>
      <c r="AV26" s="11">
        <f>'Income and Expenses structure'!AY132</f>
        <v>836.72</v>
      </c>
      <c r="AW26" s="11">
        <f>'Income and Expenses structure'!AZ132</f>
        <v>3720.6420000000003</v>
      </c>
      <c r="AX26" s="11">
        <f>'Income and Expenses structure'!BA132</f>
        <v>2648.2570000000001</v>
      </c>
      <c r="AY26" s="11">
        <f>'Income and Expenses structure'!BB132</f>
        <v>1685.9559999999999</v>
      </c>
      <c r="AZ26" s="11">
        <f>'Income and Expenses structure'!BC132</f>
        <v>789.62900000000002</v>
      </c>
      <c r="BA26" s="11">
        <f>'Income and Expenses structure'!BD132</f>
        <v>2677.8679999999999</v>
      </c>
      <c r="BB26" s="11">
        <f>'Income and Expenses structure'!BE132</f>
        <v>1877.4119999999998</v>
      </c>
      <c r="BC26" s="11">
        <f>'Income and Expenses structure'!BF132</f>
        <v>1225.8699999999999</v>
      </c>
      <c r="BD26" s="11">
        <f>'Income and Expenses structure'!BG132</f>
        <v>594.43500000000006</v>
      </c>
      <c r="BE26" s="11">
        <f>'Income and Expenses structure'!BH132</f>
        <v>2349.1290000000008</v>
      </c>
      <c r="BF26" s="11">
        <f>'Income and Expenses structure'!BI132</f>
        <v>1644.598</v>
      </c>
      <c r="BG26" s="11">
        <f>'Income and Expenses structure'!BJ132</f>
        <v>1035.7539999999999</v>
      </c>
      <c r="BH26" s="11">
        <f>'Income and Expenses structure'!BK132</f>
        <v>482.05899999999997</v>
      </c>
      <c r="BI26" s="11">
        <f>'Income and Expenses structure'!BL132</f>
        <v>2051.634</v>
      </c>
      <c r="BJ26" s="11">
        <f>'Income and Expenses structure'!BM132</f>
        <v>1463.894</v>
      </c>
      <c r="BK26" s="11">
        <f>'Income and Expenses structure'!BN132</f>
        <v>938.8309999999999</v>
      </c>
      <c r="BL26" s="11">
        <f>'Income and Expenses structure'!BO132</f>
        <v>439.13100000000003</v>
      </c>
      <c r="BM26" s="11">
        <f>'Income and Expenses structure'!BP132</f>
        <v>1715.125</v>
      </c>
      <c r="BN26" s="11">
        <f>'Income and Expenses structure'!BQ132</f>
        <v>1180.4960000000001</v>
      </c>
      <c r="BO26" s="11">
        <f>'Income and Expenses structure'!BR132</f>
        <v>763.49700000000007</v>
      </c>
      <c r="BP26" s="11">
        <f>'Income and Expenses structure'!BS132</f>
        <v>337.197</v>
      </c>
      <c r="BQ26" s="5"/>
    </row>
    <row r="27" spans="1:69" x14ac:dyDescent="0.25">
      <c r="A27" s="74">
        <v>27</v>
      </c>
      <c r="B27" s="12" t="s">
        <v>144</v>
      </c>
      <c r="C27" s="11">
        <f>'Income and Expenses structure'!F139</f>
        <v>16514</v>
      </c>
      <c r="D27" s="11">
        <f>'Income and Expenses structure'!G139</f>
        <v>10910.592000000001</v>
      </c>
      <c r="E27" s="11">
        <f>'Income and Expenses structure'!H139</f>
        <v>37847</v>
      </c>
      <c r="F27" s="11">
        <f>'Income and Expenses structure'!I139</f>
        <v>33415</v>
      </c>
      <c r="G27" s="11">
        <f>'Income and Expenses structure'!J139</f>
        <v>24652</v>
      </c>
      <c r="H27" s="11">
        <f>'Income and Expenses structure'!K139</f>
        <v>15527</v>
      </c>
      <c r="I27" s="11">
        <f>'Income and Expenses structure'!L139</f>
        <v>50779</v>
      </c>
      <c r="J27" s="11">
        <f>'Income and Expenses structure'!M139</f>
        <v>37570</v>
      </c>
      <c r="K27" s="11">
        <f>'Income and Expenses structure'!N139</f>
        <v>24307</v>
      </c>
      <c r="L27" s="11">
        <f>'Income and Expenses structure'!O139</f>
        <v>13020</v>
      </c>
      <c r="M27" s="11">
        <f>'Income and Expenses structure'!P139</f>
        <v>47315</v>
      </c>
      <c r="N27" s="11">
        <f>'Income and Expenses structure'!Q139</f>
        <v>36880</v>
      </c>
      <c r="O27" s="11">
        <f>'Income and Expenses structure'!R139</f>
        <v>28355</v>
      </c>
      <c r="P27" s="11">
        <f>'Income and Expenses structure'!S139</f>
        <v>14621</v>
      </c>
      <c r="Q27" s="399"/>
      <c r="R27" s="399"/>
      <c r="S27" s="399"/>
      <c r="T27" s="399"/>
      <c r="U27" s="11">
        <f>'Income and Expenses structure'!X139</f>
        <v>18083</v>
      </c>
      <c r="V27" s="11">
        <f>'Income and Expenses structure'!Y139</f>
        <v>11406</v>
      </c>
      <c r="W27" s="11">
        <f>'Income and Expenses structure'!Z139</f>
        <v>7269</v>
      </c>
      <c r="X27" s="11">
        <f>'Income and Expenses structure'!AA139</f>
        <v>2393</v>
      </c>
      <c r="Y27" s="11">
        <f>'Income and Expenses structure'!AB139</f>
        <v>10827</v>
      </c>
      <c r="Z27" s="11">
        <f>'Income and Expenses structure'!AC139</f>
        <v>6348.5399999999972</v>
      </c>
      <c r="AA27" s="11">
        <f>'Income and Expenses structure'!AD139</f>
        <v>3598.2960000000012</v>
      </c>
      <c r="AB27" s="11">
        <f>'Income and Expenses structure'!AE139</f>
        <v>1581.1629999999996</v>
      </c>
      <c r="AC27" s="11">
        <f>'Income and Expenses structure'!AF139</f>
        <v>7905.8910000000033</v>
      </c>
      <c r="AD27" s="11">
        <f>'Income and Expenses structure'!AG139</f>
        <v>5502.0840000000017</v>
      </c>
      <c r="AE27" s="11">
        <f>'Income and Expenses structure'!AH139</f>
        <v>3471.6769999999992</v>
      </c>
      <c r="AF27" s="11">
        <f>'Income and Expenses structure'!AI139</f>
        <v>1281.6540000000005</v>
      </c>
      <c r="AG27" s="11">
        <f>'Income and Expenses structure'!AJ139</f>
        <v>9046.9279999999999</v>
      </c>
      <c r="AH27" s="11">
        <f>'Income and Expenses structure'!AK139</f>
        <v>6471.9489999999932</v>
      </c>
      <c r="AI27" s="11">
        <f>'Income and Expenses structure'!AL139</f>
        <v>4389.9519999999984</v>
      </c>
      <c r="AJ27" s="11">
        <f>'Income and Expenses structure'!AM139</f>
        <v>1847.070999999999</v>
      </c>
      <c r="AK27" s="11">
        <f>'Income and Expenses structure'!AN139</f>
        <v>7491.0559999999941</v>
      </c>
      <c r="AL27" s="11">
        <f>'Income and Expenses structure'!AO139</f>
        <v>5737.1329999999989</v>
      </c>
      <c r="AM27" s="11">
        <f>'Income and Expenses structure'!AP139</f>
        <v>3324.1639999999993</v>
      </c>
      <c r="AN27" s="11">
        <f>'Income and Expenses structure'!AQ139</f>
        <v>1476.8300000000006</v>
      </c>
      <c r="AO27" s="11">
        <f>'Income and Expenses structure'!AR139</f>
        <v>4277.8100000000004</v>
      </c>
      <c r="AP27" s="11">
        <f>'Income and Expenses structure'!AS139</f>
        <v>3030.6719999999978</v>
      </c>
      <c r="AQ27" s="11">
        <f>'Income and Expenses structure'!AT139</f>
        <v>1995.8069999999989</v>
      </c>
      <c r="AR27" s="11">
        <f>'Income and Expenses structure'!AU139</f>
        <v>1169.5100000000009</v>
      </c>
      <c r="AS27" s="11">
        <f>'Income and Expenses structure'!AV139</f>
        <v>3618.5149999999967</v>
      </c>
      <c r="AT27" s="11">
        <f>'Income and Expenses structure'!AW139</f>
        <v>2687.5609999999974</v>
      </c>
      <c r="AU27" s="11">
        <f>'Income and Expenses structure'!AX139</f>
        <v>1567.6370000000022</v>
      </c>
      <c r="AV27" s="11">
        <f>'Income and Expenses structure'!AY139</f>
        <v>568.9409999999998</v>
      </c>
      <c r="AW27" s="11">
        <f>'Income and Expenses structure'!AZ139</f>
        <v>4795.6740000000054</v>
      </c>
      <c r="AX27" s="11">
        <f>'Income and Expenses structure'!BA139</f>
        <v>4104.5169999999998</v>
      </c>
      <c r="AY27" s="11">
        <f>'Income and Expenses structure'!BB139</f>
        <v>2919.5159999999996</v>
      </c>
      <c r="AZ27" s="11">
        <f>'Income and Expenses structure'!BC139</f>
        <v>1675.5620000000006</v>
      </c>
      <c r="BA27" s="11">
        <f>'Income and Expenses structure'!BD139</f>
        <v>6695.2630000000026</v>
      </c>
      <c r="BB27" s="11">
        <f>'Income and Expenses structure'!BE139</f>
        <v>3615.8859999999986</v>
      </c>
      <c r="BC27" s="11">
        <f>'Income and Expenses structure'!BF139</f>
        <v>2003.1469999999999</v>
      </c>
      <c r="BD27" s="11">
        <f>'Income and Expenses structure'!BG139</f>
        <v>1079.9299999999998</v>
      </c>
      <c r="BE27" s="11">
        <f>'Income and Expenses structure'!BH139</f>
        <v>1303.4999999999991</v>
      </c>
      <c r="BF27" s="11">
        <f>'Income and Expenses structure'!BI139</f>
        <v>930.27599999999984</v>
      </c>
      <c r="BG27" s="11">
        <f>'Income and Expenses structure'!BJ139</f>
        <v>237.35299999999816</v>
      </c>
      <c r="BH27" s="11">
        <f>'Income and Expenses structure'!BK139</f>
        <v>123.28399999999979</v>
      </c>
      <c r="BI27" s="11">
        <f>'Income and Expenses structure'!BL139</f>
        <v>5885.4820000000018</v>
      </c>
      <c r="BJ27" s="11">
        <f>'Income and Expenses structure'!BM139</f>
        <v>5316.0339999999978</v>
      </c>
      <c r="BK27" s="11">
        <f>'Income and Expenses structure'!BN139</f>
        <v>4495.4600000000009</v>
      </c>
      <c r="BL27" s="11">
        <f>'Income and Expenses structure'!BO139</f>
        <v>2090.3870000000006</v>
      </c>
      <c r="BM27" s="11">
        <f>'Income and Expenses structure'!BP139</f>
        <v>4114.7439999999997</v>
      </c>
      <c r="BN27" s="11">
        <f>'Income and Expenses structure'!BQ139</f>
        <v>2299.9699999999984</v>
      </c>
      <c r="BO27" s="11">
        <f>'Income and Expenses structure'!BR139</f>
        <v>1127.1110000000008</v>
      </c>
      <c r="BP27" s="11">
        <f>'Income and Expenses structure'!BS139</f>
        <v>349.87900000000025</v>
      </c>
      <c r="BQ27" s="5"/>
    </row>
    <row r="28" spans="1:69" ht="7.5" customHeight="1" x14ac:dyDescent="0.25">
      <c r="A28" s="324">
        <v>28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1"/>
      <c r="BG28" s="11"/>
      <c r="BH28" s="11"/>
      <c r="BI28" s="11"/>
      <c r="BJ28" s="11"/>
      <c r="BK28" s="27"/>
      <c r="BL28" s="27"/>
      <c r="BM28" s="27"/>
      <c r="BN28" s="27"/>
      <c r="BO28" s="27"/>
      <c r="BP28" s="27"/>
      <c r="BQ28" s="5"/>
    </row>
    <row r="29" spans="1:69" ht="15" customHeight="1" x14ac:dyDescent="0.25">
      <c r="A29" s="74">
        <v>29</v>
      </c>
      <c r="B29" s="457"/>
      <c r="C29" s="446" t="s">
        <v>475</v>
      </c>
      <c r="D29" s="446" t="s">
        <v>472</v>
      </c>
      <c r="E29" s="446" t="s">
        <v>471</v>
      </c>
      <c r="F29" s="446" t="s">
        <v>468</v>
      </c>
      <c r="G29" s="446" t="s">
        <v>466</v>
      </c>
      <c r="H29" s="446" t="s">
        <v>462</v>
      </c>
      <c r="I29" s="446" t="s">
        <v>459</v>
      </c>
      <c r="J29" s="446" t="s">
        <v>457</v>
      </c>
      <c r="K29" s="446" t="s">
        <v>454</v>
      </c>
      <c r="L29" s="446" t="s">
        <v>452</v>
      </c>
      <c r="M29" s="446" t="s">
        <v>451</v>
      </c>
      <c r="N29" s="446" t="s">
        <v>449</v>
      </c>
      <c r="O29" s="446" t="s">
        <v>447</v>
      </c>
      <c r="P29" s="446" t="s">
        <v>438</v>
      </c>
      <c r="Q29" s="446" t="s">
        <v>437</v>
      </c>
      <c r="R29" s="446" t="s">
        <v>434</v>
      </c>
      <c r="S29" s="446" t="s">
        <v>419</v>
      </c>
      <c r="T29" s="446" t="s">
        <v>429</v>
      </c>
      <c r="U29" s="446" t="s">
        <v>424</v>
      </c>
      <c r="V29" s="446" t="s">
        <v>421</v>
      </c>
      <c r="W29" s="446" t="s">
        <v>419</v>
      </c>
      <c r="X29" s="446" t="s">
        <v>415</v>
      </c>
      <c r="Y29" s="449" t="s">
        <v>410</v>
      </c>
      <c r="Z29" s="446" t="s">
        <v>408</v>
      </c>
      <c r="AA29" s="446" t="s">
        <v>406</v>
      </c>
      <c r="AB29" s="446" t="s">
        <v>402</v>
      </c>
      <c r="AC29" s="449" t="s">
        <v>393</v>
      </c>
      <c r="AD29" s="446" t="s">
        <v>387</v>
      </c>
      <c r="AE29" s="446" t="s">
        <v>384</v>
      </c>
      <c r="AF29" s="446" t="s">
        <v>381</v>
      </c>
      <c r="AG29" s="449" t="s">
        <v>376</v>
      </c>
      <c r="AH29" s="449" t="s">
        <v>373</v>
      </c>
      <c r="AI29" s="446" t="s">
        <v>347</v>
      </c>
      <c r="AJ29" s="446" t="s">
        <v>311</v>
      </c>
      <c r="AK29" s="451" t="s">
        <v>309</v>
      </c>
      <c r="AL29" s="449" t="s">
        <v>307</v>
      </c>
      <c r="AM29" s="449" t="s">
        <v>292</v>
      </c>
      <c r="AN29" s="446" t="s">
        <v>286</v>
      </c>
      <c r="AO29" s="451" t="s">
        <v>274</v>
      </c>
      <c r="AP29" s="451" t="s">
        <v>271</v>
      </c>
      <c r="AQ29" s="451" t="s">
        <v>269</v>
      </c>
      <c r="AR29" s="451" t="s">
        <v>266</v>
      </c>
      <c r="AS29" s="446" t="s">
        <v>264</v>
      </c>
      <c r="AT29" s="446" t="s">
        <v>262</v>
      </c>
      <c r="AU29" s="446" t="s">
        <v>256</v>
      </c>
      <c r="AV29" s="446" t="s">
        <v>253</v>
      </c>
      <c r="AW29" s="446" t="s">
        <v>245</v>
      </c>
      <c r="AX29" s="446" t="s">
        <v>243</v>
      </c>
      <c r="AY29" s="446" t="s">
        <v>240</v>
      </c>
      <c r="AZ29" s="446" t="s">
        <v>231</v>
      </c>
      <c r="BA29" s="446" t="s">
        <v>227</v>
      </c>
      <c r="BB29" s="446" t="s">
        <v>222</v>
      </c>
      <c r="BC29" s="446" t="s">
        <v>205</v>
      </c>
      <c r="BD29" s="446" t="s">
        <v>203</v>
      </c>
      <c r="BE29" s="446" t="s">
        <v>200</v>
      </c>
      <c r="BF29" s="446" t="s">
        <v>65</v>
      </c>
      <c r="BG29" s="446" t="s">
        <v>66</v>
      </c>
      <c r="BH29" s="446" t="s">
        <v>4</v>
      </c>
      <c r="BI29" s="446" t="s">
        <v>67</v>
      </c>
      <c r="BJ29" s="446" t="s">
        <v>68</v>
      </c>
      <c r="BK29" s="446" t="s">
        <v>69</v>
      </c>
      <c r="BL29" s="446" t="s">
        <v>5</v>
      </c>
      <c r="BM29" s="446" t="s">
        <v>70</v>
      </c>
      <c r="BN29" s="446" t="s">
        <v>71</v>
      </c>
      <c r="BO29" s="446" t="s">
        <v>72</v>
      </c>
      <c r="BP29" s="446" t="s">
        <v>6</v>
      </c>
      <c r="BQ29" s="284"/>
    </row>
    <row r="30" spans="1:69" ht="15" customHeight="1" x14ac:dyDescent="0.25">
      <c r="A30" s="74">
        <v>30</v>
      </c>
      <c r="B30" s="457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50"/>
      <c r="Z30" s="448"/>
      <c r="AA30" s="448"/>
      <c r="AB30" s="448"/>
      <c r="AC30" s="450"/>
      <c r="AD30" s="448"/>
      <c r="AE30" s="448"/>
      <c r="AF30" s="447"/>
      <c r="AG30" s="450"/>
      <c r="AH30" s="450"/>
      <c r="AI30" s="447"/>
      <c r="AJ30" s="447"/>
      <c r="AK30" s="452"/>
      <c r="AL30" s="450"/>
      <c r="AM30" s="450"/>
      <c r="AN30" s="447"/>
      <c r="AO30" s="452"/>
      <c r="AP30" s="452"/>
      <c r="AQ30" s="452"/>
      <c r="AR30" s="452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  <c r="BN30" s="447"/>
      <c r="BO30" s="447"/>
      <c r="BP30" s="447"/>
      <c r="BQ30" s="284"/>
    </row>
    <row r="31" spans="1:69" ht="8.25" customHeight="1" x14ac:dyDescent="0.25">
      <c r="A31" s="324">
        <v>31</v>
      </c>
      <c r="B31" s="8" t="s">
        <v>8</v>
      </c>
      <c r="C31" s="8"/>
      <c r="D31" s="8"/>
      <c r="E31" s="8"/>
      <c r="F31" s="8"/>
      <c r="G31" s="8"/>
      <c r="H31" s="8"/>
      <c r="I31" s="8"/>
      <c r="J31" s="8"/>
      <c r="K31" s="8"/>
      <c r="L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9"/>
      <c r="BG31" s="9"/>
      <c r="BH31" s="9"/>
      <c r="BI31" s="9"/>
      <c r="BJ31" s="9"/>
    </row>
    <row r="32" spans="1:69" ht="8.25" customHeight="1" x14ac:dyDescent="0.25">
      <c r="A32" s="74">
        <v>32</v>
      </c>
      <c r="B32" s="8" t="s">
        <v>64</v>
      </c>
      <c r="C32" s="8"/>
      <c r="D32" s="8"/>
      <c r="E32" s="8"/>
      <c r="F32" s="8"/>
      <c r="G32" s="8"/>
      <c r="H32" s="8"/>
      <c r="I32" s="8"/>
      <c r="J32" s="8"/>
      <c r="K32" s="8"/>
      <c r="L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9"/>
      <c r="BG32" s="9"/>
      <c r="BH32" s="9"/>
      <c r="BI32" s="9"/>
      <c r="BJ32" s="9"/>
    </row>
    <row r="33" spans="1:69" x14ac:dyDescent="0.25">
      <c r="A33" s="74">
        <v>33</v>
      </c>
      <c r="B33" s="12" t="s">
        <v>11</v>
      </c>
      <c r="C33" s="22">
        <f>'Income and Expenses structure'!F149</f>
        <v>23432</v>
      </c>
      <c r="D33" s="22">
        <f>'Income and Expenses structure'!G149</f>
        <v>22615</v>
      </c>
      <c r="E33" s="22">
        <f>'Income and Expenses structure'!H149</f>
        <v>24193</v>
      </c>
      <c r="F33" s="22">
        <f>'Income and Expenses structure'!I149</f>
        <v>24155</v>
      </c>
      <c r="G33" s="22">
        <f>'Income and Expenses structure'!J149</f>
        <v>25376</v>
      </c>
      <c r="H33" s="22">
        <f>'Income and Expenses structure'!K149</f>
        <v>25386</v>
      </c>
      <c r="I33" s="22">
        <f>'Income and Expenses structure'!L149</f>
        <v>26126</v>
      </c>
      <c r="J33" s="22">
        <f>'Income and Expenses structure'!M149</f>
        <v>23655</v>
      </c>
      <c r="K33" s="22">
        <f>'Income and Expenses structure'!N149</f>
        <v>22264</v>
      </c>
      <c r="L33" s="22">
        <f>'Income and Expenses structure'!O149</f>
        <v>22314</v>
      </c>
      <c r="M33" s="22">
        <f>'Income and Expenses structure'!P149</f>
        <v>20564</v>
      </c>
      <c r="N33" s="22">
        <f>'Income and Expenses structure'!Q149</f>
        <v>17404</v>
      </c>
      <c r="O33" s="22">
        <f>'Income and Expenses structure'!R149</f>
        <v>15804</v>
      </c>
      <c r="P33" s="22">
        <f>'Income and Expenses structure'!S149</f>
        <v>20814</v>
      </c>
      <c r="Q33" s="400"/>
      <c r="R33" s="400"/>
      <c r="S33" s="400"/>
      <c r="T33" s="400"/>
      <c r="U33" s="22">
        <f>'Income and Expenses structure'!X149</f>
        <v>13642</v>
      </c>
      <c r="V33" s="22">
        <f>'Income and Expenses structure'!Y149</f>
        <v>10799</v>
      </c>
      <c r="W33" s="22">
        <f>'Income and Expenses structure'!Z149</f>
        <v>10866.683000000001</v>
      </c>
      <c r="X33" s="22">
        <f>'Income and Expenses structure'!AA149</f>
        <v>9239</v>
      </c>
      <c r="Y33" s="22">
        <f>'Income and Expenses structure'!AB149</f>
        <v>11300.383000000002</v>
      </c>
      <c r="Z33" s="22">
        <f>'Income and Expenses structure'!AC149</f>
        <v>9178.9249999999975</v>
      </c>
      <c r="AA33" s="22">
        <f>'Income and Expenses structure'!AD149</f>
        <v>8363.771999999999</v>
      </c>
      <c r="AB33" s="22">
        <f>'Income and Expenses structure'!AE149</f>
        <v>8226.92</v>
      </c>
      <c r="AC33" s="22">
        <f>'Income and Expenses structure'!AF149</f>
        <v>8934.6910000000025</v>
      </c>
      <c r="AD33" s="22">
        <f>'Income and Expenses structure'!AG149</f>
        <v>7526.4740000000038</v>
      </c>
      <c r="AE33" s="22">
        <f>'Income and Expenses structure'!AH149</f>
        <v>7992.9079999999976</v>
      </c>
      <c r="AF33" s="22">
        <f>'Income and Expenses structure'!AI149</f>
        <v>7402.7790000000005</v>
      </c>
      <c r="AG33" s="22">
        <f>'Income and Expenses structure'!AJ149</f>
        <v>9627.8370000000014</v>
      </c>
      <c r="AH33" s="22">
        <f>'Income and Expenses structure'!AK149</f>
        <v>7695.2769999999964</v>
      </c>
      <c r="AI33" s="22">
        <f>'Income and Expenses structure'!AL149</f>
        <v>8273.2089999999989</v>
      </c>
      <c r="AJ33" s="22">
        <f>'Income and Expenses structure'!AM149</f>
        <v>7139.4369999999999</v>
      </c>
      <c r="AK33" s="22">
        <f>'Income and Expenses structure'!AN149</f>
        <v>7938.5739999999951</v>
      </c>
      <c r="AL33" s="22">
        <f>'Income and Expenses structure'!AO149</f>
        <v>7510.6710000000003</v>
      </c>
      <c r="AM33" s="22">
        <f>'Income and Expenses structure'!AP149</f>
        <v>8286.8109999999997</v>
      </c>
      <c r="AN33" s="22">
        <f>'Income and Expenses structure'!AQ149</f>
        <v>7158.8230000000012</v>
      </c>
      <c r="AO33" s="22">
        <f>'Income and Expenses structure'!AR149</f>
        <v>7334.6859999999997</v>
      </c>
      <c r="AP33" s="22">
        <f>'Income and Expenses structure'!AS149</f>
        <v>7574.8950000000004</v>
      </c>
      <c r="AQ33" s="22">
        <f>'Income and Expenses structure'!AT149</f>
        <v>7419.3439999999973</v>
      </c>
      <c r="AR33" s="22">
        <f>'Income and Expenses structure'!AU149</f>
        <v>6988.5280000000002</v>
      </c>
      <c r="AS33" s="22">
        <f>'Income and Expenses structure'!AV149</f>
        <v>7857.9690000000028</v>
      </c>
      <c r="AT33" s="22">
        <f>'Income and Expenses structure'!AW149</f>
        <v>7075.5849999999946</v>
      </c>
      <c r="AU33" s="22">
        <f>'Income and Expenses structure'!AX149</f>
        <v>6605.9410000000016</v>
      </c>
      <c r="AV33" s="22">
        <f>'Income and Expenses structure'!AY149</f>
        <v>5394.5159999999996</v>
      </c>
      <c r="AW33" s="22">
        <f>'Income and Expenses structure'!AZ149</f>
        <v>6594.8050000000039</v>
      </c>
      <c r="AX33" s="22">
        <f>'Income and Expenses structure'!BA149</f>
        <v>5284.2220000000007</v>
      </c>
      <c r="AY33" s="22">
        <f>'Income and Expenses structure'!BB149</f>
        <v>5228.9339999999993</v>
      </c>
      <c r="AZ33" s="22">
        <f>'Income and Expenses structure'!BC149</f>
        <v>4665.2180000000008</v>
      </c>
      <c r="BA33" s="22">
        <f>'Income and Expenses structure'!BD149</f>
        <v>5101.4350000000022</v>
      </c>
      <c r="BB33" s="22">
        <f>'Income and Expenses structure'!BE149</f>
        <v>4393.2220000000007</v>
      </c>
      <c r="BC33" s="22">
        <f>'Income and Expenses structure'!BF149</f>
        <v>3975.5000000000005</v>
      </c>
      <c r="BD33" s="22">
        <f>'Income and Expenses structure'!BG149</f>
        <v>4037.5659999999998</v>
      </c>
      <c r="BE33" s="22">
        <f>'Income and Expenses structure'!BH149</f>
        <v>3937.025000000001</v>
      </c>
      <c r="BF33" s="22">
        <f>'Income and Expenses structure'!BI149</f>
        <v>3902.9440000000004</v>
      </c>
      <c r="BG33" s="22">
        <f>'Income and Expenses structure'!BJ149</f>
        <v>3357.0209999999988</v>
      </c>
      <c r="BH33" s="22">
        <f>'Income and Expenses structure'!BK149</f>
        <v>3548.4580000000005</v>
      </c>
      <c r="BI33" s="22">
        <f>'Income and Expenses structure'!BL149</f>
        <v>3752.6909999999998</v>
      </c>
      <c r="BJ33" s="22">
        <f>'Income and Expenses structure'!BM149</f>
        <v>3729.1699999999996</v>
      </c>
      <c r="BK33" s="22">
        <f>'Income and Expenses structure'!BN149</f>
        <v>4037.3460000000005</v>
      </c>
      <c r="BL33" s="22">
        <f>'Income and Expenses structure'!BO149</f>
        <v>4267.4639999999999</v>
      </c>
      <c r="BM33" s="22">
        <f>'Income and Expenses structure'!BP149</f>
        <v>3501.9740000000006</v>
      </c>
      <c r="BN33" s="22">
        <f>'Income and Expenses structure'!BQ149</f>
        <v>3582.5660000000007</v>
      </c>
      <c r="BO33" s="22">
        <f>'Income and Expenses structure'!BR149</f>
        <v>3150.4020000000005</v>
      </c>
      <c r="BP33" s="22">
        <f>'Income and Expenses structure'!BS149</f>
        <v>4259.732</v>
      </c>
    </row>
    <row r="34" spans="1:69" x14ac:dyDescent="0.25">
      <c r="A34" s="324">
        <v>34</v>
      </c>
      <c r="B34" s="12" t="s">
        <v>10</v>
      </c>
      <c r="C34" s="22">
        <f>'Income and Expenses structure'!F145</f>
        <v>18223</v>
      </c>
      <c r="D34" s="22">
        <f>'Income and Expenses structure'!G145</f>
        <v>18367</v>
      </c>
      <c r="E34" s="22">
        <f>'Income and Expenses structure'!H145</f>
        <v>18686</v>
      </c>
      <c r="F34" s="22">
        <f>'Income and Expenses structure'!I145</f>
        <v>19642</v>
      </c>
      <c r="G34" s="22">
        <f>'Income and Expenses structure'!J145</f>
        <v>19502</v>
      </c>
      <c r="H34" s="22">
        <f>'Income and Expenses structure'!K145</f>
        <v>19928</v>
      </c>
      <c r="I34" s="22">
        <f>'Income and Expenses structure'!L145</f>
        <v>19347</v>
      </c>
      <c r="J34" s="22">
        <f>'Income and Expenses structure'!M145</f>
        <v>17344</v>
      </c>
      <c r="K34" s="22">
        <f>'Income and Expenses structure'!N145</f>
        <v>16664</v>
      </c>
      <c r="L34" s="22">
        <f>'Income and Expenses structure'!O145</f>
        <v>17202</v>
      </c>
      <c r="M34" s="22">
        <f>'Income and Expenses structure'!P145</f>
        <v>16077</v>
      </c>
      <c r="N34" s="22">
        <f>'Income and Expenses structure'!Q145</f>
        <v>12660</v>
      </c>
      <c r="O34" s="22">
        <f>'Income and Expenses structure'!R145</f>
        <v>10886</v>
      </c>
      <c r="P34" s="22">
        <f>'Income and Expenses structure'!S145</f>
        <v>11209</v>
      </c>
      <c r="Q34" s="400"/>
      <c r="R34" s="400"/>
      <c r="S34" s="400"/>
      <c r="T34" s="400"/>
      <c r="U34" s="22">
        <f>'Income and Expenses structure'!X145</f>
        <v>7954</v>
      </c>
      <c r="V34" s="22">
        <f>'Income and Expenses structure'!Y145</f>
        <v>7057</v>
      </c>
      <c r="W34" s="22">
        <f>'Income and Expenses structure'!Z145</f>
        <v>6630.683</v>
      </c>
      <c r="X34" s="22">
        <f>'Income and Expenses structure'!AA145</f>
        <v>6466</v>
      </c>
      <c r="Y34" s="22">
        <f>'Income and Expenses structure'!AB145</f>
        <v>7190.4130000000005</v>
      </c>
      <c r="Z34" s="22">
        <f>'Income and Expenses structure'!AC145</f>
        <v>6040.4239999999991</v>
      </c>
      <c r="AA34" s="22">
        <f>'Income and Expenses structure'!AD145</f>
        <v>6057.5580000000009</v>
      </c>
      <c r="AB34" s="22">
        <f>'Income and Expenses structure'!AE145</f>
        <v>6235.6049999999996</v>
      </c>
      <c r="AC34" s="22">
        <f>'Income and Expenses structure'!AF145</f>
        <v>6367.3350000000028</v>
      </c>
      <c r="AD34" s="22">
        <f>'Income and Expenses structure'!AG145</f>
        <v>5856.3730000000032</v>
      </c>
      <c r="AE34" s="22">
        <f>'Income and Expenses structure'!AH145</f>
        <v>5321.3699999999981</v>
      </c>
      <c r="AF34" s="22">
        <f>'Income and Expenses structure'!AI145</f>
        <v>5736.3910000000005</v>
      </c>
      <c r="AG34" s="22">
        <f>'Income and Expenses structure'!AJ145</f>
        <v>6065.8020000000033</v>
      </c>
      <c r="AH34" s="22">
        <f>'Income and Expenses structure'!AK145</f>
        <v>5519.4489999999969</v>
      </c>
      <c r="AI34" s="22">
        <f>'Income and Expenses structure'!AL145</f>
        <v>5256.1719999999996</v>
      </c>
      <c r="AJ34" s="22">
        <f>'Income and Expenses structure'!AM145</f>
        <v>5053.8419999999996</v>
      </c>
      <c r="AK34" s="22">
        <f>'Income and Expenses structure'!AN145</f>
        <v>5715.9689999999946</v>
      </c>
      <c r="AL34" s="22">
        <f>'Income and Expenses structure'!AO145</f>
        <v>5148.300000000002</v>
      </c>
      <c r="AM34" s="22">
        <f>'Income and Expenses structure'!AP145</f>
        <v>4339.6529999999984</v>
      </c>
      <c r="AN34" s="22">
        <f>'Income and Expenses structure'!AQ145</f>
        <v>4453.5990000000011</v>
      </c>
      <c r="AO34" s="22">
        <f>'Income and Expenses structure'!AR145</f>
        <v>5850.6119999999992</v>
      </c>
      <c r="AP34" s="22">
        <f>'Income and Expenses structure'!AS145</f>
        <v>5480.3540000000021</v>
      </c>
      <c r="AQ34" s="22">
        <f>'Income and Expenses structure'!AT145</f>
        <v>5136.962999999997</v>
      </c>
      <c r="AR34" s="22">
        <f>'Income and Expenses structure'!AU145</f>
        <v>4889.6530000000012</v>
      </c>
      <c r="AS34" s="22">
        <f>'Income and Expenses structure'!AV145</f>
        <v>4991.746000000001</v>
      </c>
      <c r="AT34" s="22">
        <f>'Income and Expenses structure'!AW145</f>
        <v>3925.011999999997</v>
      </c>
      <c r="AU34" s="22">
        <f>'Income and Expenses structure'!AX145</f>
        <v>3975.2970000000005</v>
      </c>
      <c r="AV34" s="22">
        <f>'Income and Expenses structure'!AY145</f>
        <v>3977.694</v>
      </c>
      <c r="AW34" s="22">
        <f>'Income and Expenses structure'!AZ145</f>
        <v>5396.8910000000033</v>
      </c>
      <c r="AX34" s="22">
        <f>'Income and Expenses structure'!BA145</f>
        <v>4343.1740000000009</v>
      </c>
      <c r="AY34" s="22">
        <f>'Income and Expenses structure'!BB145</f>
        <v>4291.7419999999993</v>
      </c>
      <c r="AZ34" s="22">
        <f>'Income and Expenses structure'!BC145</f>
        <v>3967.893</v>
      </c>
      <c r="BA34" s="22">
        <f>'Income and Expenses structure'!BD145</f>
        <v>3704.6210000000024</v>
      </c>
      <c r="BB34" s="22">
        <f>'Income and Expenses structure'!BE145</f>
        <v>3293.0639999999999</v>
      </c>
      <c r="BC34" s="22">
        <f>'Income and Expenses structure'!BF145</f>
        <v>3054.6970000000001</v>
      </c>
      <c r="BD34" s="22">
        <f>'Income and Expenses structure'!BG145</f>
        <v>2890.64</v>
      </c>
      <c r="BE34" s="22">
        <f>'Income and Expenses structure'!BH145</f>
        <v>3013.8680000000008</v>
      </c>
      <c r="BF34" s="22">
        <f>'Income and Expenses structure'!BI145</f>
        <v>2821.4440000000004</v>
      </c>
      <c r="BG34" s="22">
        <f>'Income and Expenses structure'!BJ145</f>
        <v>2949.1759999999995</v>
      </c>
      <c r="BH34" s="22">
        <f>'Income and Expenses structure'!BK145</f>
        <v>2839.6120000000001</v>
      </c>
      <c r="BI34" s="22">
        <f>'Income and Expenses structure'!BL145</f>
        <v>3204.7299999999996</v>
      </c>
      <c r="BJ34" s="22">
        <f>'Income and Expenses structure'!BM145</f>
        <v>3471.9549999999995</v>
      </c>
      <c r="BK34" s="22">
        <f>'Income and Expenses structure'!BN145</f>
        <v>3378.1080000000002</v>
      </c>
      <c r="BL34" s="22">
        <f>'Income and Expenses structure'!BO145</f>
        <v>3267.7710000000002</v>
      </c>
      <c r="BM34" s="22">
        <f>'Income and Expenses structure'!BP145</f>
        <v>2910.3940000000007</v>
      </c>
      <c r="BN34" s="22">
        <f>'Income and Expenses structure'!BQ145</f>
        <v>3038.5910000000003</v>
      </c>
      <c r="BO34" s="22">
        <f>'Income and Expenses structure'!BR145</f>
        <v>2796.0040000000004</v>
      </c>
      <c r="BP34" s="22">
        <f>'Income and Expenses structure'!BS145</f>
        <v>3024.3710000000001</v>
      </c>
    </row>
    <row r="35" spans="1:69" x14ac:dyDescent="0.25">
      <c r="A35" s="74">
        <v>35</v>
      </c>
      <c r="B35" s="12" t="s">
        <v>261</v>
      </c>
      <c r="C35" s="22">
        <f>'Income and Expenses structure'!F146</f>
        <v>3146</v>
      </c>
      <c r="D35" s="22">
        <f>'Income and Expenses structure'!G146</f>
        <v>2795</v>
      </c>
      <c r="E35" s="22">
        <f>'Income and Expenses structure'!H146</f>
        <v>3312</v>
      </c>
      <c r="F35" s="22">
        <f>'Income and Expenses structure'!I146</f>
        <v>2873</v>
      </c>
      <c r="G35" s="22">
        <f>'Income and Expenses structure'!J146</f>
        <v>2841</v>
      </c>
      <c r="H35" s="22">
        <f>'Income and Expenses structure'!K146</f>
        <v>2761</v>
      </c>
      <c r="I35" s="22">
        <f>'Income and Expenses structure'!L146</f>
        <v>3075</v>
      </c>
      <c r="J35" s="22">
        <f>'Income and Expenses structure'!M146</f>
        <v>3156</v>
      </c>
      <c r="K35" s="22">
        <f>'Income and Expenses structure'!N146</f>
        <v>2709</v>
      </c>
      <c r="L35" s="22">
        <f>'Income and Expenses structure'!O146</f>
        <v>2659</v>
      </c>
      <c r="M35" s="22">
        <f>'Income and Expenses structure'!P146</f>
        <v>3057</v>
      </c>
      <c r="N35" s="22">
        <f>'Income and Expenses structure'!Q146</f>
        <v>2972</v>
      </c>
      <c r="O35" s="22">
        <f>'Income and Expenses structure'!R146</f>
        <v>2892</v>
      </c>
      <c r="P35" s="22">
        <f>'Income and Expenses structure'!S146</f>
        <v>3566</v>
      </c>
      <c r="Q35" s="400"/>
      <c r="R35" s="400"/>
      <c r="S35" s="400"/>
      <c r="T35" s="400"/>
      <c r="U35" s="22">
        <f>'Income and Expenses structure'!X146</f>
        <v>2600</v>
      </c>
      <c r="V35" s="22">
        <f>'Income and Expenses structure'!Y146</f>
        <v>2196</v>
      </c>
      <c r="W35" s="22">
        <f>'Income and Expenses structure'!Z146</f>
        <v>2308</v>
      </c>
      <c r="X35" s="22">
        <f>'Income and Expenses structure'!AA146</f>
        <v>1905</v>
      </c>
      <c r="Y35" s="22">
        <f>'Income and Expenses structure'!AB146</f>
        <v>2314.8670000000002</v>
      </c>
      <c r="Z35" s="22">
        <f>'Income and Expenses structure'!AC146</f>
        <v>1900.001</v>
      </c>
      <c r="AA35" s="22">
        <f>'Income and Expenses structure'!AD146</f>
        <v>1642.9629999999997</v>
      </c>
      <c r="AB35" s="22">
        <f>'Income and Expenses structure'!AE146</f>
        <v>1682.1690000000001</v>
      </c>
      <c r="AC35" s="22">
        <f>'Income and Expenses structure'!AF146</f>
        <v>1993.279000000002</v>
      </c>
      <c r="AD35" s="22">
        <f>'Income and Expenses structure'!AG146</f>
        <v>1783.5289999999995</v>
      </c>
      <c r="AE35" s="22">
        <f>'Income and Expenses structure'!AH146</f>
        <v>1763.6629999999996</v>
      </c>
      <c r="AF35" s="22">
        <f>'Income and Expenses structure'!AI146</f>
        <v>1278.4550000000004</v>
      </c>
      <c r="AG35" s="22">
        <f>'Income and Expenses structure'!AJ146</f>
        <v>1496.1294999999991</v>
      </c>
      <c r="AH35" s="22">
        <f>'Income and Expenses structure'!AK146</f>
        <v>1325.6214999999997</v>
      </c>
      <c r="AI35" s="22">
        <f>'Income and Expenses structure'!AL146</f>
        <v>1186.0674999999997</v>
      </c>
      <c r="AJ35" s="22">
        <f>'Income and Expenses structure'!AM146</f>
        <v>1387.7939999999999</v>
      </c>
      <c r="AK35" s="22">
        <f>'Income and Expenses structure'!AN146</f>
        <v>1465.3149999999998</v>
      </c>
      <c r="AL35" s="22">
        <f>'Income and Expenses structure'!AO146</f>
        <v>1312.0229999999997</v>
      </c>
      <c r="AM35" s="22">
        <f>'Income and Expenses structure'!AP146</f>
        <v>1262.5310000000002</v>
      </c>
      <c r="AN35" s="22">
        <f>'Income and Expenses structure'!AQ146</f>
        <v>1171.204</v>
      </c>
      <c r="AO35" s="22">
        <f>'Income and Expenses structure'!AR146</f>
        <v>1225.2210000000005</v>
      </c>
      <c r="AP35" s="22">
        <f>'Income and Expenses structure'!AS146</f>
        <v>1178.5199999999998</v>
      </c>
      <c r="AQ35" s="22">
        <f>'Income and Expenses structure'!AT146</f>
        <v>1167.8030000000001</v>
      </c>
      <c r="AR35" s="22">
        <f>'Income and Expenses structure'!AU146</f>
        <v>1127.9749999999999</v>
      </c>
      <c r="AS35" s="22">
        <f>'Income and Expenses structure'!AV146</f>
        <v>1144.3679999999995</v>
      </c>
      <c r="AT35" s="22">
        <f>'Income and Expenses structure'!AW146</f>
        <v>1034.4169999999999</v>
      </c>
      <c r="AU35" s="22">
        <f>'Income and Expenses structure'!AX146</f>
        <v>1026.8050000000001</v>
      </c>
      <c r="AV35" s="22">
        <f>'Income and Expenses structure'!AY146</f>
        <v>836.72</v>
      </c>
      <c r="AW35" s="22">
        <f>'Income and Expenses structure'!AZ146</f>
        <v>1072.3850000000002</v>
      </c>
      <c r="AX35" s="22">
        <f>'Income and Expenses structure'!BA146</f>
        <v>962.30100000000016</v>
      </c>
      <c r="AY35" s="22">
        <f>'Income and Expenses structure'!BB146</f>
        <v>896.327</v>
      </c>
      <c r="AZ35" s="22">
        <f>'Income and Expenses structure'!BC146</f>
        <v>789.62900000000002</v>
      </c>
      <c r="BA35" s="22">
        <f>'Income and Expenses structure'!BD146</f>
        <v>800.45600000000024</v>
      </c>
      <c r="BB35" s="22">
        <f>'Income and Expenses structure'!BE146</f>
        <v>651.54200000000003</v>
      </c>
      <c r="BC35" s="22">
        <f>'Income and Expenses structure'!BF146</f>
        <v>631.43499999999995</v>
      </c>
      <c r="BD35" s="22">
        <f>'Income and Expenses structure'!BG146</f>
        <v>594.43500000000006</v>
      </c>
      <c r="BE35" s="22">
        <f>'Income and Expenses structure'!BH146</f>
        <v>704.5310000000004</v>
      </c>
      <c r="BF35" s="22">
        <f>'Income and Expenses structure'!BI146</f>
        <v>608.84400000000005</v>
      </c>
      <c r="BG35" s="22">
        <f>'Income and Expenses structure'!BJ146</f>
        <v>553.69500000000005</v>
      </c>
      <c r="BH35" s="22">
        <f>'Income and Expenses structure'!BK146</f>
        <v>482.05899999999997</v>
      </c>
      <c r="BI35" s="22">
        <f>'Income and Expenses structure'!BL146</f>
        <v>587.74</v>
      </c>
      <c r="BJ35" s="22">
        <f>'Income and Expenses structure'!BM146</f>
        <v>525.06299999999999</v>
      </c>
      <c r="BK35" s="22">
        <f>'Income and Expenses structure'!BN146</f>
        <v>499.7</v>
      </c>
      <c r="BL35" s="22">
        <f>'Income and Expenses structure'!BO146</f>
        <v>439.13100000000003</v>
      </c>
      <c r="BM35" s="22">
        <f>'Income and Expenses structure'!BP146</f>
        <v>534.62899999999991</v>
      </c>
      <c r="BN35" s="22">
        <f>'Income and Expenses structure'!BQ146</f>
        <v>416.99899999999997</v>
      </c>
      <c r="BO35" s="22">
        <f>'Income and Expenses structure'!BR146</f>
        <v>426.3</v>
      </c>
      <c r="BP35" s="22">
        <f>'Income and Expenses structure'!BS146</f>
        <v>337.197</v>
      </c>
    </row>
    <row r="36" spans="1:69" x14ac:dyDescent="0.25">
      <c r="A36" s="74">
        <v>36</v>
      </c>
      <c r="B36" s="12" t="s">
        <v>144</v>
      </c>
      <c r="C36" s="22">
        <f>'Income and Expenses structure'!F153</f>
        <v>5603.4079999999994</v>
      </c>
      <c r="D36" s="22">
        <f>'Income and Expenses structure'!G153</f>
        <v>10910.592000000001</v>
      </c>
      <c r="E36" s="22">
        <f>'Income and Expenses structure'!H153</f>
        <v>4432</v>
      </c>
      <c r="F36" s="22">
        <f>'Income and Expenses structure'!I153</f>
        <v>8763</v>
      </c>
      <c r="G36" s="22">
        <f>'Income and Expenses structure'!J153</f>
        <v>9125</v>
      </c>
      <c r="H36" s="22">
        <f>'Income and Expenses structure'!K153</f>
        <v>15527</v>
      </c>
      <c r="I36" s="22">
        <f>'Income and Expenses structure'!L153</f>
        <v>13209</v>
      </c>
      <c r="J36" s="22">
        <f>'Income and Expenses structure'!M153</f>
        <v>13263</v>
      </c>
      <c r="K36" s="22">
        <f>'Income and Expenses structure'!N153</f>
        <v>11287</v>
      </c>
      <c r="L36" s="22">
        <f>'Income and Expenses structure'!O153</f>
        <v>13020</v>
      </c>
      <c r="M36" s="22">
        <f>'Income and Expenses structure'!P153</f>
        <v>10435</v>
      </c>
      <c r="N36" s="22">
        <f>'Income and Expenses structure'!Q153</f>
        <v>8525</v>
      </c>
      <c r="O36" s="22">
        <f>'Income and Expenses structure'!R153</f>
        <v>13734</v>
      </c>
      <c r="P36" s="22">
        <f>'Income and Expenses structure'!S153</f>
        <v>14621</v>
      </c>
      <c r="Q36" s="400"/>
      <c r="R36" s="400"/>
      <c r="S36" s="400"/>
      <c r="T36" s="400"/>
      <c r="U36" s="22">
        <f>'Income and Expenses structure'!X153</f>
        <v>6677</v>
      </c>
      <c r="V36" s="22">
        <f>'Income and Expenses structure'!Y153</f>
        <v>4137</v>
      </c>
      <c r="W36" s="22">
        <f>'Income and Expenses structure'!Z153</f>
        <v>4876</v>
      </c>
      <c r="X36" s="22">
        <f>'Income and Expenses structure'!AA153</f>
        <v>2393</v>
      </c>
      <c r="Y36" s="22">
        <f>'Income and Expenses structure'!AB153</f>
        <v>4478.4600000000028</v>
      </c>
      <c r="Z36" s="22">
        <f>'Income and Expenses structure'!AC153</f>
        <v>2750.243999999996</v>
      </c>
      <c r="AA36" s="22">
        <f>'Income and Expenses structure'!AD153</f>
        <v>2017.1330000000016</v>
      </c>
      <c r="AB36" s="22">
        <f>'Income and Expenses structure'!AE153</f>
        <v>1581.1629999999996</v>
      </c>
      <c r="AC36" s="22">
        <f>'Income and Expenses structure'!AF153</f>
        <v>2403.8070000000016</v>
      </c>
      <c r="AD36" s="22">
        <f>'Income and Expenses structure'!AG153</f>
        <v>2030.4070000000024</v>
      </c>
      <c r="AE36" s="22">
        <f>'Income and Expenses structure'!AH153</f>
        <v>2190.0229999999988</v>
      </c>
      <c r="AF36" s="22">
        <f>'Income and Expenses structure'!AI153</f>
        <v>1281.6540000000005</v>
      </c>
      <c r="AG36" s="22">
        <f>'Income and Expenses structure'!AJ153</f>
        <v>2574.9790000000066</v>
      </c>
      <c r="AH36" s="22">
        <f>'Income and Expenses structure'!AK153</f>
        <v>2081.9969999999948</v>
      </c>
      <c r="AI36" s="22">
        <f>'Income and Expenses structure'!AL153</f>
        <v>2542.8809999999994</v>
      </c>
      <c r="AJ36" s="22">
        <f>'Income and Expenses structure'!AM153</f>
        <v>2199.5059999999989</v>
      </c>
      <c r="AK36" s="22">
        <f>'Income and Expenses structure'!AN153</f>
        <v>2118.8319999999949</v>
      </c>
      <c r="AL36" s="22">
        <f>'Income and Expenses structure'!AO153</f>
        <v>2129.0549999999994</v>
      </c>
      <c r="AM36" s="22">
        <f>'Income and Expenses structure'!AP153</f>
        <v>2147.1739999999982</v>
      </c>
      <c r="AN36" s="22">
        <f>'Income and Expenses structure'!AQ153</f>
        <v>1672.844000000001</v>
      </c>
      <c r="AO36" s="22">
        <f>'Income and Expenses structure'!AR153</f>
        <v>1422.6719999999991</v>
      </c>
      <c r="AP36" s="22">
        <f>'Income and Expenses structure'!AS153</f>
        <v>1315.956000000001</v>
      </c>
      <c r="AQ36" s="22">
        <f>'Income and Expenses structure'!AT153</f>
        <v>1051.0119999999981</v>
      </c>
      <c r="AR36" s="22">
        <f>'Income and Expenses structure'!AU153</f>
        <v>1178.8510000000006</v>
      </c>
      <c r="AS36" s="22">
        <f>'Income and Expenses structure'!AV153</f>
        <v>1168.1830000000027</v>
      </c>
      <c r="AT36" s="22">
        <f>'Income and Expenses structure'!AW153</f>
        <v>1420.6899999999951</v>
      </c>
      <c r="AU36" s="22">
        <f>'Income and Expenses structure'!AX153</f>
        <v>1020.4610000000013</v>
      </c>
      <c r="AV36" s="22">
        <f>'Income and Expenses structure'!AY153</f>
        <v>862.88799999999969</v>
      </c>
      <c r="AW36" s="22">
        <f>'Income and Expenses structure'!AZ153</f>
        <v>1068.0550000000035</v>
      </c>
      <c r="AX36" s="22">
        <f>'Income and Expenses structure'!BA153</f>
        <v>1489.8400000000011</v>
      </c>
      <c r="AY36" s="22">
        <f>'Income and Expenses structure'!BB153</f>
        <v>1207.4859999999996</v>
      </c>
      <c r="AZ36" s="22">
        <f>'Income and Expenses structure'!BC153</f>
        <v>2012.5230000000004</v>
      </c>
      <c r="BA36" s="22">
        <f>'Income and Expenses structure'!BD153</f>
        <v>1434.4760000000019</v>
      </c>
      <c r="BB36" s="22">
        <f>'Income and Expenses structure'!BE153</f>
        <v>1327.7309999999998</v>
      </c>
      <c r="BC36" s="22">
        <f>'Income and Expenses structure'!BF153</f>
        <v>1207.0020000000009</v>
      </c>
      <c r="BD36" s="22">
        <f>'Income and Expenses structure'!BG153</f>
        <v>1338.2549999999997</v>
      </c>
      <c r="BE36" s="22">
        <f>'Income and Expenses structure'!BH153</f>
        <v>637.1570000000014</v>
      </c>
      <c r="BF36" s="22">
        <f>'Income and Expenses structure'!BI153</f>
        <v>918.65500000000054</v>
      </c>
      <c r="BG36" s="22">
        <f>'Income and Expenses structure'!BJ153</f>
        <v>438.58499999999981</v>
      </c>
      <c r="BH36" s="22">
        <f>'Income and Expenses structure'!BK153</f>
        <v>452.20899999999972</v>
      </c>
      <c r="BI36" s="22">
        <f>'Income and Expenses structure'!BL153</f>
        <v>846.86499999999978</v>
      </c>
      <c r="BJ36" s="22">
        <f>'Income and Expenses structure'!BM153</f>
        <v>1049.6539999999998</v>
      </c>
      <c r="BK36" s="22">
        <f>'Income and Expenses structure'!BN153</f>
        <v>1712.17</v>
      </c>
      <c r="BL36" s="22">
        <f>'Income and Expenses structure'!BO153</f>
        <v>2257.8780000000006</v>
      </c>
      <c r="BM36" s="22">
        <f>'Income and Expenses structure'!BP153</f>
        <v>1976.3860000000006</v>
      </c>
      <c r="BN36" s="22">
        <f>'Income and Expenses structure'!BQ153</f>
        <v>1316.1240000000005</v>
      </c>
      <c r="BO36" s="22">
        <f>'Income and Expenses structure'!BR153</f>
        <v>918.89900000000057</v>
      </c>
      <c r="BP36" s="22">
        <f>'Income and Expenses structure'!BS153</f>
        <v>469.16200000000026</v>
      </c>
    </row>
    <row r="37" spans="1:69" x14ac:dyDescent="0.25">
      <c r="A37" s="324">
        <v>37</v>
      </c>
      <c r="BE37" s="9"/>
      <c r="BF37" s="9"/>
      <c r="BG37" s="9"/>
      <c r="BH37" s="9"/>
      <c r="BI37" s="9"/>
    </row>
    <row r="38" spans="1:69" x14ac:dyDescent="0.25">
      <c r="A38" s="74">
        <v>38</v>
      </c>
      <c r="BE38" s="9"/>
      <c r="BF38" s="9"/>
      <c r="BG38" s="9"/>
      <c r="BH38" s="9"/>
      <c r="BI38" s="9"/>
    </row>
    <row r="39" spans="1:69" x14ac:dyDescent="0.25">
      <c r="A39" s="74">
        <v>39</v>
      </c>
      <c r="BE39" s="9"/>
      <c r="BF39" s="9"/>
      <c r="BG39" s="9"/>
      <c r="BH39" s="9"/>
      <c r="BI39" s="9"/>
    </row>
    <row r="40" spans="1:69" ht="15" customHeight="1" x14ac:dyDescent="0.25">
      <c r="A40" s="324">
        <v>40</v>
      </c>
      <c r="B40" s="453" t="s">
        <v>9</v>
      </c>
      <c r="C40" s="446" t="s">
        <v>474</v>
      </c>
      <c r="D40" s="446" t="s">
        <v>472</v>
      </c>
      <c r="E40" s="446" t="s">
        <v>470</v>
      </c>
      <c r="F40" s="446" t="s">
        <v>467</v>
      </c>
      <c r="G40" s="446" t="s">
        <v>465</v>
      </c>
      <c r="H40" s="446" t="s">
        <v>462</v>
      </c>
      <c r="I40" s="446" t="s">
        <v>458</v>
      </c>
      <c r="J40" s="446" t="s">
        <v>456</v>
      </c>
      <c r="K40" s="446" t="s">
        <v>453</v>
      </c>
      <c r="L40" s="446" t="s">
        <v>452</v>
      </c>
      <c r="M40" s="446" t="s">
        <v>450</v>
      </c>
      <c r="N40" s="446" t="s">
        <v>448</v>
      </c>
      <c r="O40" s="446" t="s">
        <v>446</v>
      </c>
      <c r="P40" s="446" t="s">
        <v>438</v>
      </c>
      <c r="Q40" s="446" t="s">
        <v>436</v>
      </c>
      <c r="R40" s="446" t="s">
        <v>433</v>
      </c>
      <c r="S40" s="446" t="s">
        <v>431</v>
      </c>
      <c r="T40" s="446" t="s">
        <v>429</v>
      </c>
      <c r="U40" s="446" t="s">
        <v>423</v>
      </c>
      <c r="V40" s="446" t="s">
        <v>420</v>
      </c>
      <c r="W40" s="446" t="s">
        <v>418</v>
      </c>
      <c r="X40" s="446" t="s">
        <v>415</v>
      </c>
      <c r="Y40" s="446" t="s">
        <v>409</v>
      </c>
      <c r="Z40" s="446" t="s">
        <v>407</v>
      </c>
      <c r="AA40" s="446" t="s">
        <v>405</v>
      </c>
      <c r="AB40" s="446" t="s">
        <v>402</v>
      </c>
      <c r="AC40" s="446" t="s">
        <v>392</v>
      </c>
      <c r="AD40" s="446" t="s">
        <v>386</v>
      </c>
      <c r="AE40" s="446" t="s">
        <v>383</v>
      </c>
      <c r="AF40" s="446" t="s">
        <v>381</v>
      </c>
      <c r="AG40" s="446" t="s">
        <v>375</v>
      </c>
      <c r="AH40" s="446" t="s">
        <v>372</v>
      </c>
      <c r="AI40" s="446" t="s">
        <v>346</v>
      </c>
      <c r="AJ40" s="446" t="s">
        <v>311</v>
      </c>
      <c r="AK40" s="446" t="s">
        <v>308</v>
      </c>
      <c r="AL40" s="446" t="s">
        <v>306</v>
      </c>
      <c r="AM40" s="446" t="s">
        <v>291</v>
      </c>
      <c r="AN40" s="446" t="s">
        <v>286</v>
      </c>
      <c r="AO40" s="446" t="s">
        <v>273</v>
      </c>
      <c r="AP40" s="446" t="s">
        <v>272</v>
      </c>
      <c r="AQ40" s="446" t="s">
        <v>270</v>
      </c>
      <c r="AR40" s="446" t="s">
        <v>266</v>
      </c>
      <c r="AS40" s="446" t="s">
        <v>265</v>
      </c>
      <c r="AT40" s="446" t="s">
        <v>263</v>
      </c>
      <c r="AU40" s="446" t="s">
        <v>255</v>
      </c>
      <c r="AV40" s="446" t="s">
        <v>253</v>
      </c>
      <c r="AW40" s="446" t="s">
        <v>244</v>
      </c>
      <c r="AX40" s="446" t="s">
        <v>242</v>
      </c>
      <c r="AY40" s="446" t="s">
        <v>239</v>
      </c>
      <c r="AZ40" s="446" t="s">
        <v>231</v>
      </c>
      <c r="BA40" s="446" t="s">
        <v>226</v>
      </c>
      <c r="BB40" s="446" t="s">
        <v>221</v>
      </c>
      <c r="BC40" s="446" t="s">
        <v>204</v>
      </c>
      <c r="BD40" s="446" t="s">
        <v>203</v>
      </c>
      <c r="BE40" s="446" t="s">
        <v>199</v>
      </c>
      <c r="BF40" s="446" t="s">
        <v>163</v>
      </c>
      <c r="BG40" s="446" t="s">
        <v>164</v>
      </c>
      <c r="BH40" s="446" t="s">
        <v>4</v>
      </c>
      <c r="BI40" s="446" t="s">
        <v>165</v>
      </c>
      <c r="BJ40" s="446" t="s">
        <v>168</v>
      </c>
      <c r="BK40" s="446" t="s">
        <v>169</v>
      </c>
      <c r="BL40" s="446" t="s">
        <v>5</v>
      </c>
      <c r="BM40" s="446" t="s">
        <v>170</v>
      </c>
      <c r="BN40" s="446" t="s">
        <v>171</v>
      </c>
      <c r="BO40" s="446" t="s">
        <v>172</v>
      </c>
      <c r="BP40" s="446" t="s">
        <v>6</v>
      </c>
      <c r="BQ40" s="284"/>
    </row>
    <row r="41" spans="1:69" ht="15" customHeight="1" x14ac:dyDescent="0.25">
      <c r="A41" s="74">
        <v>41</v>
      </c>
      <c r="B41" s="454"/>
      <c r="C41" s="448"/>
      <c r="D41" s="448"/>
      <c r="E41" s="448"/>
      <c r="F41" s="448"/>
      <c r="G41" s="448"/>
      <c r="H41" s="448"/>
      <c r="I41" s="448"/>
      <c r="J41" s="448"/>
      <c r="K41" s="448"/>
      <c r="L41" s="448"/>
      <c r="M41" s="448"/>
      <c r="N41" s="448"/>
      <c r="O41" s="448"/>
      <c r="P41" s="448"/>
      <c r="Q41" s="448"/>
      <c r="R41" s="448"/>
      <c r="S41" s="448"/>
      <c r="T41" s="448"/>
      <c r="U41" s="448"/>
      <c r="V41" s="448"/>
      <c r="W41" s="448"/>
      <c r="X41" s="448"/>
      <c r="Y41" s="447"/>
      <c r="Z41" s="448"/>
      <c r="AA41" s="448"/>
      <c r="AB41" s="448"/>
      <c r="AC41" s="447"/>
      <c r="AD41" s="448"/>
      <c r="AE41" s="448"/>
      <c r="AF41" s="447"/>
      <c r="AG41" s="447"/>
      <c r="AH41" s="447"/>
      <c r="AI41" s="447"/>
      <c r="AJ41" s="447"/>
      <c r="AK41" s="448"/>
      <c r="AL41" s="447"/>
      <c r="AM41" s="447"/>
      <c r="AN41" s="447"/>
      <c r="AO41" s="448"/>
      <c r="AP41" s="447"/>
      <c r="AQ41" s="447"/>
      <c r="AR41" s="447"/>
      <c r="AS41" s="448"/>
      <c r="AT41" s="448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447"/>
      <c r="BH41" s="447"/>
      <c r="BI41" s="447"/>
      <c r="BJ41" s="447"/>
      <c r="BK41" s="447"/>
      <c r="BL41" s="447"/>
      <c r="BM41" s="447"/>
      <c r="BN41" s="447"/>
      <c r="BO41" s="447"/>
      <c r="BP41" s="447"/>
      <c r="BQ41" s="284"/>
    </row>
    <row r="42" spans="1:69" ht="9.75" customHeight="1" x14ac:dyDescent="0.25">
      <c r="A42" s="74">
        <v>42</v>
      </c>
      <c r="B42" s="8" t="s">
        <v>166</v>
      </c>
      <c r="C42" s="8"/>
      <c r="D42" s="8"/>
      <c r="E42" s="8"/>
      <c r="F42" s="8"/>
      <c r="G42" s="8"/>
      <c r="H42" s="8"/>
      <c r="I42" s="8"/>
      <c r="J42" s="8"/>
      <c r="K42" s="8"/>
      <c r="L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Q42" s="39"/>
    </row>
    <row r="43" spans="1:69" x14ac:dyDescent="0.25">
      <c r="A43" s="324">
        <v>43</v>
      </c>
      <c r="B43" s="12" t="s">
        <v>12</v>
      </c>
      <c r="C43" s="397">
        <f>'Income and Expenses structure'!F160</f>
        <v>6.4388083919636796E-2</v>
      </c>
      <c r="D43" s="397">
        <f>'Income and Expenses structure'!G160</f>
        <v>6.4792164695837706E-2</v>
      </c>
      <c r="E43" s="140">
        <f>'Income and Expenses structure'!H160</f>
        <v>6.9639680106487439E-2</v>
      </c>
      <c r="F43" s="140">
        <f>'Income and Expenses structure'!I160</f>
        <v>7.1599999999999997E-2</v>
      </c>
      <c r="G43" s="140">
        <f>'Income and Expenses structure'!J160</f>
        <v>7.4323384984518043E-2</v>
      </c>
      <c r="H43" s="140">
        <f>'Income and Expenses structure'!K160</f>
        <v>7.631658359504738E-2</v>
      </c>
      <c r="I43" s="140">
        <f>'Income and Expenses structure'!L160</f>
        <v>7.0152088987617711E-2</v>
      </c>
      <c r="J43" s="140">
        <f>'Income and Expenses structure'!M160</f>
        <v>6.9002668060685834E-2</v>
      </c>
      <c r="K43" s="140">
        <f>'Income and Expenses structure'!N160</f>
        <v>6.912224725097646E-2</v>
      </c>
      <c r="L43" s="140">
        <f>'Income and Expenses structure'!O160</f>
        <v>6.9295130393284735E-2</v>
      </c>
      <c r="M43" s="140">
        <f>'Income and Expenses structure'!P160</f>
        <v>5.8897017108796121E-2</v>
      </c>
      <c r="N43" s="140">
        <f>'Income and Expenses structure'!Q160</f>
        <v>5.6111813151518801E-2</v>
      </c>
      <c r="O43" s="140">
        <f>'Income and Expenses structure'!R160</f>
        <v>5.5351175524950391E-2</v>
      </c>
      <c r="P43" s="140">
        <f>'Income and Expenses structure'!S160</f>
        <v>5.6125913319225174E-2</v>
      </c>
      <c r="Q43" s="401"/>
      <c r="R43" s="401"/>
      <c r="S43" s="401"/>
      <c r="T43" s="401"/>
      <c r="U43" s="140">
        <f>'Income and Expenses structure'!X160</f>
        <v>3.9399999999999998E-2</v>
      </c>
      <c r="V43" s="140">
        <f>'Income and Expenses structure'!Y160</f>
        <v>3.8397617846329342E-2</v>
      </c>
      <c r="W43" s="140">
        <f>'Income and Expenses structure'!Z160</f>
        <v>3.7987883612481413E-2</v>
      </c>
      <c r="X43" s="140">
        <f>'Income and Expenses structure'!AA160</f>
        <v>3.8534518789598189E-2</v>
      </c>
      <c r="Y43" s="140">
        <f>'Income and Expenses structure'!AB160</f>
        <v>3.9199999999999999E-2</v>
      </c>
      <c r="Z43" s="140">
        <f>'Income and Expenses structure'!AC160</f>
        <v>3.7659324212404401E-2</v>
      </c>
      <c r="AA43" s="140">
        <f>'Income and Expenses structure'!AD160</f>
        <v>4.0104915550283934E-2</v>
      </c>
      <c r="AB43" s="140">
        <f>'Income and Expenses structure'!AE160</f>
        <v>4.0538711410975439E-2</v>
      </c>
      <c r="AC43" s="140">
        <f>'Income and Expenses structure'!AF160</f>
        <v>3.7072526401586085E-2</v>
      </c>
      <c r="AD43" s="140">
        <f>'Income and Expenses structure'!AG160</f>
        <v>3.6900000000000002E-2</v>
      </c>
      <c r="AE43" s="140">
        <f>'Income and Expenses structure'!AH160</f>
        <v>3.6200000000000003E-2</v>
      </c>
      <c r="AF43" s="140">
        <f>'Income and Expenses structure'!AI160</f>
        <v>3.8176583175730756E-2</v>
      </c>
      <c r="AG43" s="140">
        <f>'Income and Expenses structure'!AJ160</f>
        <v>3.6330349910235746E-2</v>
      </c>
      <c r="AH43" s="140">
        <f>'Income and Expenses structure'!AK160</f>
        <v>3.6900000000000002E-2</v>
      </c>
      <c r="AI43" s="140">
        <f>'Income and Expenses structure'!AL160</f>
        <v>3.6499999999999998E-2</v>
      </c>
      <c r="AJ43" s="140">
        <f>'Income and Expenses structure'!AM160</f>
        <v>3.5799999999999998E-2</v>
      </c>
      <c r="AK43" s="140">
        <f>'Income and Expenses structure'!AN160</f>
        <v>3.4799999999999998E-2</v>
      </c>
      <c r="AL43" s="140">
        <f>'Income and Expenses structure'!AO160</f>
        <v>3.4299999999999997E-2</v>
      </c>
      <c r="AM43" s="140">
        <f>'Income and Expenses structure'!AP160</f>
        <v>3.3000000000000002E-2</v>
      </c>
      <c r="AN43" s="140">
        <f>'Income and Expenses structure'!AQ160</f>
        <v>3.3399999999999999E-2</v>
      </c>
      <c r="AO43" s="140">
        <f>'Income and Expenses structure'!AR160</f>
        <v>3.9199999999999999E-2</v>
      </c>
      <c r="AP43" s="140">
        <f>'Income and Expenses structure'!AS160</f>
        <v>3.9300000000000002E-2</v>
      </c>
      <c r="AQ43" s="140">
        <f>'Income and Expenses structure'!AT160</f>
        <v>3.8100000000000002E-2</v>
      </c>
      <c r="AR43" s="140">
        <f>'Income and Expenses structure'!AU160</f>
        <v>3.6600000000000001E-2</v>
      </c>
      <c r="AS43" s="140">
        <f>'Income and Expenses structure'!AV160</f>
        <v>3.39E-2</v>
      </c>
      <c r="AT43" s="140">
        <f>'Income and Expenses structure'!AW160</f>
        <v>3.3700000000000001E-2</v>
      </c>
      <c r="AU43" s="140">
        <f>'Income and Expenses structure'!AX160</f>
        <v>3.4099999999999998E-2</v>
      </c>
      <c r="AV43" s="140">
        <f>'Income and Expenses structure'!AY160</f>
        <v>3.4599999999999999E-2</v>
      </c>
      <c r="AW43" s="140">
        <f>'Income and Expenses structure'!AZ160</f>
        <v>4.2999999999999997E-2</v>
      </c>
      <c r="AX43" s="140">
        <f>'Income and Expenses structure'!BA160</f>
        <v>4.2700000000000002E-2</v>
      </c>
      <c r="AY43" s="140">
        <f>'Income and Expenses structure'!BB160</f>
        <v>4.2799999999999998E-2</v>
      </c>
      <c r="AZ43" s="140">
        <f>'Income and Expenses structure'!BC160</f>
        <v>4.1000000000000002E-2</v>
      </c>
      <c r="BA43" s="140">
        <f>'Income and Expenses structure'!BD160</f>
        <v>3.7400000000000003E-2</v>
      </c>
      <c r="BB43" s="140">
        <f>'Income and Expenses structure'!BE160</f>
        <v>3.6400000000000002E-2</v>
      </c>
      <c r="BC43" s="140">
        <f>'Income and Expenses structure'!BF160</f>
        <v>3.6400000000000002E-2</v>
      </c>
      <c r="BD43" s="10">
        <f>'Income and Expenses structure'!BG160</f>
        <v>3.5900000000000001E-2</v>
      </c>
      <c r="BE43" s="10">
        <f>'Income and Expenses structure'!BH160</f>
        <v>3.85E-2</v>
      </c>
      <c r="BF43" s="10">
        <f>'Income and Expenses structure'!BI160</f>
        <v>3.9100000000000003E-2</v>
      </c>
      <c r="BG43" s="10">
        <f>'Income and Expenses structure'!BJ160</f>
        <v>3.8399999999999997E-2</v>
      </c>
      <c r="BH43" s="10">
        <f>'Income and Expenses structure'!BK160</f>
        <v>3.6499999999999998E-2</v>
      </c>
      <c r="BI43" s="10">
        <f>'Income and Expenses structure'!BL160</f>
        <v>4.7800000000000002E-2</v>
      </c>
      <c r="BJ43" s="10">
        <f>'Income and Expenses structure'!BM160</f>
        <v>0.05</v>
      </c>
      <c r="BK43" s="10">
        <f>'Income and Expenses structure'!BN160</f>
        <v>5.0700000000000002E-2</v>
      </c>
      <c r="BL43" s="10">
        <f>'Income and Expenses structure'!BO160</f>
        <v>0.05</v>
      </c>
      <c r="BM43" s="10">
        <f>'Income and Expenses structure'!BP160</f>
        <v>4.9399999999999999E-2</v>
      </c>
      <c r="BN43" s="10">
        <f>'Income and Expenses structure'!BQ160</f>
        <v>5.21E-2</v>
      </c>
      <c r="BO43" s="10">
        <f>'Income and Expenses structure'!BR160</f>
        <v>5.5399999999999998E-2</v>
      </c>
      <c r="BP43" s="10">
        <f>'Income and Expenses structure'!BS160</f>
        <v>5.57E-2</v>
      </c>
      <c r="BQ43" s="39"/>
    </row>
    <row r="44" spans="1:69" x14ac:dyDescent="0.25">
      <c r="A44" s="74">
        <v>44</v>
      </c>
      <c r="B44" s="12" t="s">
        <v>13</v>
      </c>
      <c r="C44" s="10">
        <f>'Income and Expenses structure'!F161</f>
        <v>0.34321454166395204</v>
      </c>
      <c r="D44" s="10">
        <f>'Income and Expenses structure'!G161</f>
        <v>0.307716117621048</v>
      </c>
      <c r="E44" s="10">
        <f>'Income and Expenses structure'!H161</f>
        <v>0.30673998587428108</v>
      </c>
      <c r="F44" s="10">
        <f>'Income and Expenses structure'!I161</f>
        <v>0.26035479263718514</v>
      </c>
      <c r="G44" s="10">
        <f>'Income and Expenses structure'!J161</f>
        <v>0.24254363500256096</v>
      </c>
      <c r="H44" s="10">
        <f>'Income and Expenses structure'!K161</f>
        <v>0.22512408414086504</v>
      </c>
      <c r="I44" s="10">
        <f>'Income and Expenses structure'!L161</f>
        <v>0.27485454487648237</v>
      </c>
      <c r="J44" s="10">
        <f>'Income and Expenses structure'!M161</f>
        <v>0.26383128398282357</v>
      </c>
      <c r="K44" s="10">
        <f>'Income and Expenses structure'!N161</f>
        <v>0.25669612813495446</v>
      </c>
      <c r="L44" s="10">
        <f>'Income and Expenses structure'!O161</f>
        <v>0.26776911356099309</v>
      </c>
      <c r="M44" s="10">
        <f>'Income and Expenses structure'!P161</f>
        <v>0.31660097069155069</v>
      </c>
      <c r="N44" s="10">
        <f>'Income and Expenses structure'!Q161</f>
        <v>0.33839917070823</v>
      </c>
      <c r="O44" s="10">
        <f>'Income and Expenses structure'!R161</f>
        <v>0.3266699437435141</v>
      </c>
      <c r="P44" s="10">
        <f>'Income and Expenses structure'!S161</f>
        <v>0.2891323147881234</v>
      </c>
      <c r="Q44" s="402"/>
      <c r="R44" s="402"/>
      <c r="S44" s="402"/>
      <c r="T44" s="402"/>
      <c r="U44" s="10">
        <f>'Income and Expenses structure'!X161</f>
        <v>0.37740183707954195</v>
      </c>
      <c r="V44" s="10">
        <f>'Income and Expenses structure'!Y161</f>
        <v>0.37392391308462863</v>
      </c>
      <c r="W44" s="10">
        <f>'Income and Expenses structure'!Z161</f>
        <v>0.38854686010915418</v>
      </c>
      <c r="X44" s="10">
        <f>'Income and Expenses structure'!AA161</f>
        <v>0.45567702132265397</v>
      </c>
      <c r="Y44" s="10">
        <f>'Income and Expenses structure'!AB161</f>
        <v>0.41022390072835174</v>
      </c>
      <c r="Z44" s="10">
        <f>'Income and Expenses structure'!AC161</f>
        <v>0.422639110235903</v>
      </c>
      <c r="AA44" s="10">
        <f>'Income and Expenses structure'!AD161</f>
        <v>0.45483316789920519</v>
      </c>
      <c r="AB44" s="10">
        <f>'Income and Expenses structure'!AE161</f>
        <v>0.50242630291773838</v>
      </c>
      <c r="AC44" s="10">
        <f>'Income and Expenses structure'!AF161</f>
        <v>0.44215866024678135</v>
      </c>
      <c r="AD44" s="10">
        <f>'Income and Expenses structure'!AG161</f>
        <v>0.44746623147791337</v>
      </c>
      <c r="AE44" s="10">
        <f>'Income and Expenses structure'!AH161</f>
        <v>0.45188272533729745</v>
      </c>
      <c r="AF44" s="10">
        <f>'Income and Expenses structure'!AI161</f>
        <v>0.47975213092272506</v>
      </c>
      <c r="AG44" s="10">
        <f>'Income and Expenses structure'!AJ161</f>
        <v>0.39782714087437587</v>
      </c>
      <c r="AH44" s="10">
        <f>'Income and Expenses structure'!AK161</f>
        <v>0.42198846970071235</v>
      </c>
      <c r="AI44" s="10">
        <f>'Income and Expenses structure'!AL161</f>
        <v>0.43149360020049421</v>
      </c>
      <c r="AJ44" s="10">
        <f>'Income and Expenses structure'!AM161</f>
        <v>0.41014424300786728</v>
      </c>
      <c r="AK44" s="10">
        <f>'Income and Expenses structure'!AN161</f>
        <v>0.38526910045198154</v>
      </c>
      <c r="AL44" s="10">
        <f>'Income and Expenses structure'!AO161</f>
        <v>0.38169784053666467</v>
      </c>
      <c r="AM44" s="10">
        <f>'Income and Expenses structure'!AP161</f>
        <v>0.38009654732850312</v>
      </c>
      <c r="AN44" s="10">
        <f>'Income and Expenses structure'!AQ161</f>
        <v>0.37791856444394856</v>
      </c>
      <c r="AO44" s="10">
        <f>'Income and Expenses structure'!AR161</f>
        <v>0.3944274268643298</v>
      </c>
      <c r="AP44" s="10">
        <f>'Income and Expenses structure'!AS161</f>
        <v>0.37723243128058193</v>
      </c>
      <c r="AQ44" s="10">
        <f>'Income and Expenses structure'!AT161</f>
        <v>0.37635677158993602</v>
      </c>
      <c r="AR44" s="10">
        <f>'Income and Expenses structure'!AU161</f>
        <v>0.36666651277031892</v>
      </c>
      <c r="AS44" s="10">
        <f>'Income and Expenses structure'!AV161</f>
        <v>0.37337404433991356</v>
      </c>
      <c r="AT44" s="10">
        <f>'Income and Expenses structure'!AW161</f>
        <v>0.36283287882566051</v>
      </c>
      <c r="AU44" s="10">
        <f>'Income and Expenses structure'!AX161</f>
        <v>0.38012117740766255</v>
      </c>
      <c r="AV44" s="10">
        <f>'Income and Expenses structure'!AY161</f>
        <v>0.3937246640847854</v>
      </c>
      <c r="AW44" s="10">
        <f>'Income and Expenses structure'!AZ161</f>
        <v>0.40608940696875728</v>
      </c>
      <c r="AX44" s="10">
        <f>'Income and Expenses structure'!BA161</f>
        <v>0.40370452167154602</v>
      </c>
      <c r="AY44" s="10">
        <f>'Income and Expenses structure'!BB161</f>
        <v>0.39775118438544155</v>
      </c>
      <c r="AZ44" s="10">
        <f>'Income and Expenses structure'!BC161</f>
        <v>0.37653602786360518</v>
      </c>
      <c r="BA44" s="10">
        <f>'Income and Expenses structure'!BD161</f>
        <v>0.36113133797544428</v>
      </c>
      <c r="BB44" s="10">
        <f>'Income and Expenses structure'!BE161</f>
        <v>0.39280821179737746</v>
      </c>
      <c r="BC44" s="10">
        <f>'Income and Expenses structure'!BF161</f>
        <v>0.40529679900302829</v>
      </c>
      <c r="BD44" s="10">
        <f>'Income and Expenses structure'!BG161</f>
        <v>0.38417749703658105</v>
      </c>
      <c r="BE44" s="10">
        <f>'Income and Expenses structure'!BH161</f>
        <v>0.46360508187495264</v>
      </c>
      <c r="BF44" s="10">
        <f>'Income and Expenses structure'!BI161</f>
        <v>0.4513575122654831</v>
      </c>
      <c r="BG44" s="10">
        <f>'Income and Expenses structure'!BJ161</f>
        <v>0.46867465674720038</v>
      </c>
      <c r="BH44" s="10">
        <f>'Income and Expenses structure'!BK161</f>
        <v>0.45235097959479298</v>
      </c>
      <c r="BI44" s="10">
        <f>'Income and Expenses structure'!BL161</f>
        <v>0.34981206313296265</v>
      </c>
      <c r="BJ44" s="10">
        <f>'Income and Expenses structure'!BM161</f>
        <v>0.31461873602745577</v>
      </c>
      <c r="BK44" s="10">
        <f>'Income and Expenses structure'!BN161</f>
        <v>0.27677755286010025</v>
      </c>
      <c r="BL44" s="10">
        <f>'Income and Expenses structure'!BO161</f>
        <v>0.26211023689947943</v>
      </c>
      <c r="BM44" s="10">
        <f>'Income and Expenses structure'!BP161</f>
        <v>0.28807890855507873</v>
      </c>
      <c r="BN44" s="10">
        <f>'Income and Expenses structure'!BQ161</f>
        <v>0.26924417936354683</v>
      </c>
      <c r="BO44" s="10">
        <f>'Income and Expenses structure'!BR161</f>
        <v>0.22776692591844877</v>
      </c>
      <c r="BP44" s="10">
        <f>'Income and Expenses structure'!BS161</f>
        <v>0.18748033913870638</v>
      </c>
      <c r="BQ44" s="39"/>
    </row>
    <row r="45" spans="1:69" x14ac:dyDescent="0.25">
      <c r="A45" s="74">
        <v>45</v>
      </c>
      <c r="B45" s="12" t="s">
        <v>14</v>
      </c>
      <c r="C45" s="10">
        <f>'Income and Expenses structure'!F163</f>
        <v>0.15282183958286977</v>
      </c>
      <c r="D45" s="10">
        <f>'Income and Expenses structure'!G163</f>
        <v>0.19875493029868146</v>
      </c>
      <c r="E45" s="10">
        <f>'Income and Expenses structure'!H163</f>
        <v>0.18070784840346166</v>
      </c>
      <c r="F45" s="10">
        <f>'Income and Expenses structure'!I163</f>
        <v>0.21120082351952707</v>
      </c>
      <c r="G45" s="10">
        <f>'Income and Expenses structure'!J163</f>
        <v>0.23997372391228394</v>
      </c>
      <c r="H45" s="10">
        <f>'Income and Expenses structure'!K163</f>
        <v>0.30099307684933579</v>
      </c>
      <c r="I45" s="10">
        <f>'Income and Expenses structure'!L163</f>
        <v>0.27057817374785859</v>
      </c>
      <c r="J45" s="10">
        <f>'Income and Expenses structure'!M163</f>
        <v>0.26792632736213851</v>
      </c>
      <c r="K45" s="10">
        <f>'Income and Expenses structure'!N163</f>
        <v>0.2703130256073189</v>
      </c>
      <c r="L45" s="10">
        <f>'Income and Expenses structure'!O163</f>
        <v>0.29027721013053653</v>
      </c>
      <c r="M45" s="10">
        <f>'Income and Expenses structure'!P163</f>
        <v>0.29695109705276901</v>
      </c>
      <c r="N45" s="10">
        <f>'Income and Expenses structure'!Q163</f>
        <v>0.31233661288865111</v>
      </c>
      <c r="O45" s="10">
        <f>'Income and Expenses structure'!R163</f>
        <v>0.37153857444056781</v>
      </c>
      <c r="P45" s="10">
        <f>'Income and Expenses structure'!S163</f>
        <v>0.38998137296383256</v>
      </c>
      <c r="Q45" s="402"/>
      <c r="R45" s="402"/>
      <c r="S45" s="402"/>
      <c r="T45" s="402"/>
      <c r="U45" s="10">
        <f>'Income and Expenses structure'!X163</f>
        <v>0.18781775975155668</v>
      </c>
      <c r="V45" s="10">
        <f>'Income and Expenses structure'!Y163</f>
        <v>0.16333073526382463</v>
      </c>
      <c r="W45" s="10">
        <f>'Income and Expenses structure'!Z163</f>
        <v>0.16055917123672081</v>
      </c>
      <c r="X45" s="10">
        <f>'Income and Expenses structure'!AA163</f>
        <v>0.10795009738694469</v>
      </c>
      <c r="Y45" s="10">
        <f>'Income and Expenses structure'!AB163</f>
        <v>0.12884433497984821</v>
      </c>
      <c r="Z45" s="10">
        <f>'Income and Expenses structure'!AC163</f>
        <v>0.10222752868589831</v>
      </c>
      <c r="AA45" s="10">
        <f>'Income and Expenses structure'!AD163</f>
        <v>8.8757702931344593E-2</v>
      </c>
      <c r="AB45" s="10">
        <f>'Income and Expenses structure'!AE163</f>
        <v>7.8991798038913222E-2</v>
      </c>
      <c r="AC45" s="10">
        <f>'Income and Expenses structure'!AF163</f>
        <v>0.10199575455202489</v>
      </c>
      <c r="AD45" s="10">
        <f>'Income and Expenses structure'!AG163</f>
        <v>9.5242034986420782E-2</v>
      </c>
      <c r="AE45" s="10">
        <f>'Income and Expenses structure'!AH163</f>
        <v>9.1894703398758174E-2</v>
      </c>
      <c r="AF45" s="10">
        <f>'Income and Expenses structure'!AI163</f>
        <v>6.8539449037305675E-2</v>
      </c>
      <c r="AG45" s="10">
        <f>'Income and Expenses structure'!AJ163</f>
        <v>0.1234537994734088</v>
      </c>
      <c r="AH45" s="10">
        <f>'Income and Expenses structure'!AK163</f>
        <v>0.11934582726516552</v>
      </c>
      <c r="AI45" s="10">
        <f>'Income and Expenses structure'!AL163</f>
        <v>0.12386489199605519</v>
      </c>
      <c r="AJ45" s="10">
        <f>'Income and Expenses structure'!AM163</f>
        <v>0.10597028227810167</v>
      </c>
      <c r="AK45" s="10">
        <f>'Income and Expenses structure'!AN163</f>
        <v>0.11369111314658814</v>
      </c>
      <c r="AL45" s="10">
        <f>'Income and Expenses structure'!AO163</f>
        <v>0.11800196501895097</v>
      </c>
      <c r="AM45" s="10">
        <f>'Income and Expenses structure'!AP163</f>
        <v>0.10732294518291832</v>
      </c>
      <c r="AN45" s="10">
        <f>'Income and Expenses structure'!AQ163</f>
        <v>9.7304911493946766E-2</v>
      </c>
      <c r="AO45" s="10">
        <f>'Income and Expenses structure'!AR163</f>
        <v>7.2719437631770537E-2</v>
      </c>
      <c r="AP45" s="10">
        <f>'Income and Expenses structure'!AS163</f>
        <v>6.919125258360681E-2</v>
      </c>
      <c r="AQ45" s="10">
        <f>'Income and Expenses structure'!AT163</f>
        <v>6.9261728387360069E-2</v>
      </c>
      <c r="AR45" s="10">
        <f>'Income and Expenses structure'!AU163</f>
        <v>8.2008180857696303E-2</v>
      </c>
      <c r="AS45" s="10">
        <f>'Income and Expenses structure'!AV163</f>
        <v>6.6961284611343666E-2</v>
      </c>
      <c r="AT45" s="10">
        <f>'Income and Expenses structure'!AW163</f>
        <v>6.7141495997156159E-2</v>
      </c>
      <c r="AU45" s="10">
        <f>'Income and Expenses structure'!AX163</f>
        <v>5.9802301331310502E-2</v>
      </c>
      <c r="AV45" s="10">
        <f>'Income and Expenses structure'!AY163</f>
        <v>4.4142210961831144E-2</v>
      </c>
      <c r="AW45" s="10">
        <f>'Income and Expenses structure'!AZ163</f>
        <v>9.6911380360022475E-2</v>
      </c>
      <c r="AX45" s="10">
        <f>'Income and Expenses structure'!BA163</f>
        <v>0.11074071298747204</v>
      </c>
      <c r="AY45" s="10">
        <f>'Income and Expenses structure'!BB163</f>
        <v>0.12026409688763311</v>
      </c>
      <c r="AZ45" s="10">
        <f>'Income and Expenses structure'!BC163</f>
        <v>0.14018038042065534</v>
      </c>
      <c r="BA45" s="10">
        <f>'Income and Expenses structure'!BD163</f>
        <v>0.15217465864382779</v>
      </c>
      <c r="BB45" s="10">
        <f>'Income and Expenses structure'!BE163</f>
        <v>0.11200697729874706</v>
      </c>
      <c r="BC45" s="10">
        <f>'Income and Expenses structure'!BF163</f>
        <v>9.8879942708356747E-2</v>
      </c>
      <c r="BD45" s="10">
        <f>'Income and Expenses structure'!BG163</f>
        <v>0.10752452125804554</v>
      </c>
      <c r="BE45" s="10">
        <f>'Income and Expenses structure'!BH163</f>
        <v>3.2449063372161906E-2</v>
      </c>
      <c r="BF45" s="10">
        <f>'Income and Expenses structure'!BI163</f>
        <v>3.0977266655838626E-2</v>
      </c>
      <c r="BG45" s="10">
        <f>'Income and Expenses structure'!BJ163</f>
        <v>1.2002682020686543E-2</v>
      </c>
      <c r="BH45" s="10">
        <f>'Income and Expenses structure'!BK163</f>
        <v>1.236966089315512E-2</v>
      </c>
      <c r="BI45" s="10">
        <f>'Income and Expenses structure'!BL163</f>
        <v>0.17162088438490711</v>
      </c>
      <c r="BJ45" s="10">
        <f>'Income and Expenses structure'!BM163</f>
        <v>0.21969531730076175</v>
      </c>
      <c r="BK45" s="10">
        <f>'Income and Expenses structure'!BN163</f>
        <v>0.29804324376642333</v>
      </c>
      <c r="BL45" s="10">
        <f>'Income and Expenses structure'!BO163</f>
        <v>0.28631290069607296</v>
      </c>
      <c r="BM45" s="10">
        <f>'Income and Expenses structure'!BP163</f>
        <v>0.1528259461192441</v>
      </c>
      <c r="BN45" s="10">
        <f>'Income and Expenses structure'!BQ163</f>
        <v>0.11819090629793297</v>
      </c>
      <c r="BO45" s="10">
        <f>'Income and Expenses structure'!BR163</f>
        <v>8.9375497178823204E-2</v>
      </c>
      <c r="BP45" s="10">
        <f>'Income and Expenses structure'!BS163</f>
        <v>5.5733394568311861E-2</v>
      </c>
      <c r="BQ45" s="39"/>
    </row>
    <row r="46" spans="1:69" ht="6.75" customHeight="1" x14ac:dyDescent="0.25">
      <c r="A46" s="324">
        <v>46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39"/>
    </row>
    <row r="47" spans="1:69" ht="15" customHeight="1" x14ac:dyDescent="0.25">
      <c r="A47" s="74">
        <v>47</v>
      </c>
      <c r="B47" s="458"/>
      <c r="C47" s="446" t="s">
        <v>475</v>
      </c>
      <c r="D47" s="446" t="s">
        <v>472</v>
      </c>
      <c r="E47" s="446" t="s">
        <v>471</v>
      </c>
      <c r="F47" s="446" t="s">
        <v>468</v>
      </c>
      <c r="G47" s="446" t="s">
        <v>466</v>
      </c>
      <c r="H47" s="446" t="s">
        <v>462</v>
      </c>
      <c r="I47" s="446" t="s">
        <v>459</v>
      </c>
      <c r="J47" s="446" t="s">
        <v>457</v>
      </c>
      <c r="K47" s="446" t="s">
        <v>454</v>
      </c>
      <c r="L47" s="446" t="s">
        <v>452</v>
      </c>
      <c r="M47" s="446" t="s">
        <v>451</v>
      </c>
      <c r="N47" s="446" t="s">
        <v>449</v>
      </c>
      <c r="O47" s="446" t="s">
        <v>447</v>
      </c>
      <c r="P47" s="446" t="s">
        <v>438</v>
      </c>
      <c r="Q47" s="446" t="s">
        <v>437</v>
      </c>
      <c r="R47" s="446" t="s">
        <v>434</v>
      </c>
      <c r="S47" s="446" t="s">
        <v>419</v>
      </c>
      <c r="T47" s="446" t="s">
        <v>429</v>
      </c>
      <c r="U47" s="446" t="s">
        <v>424</v>
      </c>
      <c r="V47" s="446" t="s">
        <v>421</v>
      </c>
      <c r="W47" s="446" t="s">
        <v>419</v>
      </c>
      <c r="X47" s="446" t="s">
        <v>415</v>
      </c>
      <c r="Y47" s="449" t="s">
        <v>410</v>
      </c>
      <c r="Z47" s="446" t="s">
        <v>408</v>
      </c>
      <c r="AA47" s="446" t="s">
        <v>406</v>
      </c>
      <c r="AB47" s="446" t="s">
        <v>402</v>
      </c>
      <c r="AC47" s="449" t="s">
        <v>393</v>
      </c>
      <c r="AD47" s="446" t="s">
        <v>387</v>
      </c>
      <c r="AE47" s="446" t="s">
        <v>384</v>
      </c>
      <c r="AF47" s="446" t="s">
        <v>381</v>
      </c>
      <c r="AG47" s="449" t="s">
        <v>376</v>
      </c>
      <c r="AH47" s="449" t="s">
        <v>373</v>
      </c>
      <c r="AI47" s="446" t="s">
        <v>347</v>
      </c>
      <c r="AJ47" s="446" t="s">
        <v>311</v>
      </c>
      <c r="AK47" s="451" t="s">
        <v>309</v>
      </c>
      <c r="AL47" s="449" t="s">
        <v>307</v>
      </c>
      <c r="AM47" s="449" t="s">
        <v>292</v>
      </c>
      <c r="AN47" s="446" t="s">
        <v>286</v>
      </c>
      <c r="AO47" s="451" t="s">
        <v>274</v>
      </c>
      <c r="AP47" s="451" t="s">
        <v>271</v>
      </c>
      <c r="AQ47" s="451" t="s">
        <v>269</v>
      </c>
      <c r="AR47" s="451" t="s">
        <v>266</v>
      </c>
      <c r="AS47" s="446" t="s">
        <v>264</v>
      </c>
      <c r="AT47" s="446" t="s">
        <v>262</v>
      </c>
      <c r="AU47" s="446" t="s">
        <v>256</v>
      </c>
      <c r="AV47" s="446" t="s">
        <v>253</v>
      </c>
      <c r="AW47" s="446" t="s">
        <v>245</v>
      </c>
      <c r="AX47" s="446" t="s">
        <v>243</v>
      </c>
      <c r="AY47" s="446" t="s">
        <v>240</v>
      </c>
      <c r="AZ47" s="446" t="s">
        <v>231</v>
      </c>
      <c r="BA47" s="446" t="s">
        <v>227</v>
      </c>
      <c r="BB47" s="446" t="s">
        <v>222</v>
      </c>
      <c r="BC47" s="446" t="s">
        <v>205</v>
      </c>
      <c r="BD47" s="446" t="s">
        <v>203</v>
      </c>
      <c r="BE47" s="446" t="s">
        <v>200</v>
      </c>
      <c r="BF47" s="446" t="s">
        <v>65</v>
      </c>
      <c r="BG47" s="446" t="s">
        <v>66</v>
      </c>
      <c r="BH47" s="446" t="s">
        <v>4</v>
      </c>
      <c r="BI47" s="446" t="s">
        <v>67</v>
      </c>
      <c r="BJ47" s="446" t="s">
        <v>68</v>
      </c>
      <c r="BK47" s="446" t="s">
        <v>69</v>
      </c>
      <c r="BL47" s="446" t="s">
        <v>5</v>
      </c>
      <c r="BM47" s="446" t="s">
        <v>70</v>
      </c>
      <c r="BN47" s="446" t="s">
        <v>71</v>
      </c>
      <c r="BO47" s="446" t="s">
        <v>72</v>
      </c>
      <c r="BP47" s="446" t="s">
        <v>6</v>
      </c>
      <c r="BQ47" s="284"/>
    </row>
    <row r="48" spans="1:69" ht="15" customHeight="1" x14ac:dyDescent="0.25">
      <c r="A48" s="74">
        <v>48</v>
      </c>
      <c r="B48" s="458"/>
      <c r="C48" s="448"/>
      <c r="D48" s="448"/>
      <c r="E48" s="448"/>
      <c r="F48" s="448"/>
      <c r="G48" s="448"/>
      <c r="H48" s="448"/>
      <c r="I48" s="448"/>
      <c r="J48" s="448"/>
      <c r="K48" s="448"/>
      <c r="L48" s="448"/>
      <c r="M48" s="448"/>
      <c r="N48" s="448"/>
      <c r="O48" s="448"/>
      <c r="P48" s="448"/>
      <c r="Q48" s="448"/>
      <c r="R48" s="448"/>
      <c r="S48" s="448"/>
      <c r="T48" s="448"/>
      <c r="U48" s="448"/>
      <c r="V48" s="448"/>
      <c r="W48" s="448"/>
      <c r="X48" s="448"/>
      <c r="Y48" s="450"/>
      <c r="Z48" s="448"/>
      <c r="AA48" s="448"/>
      <c r="AB48" s="448"/>
      <c r="AC48" s="450"/>
      <c r="AD48" s="448"/>
      <c r="AE48" s="448"/>
      <c r="AF48" s="447"/>
      <c r="AG48" s="450"/>
      <c r="AH48" s="450"/>
      <c r="AI48" s="447"/>
      <c r="AJ48" s="447"/>
      <c r="AK48" s="452"/>
      <c r="AL48" s="450"/>
      <c r="AM48" s="450"/>
      <c r="AN48" s="447"/>
      <c r="AO48" s="452"/>
      <c r="AP48" s="452"/>
      <c r="AQ48" s="452"/>
      <c r="AR48" s="452"/>
      <c r="AS48" s="447"/>
      <c r="AT48" s="447"/>
      <c r="AU48" s="447"/>
      <c r="AV48" s="447"/>
      <c r="AW48" s="447"/>
      <c r="AX48" s="447"/>
      <c r="AY48" s="447"/>
      <c r="AZ48" s="447"/>
      <c r="BA48" s="447"/>
      <c r="BB48" s="447"/>
      <c r="BC48" s="447"/>
      <c r="BD48" s="447"/>
      <c r="BE48" s="447"/>
      <c r="BF48" s="447"/>
      <c r="BG48" s="447"/>
      <c r="BH48" s="447"/>
      <c r="BI48" s="447"/>
      <c r="BJ48" s="447"/>
      <c r="BK48" s="447"/>
      <c r="BL48" s="447"/>
      <c r="BM48" s="447"/>
      <c r="BN48" s="447"/>
      <c r="BO48" s="447"/>
      <c r="BP48" s="447"/>
      <c r="BQ48" s="284"/>
    </row>
    <row r="49" spans="1:69" ht="9.75" customHeight="1" x14ac:dyDescent="0.25">
      <c r="A49" s="324">
        <v>49</v>
      </c>
      <c r="B49" s="8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69" x14ac:dyDescent="0.25">
      <c r="A50" s="74">
        <v>50</v>
      </c>
      <c r="B50" s="12" t="s">
        <v>12</v>
      </c>
      <c r="C50" s="397">
        <f>'Income and Expenses structure'!F169</f>
        <v>6.3972121718677222E-2</v>
      </c>
      <c r="D50" s="397">
        <f>'Income and Expenses structure'!G169</f>
        <v>6.4792164695837706E-2</v>
      </c>
      <c r="E50" s="140">
        <f>'Income and Expenses structure'!H169</f>
        <v>6.3722231859093939E-2</v>
      </c>
      <c r="F50" s="140">
        <f>'Income and Expenses structure'!I169</f>
        <v>6.6189718597819719E-2</v>
      </c>
      <c r="G50" s="140">
        <f>'Income and Expenses structure'!J169</f>
        <v>7.233018637398872E-2</v>
      </c>
      <c r="H50" s="140">
        <f>'Income and Expenses structure'!K169</f>
        <v>7.631658359504738E-2</v>
      </c>
      <c r="I50" s="140">
        <f>'Income and Expenses structure'!L169</f>
        <v>7.36003517684133E-2</v>
      </c>
      <c r="J50" s="140">
        <f>'Income and Expenses structure'!M169</f>
        <v>6.8763509680104626E-2</v>
      </c>
      <c r="K50" s="140">
        <f>'Income and Expenses structure'!N169</f>
        <v>6.8949364108668171E-2</v>
      </c>
      <c r="L50" s="140">
        <f>'Income and Expenses structure'!O169</f>
        <v>6.9295130393284735E-2</v>
      </c>
      <c r="M50" s="140">
        <f>'Income and Expenses structure'!P169</f>
        <v>6.7252628980628087E-2</v>
      </c>
      <c r="N50" s="140">
        <f>'Income and Expenses structure'!Q169</f>
        <v>5.7633088404655607E-2</v>
      </c>
      <c r="O50" s="140">
        <f>'Income and Expenses structure'!R169</f>
        <v>5.4576437730675609E-2</v>
      </c>
      <c r="P50" s="140">
        <f>'Income and Expenses structure'!S169</f>
        <v>5.6125913319225174E-2</v>
      </c>
      <c r="Q50" s="401"/>
      <c r="R50" s="401"/>
      <c r="S50" s="401"/>
      <c r="T50" s="401"/>
      <c r="U50" s="140">
        <f>'Income and Expenses structure'!X169</f>
        <v>4.2157110454927794E-2</v>
      </c>
      <c r="V50" s="140">
        <f>'Income and Expenses structure'!Y169</f>
        <v>3.8828469854305353E-2</v>
      </c>
      <c r="W50" s="140">
        <f>'Income and Expenses structure'!Z169</f>
        <v>3.8056415117052295E-2</v>
      </c>
      <c r="X50" s="140">
        <f>'Income and Expenses structure'!AA169</f>
        <v>3.8534518789598189E-2</v>
      </c>
      <c r="Y50" s="140">
        <f>'Income and Expenses structure'!AB169</f>
        <v>4.2200000000000001E-2</v>
      </c>
      <c r="Z50" s="140">
        <f>'Income and Expenses structure'!AC169</f>
        <v>3.7400000000000003E-2</v>
      </c>
      <c r="AA50" s="140">
        <f>'Income and Expenses structure'!AD169</f>
        <v>3.9899999999999998E-2</v>
      </c>
      <c r="AB50" s="140">
        <f>'Income and Expenses structure'!AE169</f>
        <v>4.0538711410975439E-2</v>
      </c>
      <c r="AC50" s="140">
        <f>'Income and Expenses structure'!AF169</f>
        <v>4.1531165572022521E-2</v>
      </c>
      <c r="AD50" s="140">
        <f>'Income and Expenses structure'!AG169</f>
        <v>3.9487000000000001E-2</v>
      </c>
      <c r="AE50" s="140">
        <f>'Income and Expenses structure'!AH169</f>
        <v>3.543571024231814E-2</v>
      </c>
      <c r="AF50" s="140">
        <f>'Income and Expenses structure'!AI169</f>
        <v>3.8176583175730756E-2</v>
      </c>
      <c r="AG50" s="140">
        <f>'Income and Expenses structure'!AJ169</f>
        <v>4.0537372341958276E-2</v>
      </c>
      <c r="AH50" s="140">
        <f>'Income and Expenses structure'!AK169</f>
        <v>3.8354448530376874E-2</v>
      </c>
      <c r="AI50" s="140">
        <f>'Income and Expenses structure'!AL169</f>
        <v>3.6900000000000002E-2</v>
      </c>
      <c r="AJ50" s="140">
        <f>'Income and Expenses structure'!AM169</f>
        <v>3.5799999999999998E-2</v>
      </c>
      <c r="AK50" s="140">
        <f>'Income and Expenses structure'!AN169</f>
        <v>4.1099999999999998E-2</v>
      </c>
      <c r="AL50" s="140">
        <f>'Income and Expenses structure'!AO169</f>
        <v>3.8300000000000001E-2</v>
      </c>
      <c r="AM50" s="140">
        <f>'Income and Expenses structure'!AP169</f>
        <v>3.3599999999999998E-2</v>
      </c>
      <c r="AN50" s="140">
        <f>'Income and Expenses structure'!AQ169</f>
        <v>3.3399999999999999E-2</v>
      </c>
      <c r="AO50" s="140">
        <f>'Income and Expenses structure'!AR169</f>
        <v>4.3200000000000002E-2</v>
      </c>
      <c r="AP50" s="140">
        <f>'Income and Expenses structure'!AS169</f>
        <v>4.1700000000000001E-2</v>
      </c>
      <c r="AQ50" s="140">
        <f>'Income and Expenses structure'!AT169</f>
        <v>3.8800000000000001E-2</v>
      </c>
      <c r="AR50" s="140">
        <f>'Income and Expenses structure'!AU169</f>
        <v>3.6600000000000001E-2</v>
      </c>
      <c r="AS50" s="140">
        <f>'Income and Expenses structure'!AV169</f>
        <v>3.9E-2</v>
      </c>
      <c r="AT50" s="140">
        <f>'Income and Expenses structure'!AW169</f>
        <v>3.2300000000000002E-2</v>
      </c>
      <c r="AU50" s="140">
        <f>'Income and Expenses structure'!AX169</f>
        <v>3.3399999999999999E-2</v>
      </c>
      <c r="AV50" s="140">
        <f>'Income and Expenses structure'!AY169</f>
        <v>3.4599999999999999E-2</v>
      </c>
      <c r="AW50" s="140">
        <f>'Income and Expenses structure'!AZ169</f>
        <v>4.9099999999999998E-2</v>
      </c>
      <c r="AX50" s="140">
        <f>'Income and Expenses structure'!BA169</f>
        <v>4.2500000000000003E-2</v>
      </c>
      <c r="AY50" s="140">
        <f>'Income and Expenses structure'!BB169</f>
        <v>4.2599999999999999E-2</v>
      </c>
      <c r="AZ50" s="140">
        <f>'Income and Expenses structure'!BC169</f>
        <v>4.1000000000000002E-2</v>
      </c>
      <c r="BA50" s="140">
        <f>'Income and Expenses structure'!BD169</f>
        <v>0.04</v>
      </c>
      <c r="BB50" s="140">
        <f>'Income and Expenses structure'!BE169</f>
        <v>3.7199999999999997E-2</v>
      </c>
      <c r="BC50" s="140">
        <f>'Income and Expenses structure'!BF169</f>
        <v>3.6299999999999999E-2</v>
      </c>
      <c r="BD50" s="10">
        <f>'Income and Expenses structure'!BG169</f>
        <v>3.5900000000000001E-2</v>
      </c>
      <c r="BE50" s="10">
        <f>'Income and Expenses structure'!BH169</f>
        <v>0.04</v>
      </c>
      <c r="BF50" s="10">
        <f>'Income and Expenses structure'!BI169</f>
        <v>3.7499999999999999E-2</v>
      </c>
      <c r="BG50" s="10">
        <f>'Income and Expenses structure'!BJ169</f>
        <v>3.8199999999999998E-2</v>
      </c>
      <c r="BH50" s="10">
        <f>'Income and Expenses structure'!BK169</f>
        <v>3.7499999999999999E-2</v>
      </c>
      <c r="BI50" s="10">
        <f>'Income and Expenses structure'!BL169</f>
        <v>4.3799999999999999E-2</v>
      </c>
      <c r="BJ50" s="10">
        <f>'Income and Expenses structure'!BM169</f>
        <v>4.9799999999999997E-2</v>
      </c>
      <c r="BK50" s="10">
        <f>'Income and Expenses structure'!BN169</f>
        <v>5.21E-2</v>
      </c>
      <c r="BL50" s="10">
        <f>'Income and Expenses structure'!BO169</f>
        <v>0.05</v>
      </c>
      <c r="BM50" s="10">
        <f>'Income and Expenses structure'!BP169</f>
        <v>4.6699999999999998E-2</v>
      </c>
      <c r="BN50" s="10">
        <f>'Income and Expenses structure'!BQ169</f>
        <v>5.0900000000000001E-2</v>
      </c>
      <c r="BO50" s="10">
        <f>'Income and Expenses structure'!BR169</f>
        <v>5.3800000000000001E-2</v>
      </c>
      <c r="BP50" s="10">
        <f>'Income and Expenses structure'!BS169</f>
        <v>5.57E-2</v>
      </c>
    </row>
    <row r="51" spans="1:69" x14ac:dyDescent="0.25">
      <c r="A51" s="74">
        <v>51</v>
      </c>
      <c r="B51" s="12" t="s">
        <v>13</v>
      </c>
      <c r="C51" s="10">
        <f>'Income and Expenses structure'!F170</f>
        <v>0.37747524752475248</v>
      </c>
      <c r="D51" s="10">
        <f>'Income and Expenses structure'!G170</f>
        <v>0.307716117621048</v>
      </c>
      <c r="E51" s="10">
        <f>'Income and Expenses structure'!H170</f>
        <v>0.45037820857272765</v>
      </c>
      <c r="F51" s="10">
        <f>'Income and Expenses structure'!I170</f>
        <v>0.2977851376526599</v>
      </c>
      <c r="G51" s="10">
        <f>'Income and Expenses structure'!J170</f>
        <v>0.2599700504413619</v>
      </c>
      <c r="H51" s="10">
        <f>'Income and Expenses structure'!K170</f>
        <v>0.22512408414086504</v>
      </c>
      <c r="I51" s="10">
        <f>'Income and Expenses structure'!L170</f>
        <v>0.3036438796601087</v>
      </c>
      <c r="J51" s="10">
        <f>'Income and Expenses structure'!M170</f>
        <v>0.27727753117734094</v>
      </c>
      <c r="K51" s="10">
        <f>'Income and Expenses structure'!N170</f>
        <v>0.24559827524254402</v>
      </c>
      <c r="L51" s="10">
        <f>'Income and Expenses structure'!O170</f>
        <v>0.26776911356099309</v>
      </c>
      <c r="M51" s="10">
        <f>'Income and Expenses structure'!P170</f>
        <v>0.25933670492122157</v>
      </c>
      <c r="N51" s="10">
        <f>'Income and Expenses structure'!Q170</f>
        <v>0.36307745345897496</v>
      </c>
      <c r="O51" s="10">
        <f>'Income and Expenses structure'!R170</f>
        <v>0.37610731460389774</v>
      </c>
      <c r="P51" s="10">
        <f>'Income and Expenses structure'!S170</f>
        <v>0.2891323147881234</v>
      </c>
      <c r="Q51" s="402"/>
      <c r="R51" s="402"/>
      <c r="S51" s="402"/>
      <c r="T51" s="402"/>
      <c r="U51" s="10">
        <f>'Income and Expenses structure'!X170</f>
        <v>0.38528075062307582</v>
      </c>
      <c r="V51" s="10">
        <f>'Income and Expenses structure'!Y170</f>
        <v>0.34669876840448188</v>
      </c>
      <c r="W51" s="10">
        <f>'Income and Expenses structure'!Z170</f>
        <v>0.33147189441341018</v>
      </c>
      <c r="X51" s="10">
        <f>'Income and Expenses structure'!AA170</f>
        <v>0.45567702132265397</v>
      </c>
      <c r="Y51" s="10">
        <f>'Income and Expenses structure'!AB170</f>
        <v>0.38191201130085589</v>
      </c>
      <c r="Z51" s="10">
        <f>'Income and Expenses structure'!AC170</f>
        <v>0.3644491048788393</v>
      </c>
      <c r="AA51" s="10">
        <f>'Income and Expenses structure'!AD170</f>
        <v>0.40801877430422551</v>
      </c>
      <c r="AB51" s="10">
        <f>'Income and Expenses structure'!AE170</f>
        <v>0.50242630291773838</v>
      </c>
      <c r="AC51" s="10">
        <f>'Income and Expenses structure'!AF170</f>
        <v>0.42854196076842493</v>
      </c>
      <c r="AD51" s="10">
        <f>'Income and Expenses structure'!AG170</f>
        <v>0.43843212638481155</v>
      </c>
      <c r="AE51" s="10">
        <f>'Income and Expenses structure'!AH170</f>
        <v>0.42607096190773136</v>
      </c>
      <c r="AF51" s="10">
        <f>'Income and Expenses structure'!AI170</f>
        <v>0.47975213092272506</v>
      </c>
      <c r="AG51" s="10">
        <f>'Income and Expenses structure'!AJ170</f>
        <v>0.33968377320887327</v>
      </c>
      <c r="AH51" s="10">
        <f>'Income and Expenses structure'!AK170</f>
        <v>0.40287542605678806</v>
      </c>
      <c r="AI51" s="10">
        <f>'Income and Expenses structure'!AL170</f>
        <v>0.45007493464748694</v>
      </c>
      <c r="AJ51" s="10">
        <f>'Income and Expenses structure'!AM170</f>
        <v>0.35573001064369641</v>
      </c>
      <c r="AK51" s="10">
        <f>'Income and Expenses structure'!AN170</f>
        <v>0.33730251805928896</v>
      </c>
      <c r="AL51" s="10">
        <f>'Income and Expenses structure'!AO170</f>
        <v>0.3627639927244849</v>
      </c>
      <c r="AM51" s="10">
        <f>'Income and Expenses structure'!AP170</f>
        <v>0.33540031261724212</v>
      </c>
      <c r="AN51" s="10">
        <f>'Income and Expenses structure'!AQ170</f>
        <v>0.33628684491850119</v>
      </c>
      <c r="AO51" s="10">
        <f>'Income and Expenses structure'!AR170</f>
        <v>0.3997061360227282</v>
      </c>
      <c r="AP51" s="10">
        <f>'Income and Expenses structure'!AS170</f>
        <v>0.33243536709089699</v>
      </c>
      <c r="AQ51" s="10">
        <f>'Income and Expenses structure'!AT170</f>
        <v>0.33866444257066397</v>
      </c>
      <c r="AR51" s="10">
        <f>'Income and Expenses structure'!AU170</f>
        <v>0.33127891882239008</v>
      </c>
      <c r="AS51" s="10">
        <f>'Income and Expenses structure'!AV170</f>
        <v>0.35439475518419566</v>
      </c>
      <c r="AT51" s="10">
        <f>'Income and Expenses structure'!AW170</f>
        <v>0.29038475263882785</v>
      </c>
      <c r="AU51" s="10">
        <f>'Income and Expenses structure'!AX170</f>
        <v>0.33844746721171137</v>
      </c>
      <c r="AV51" s="10">
        <f>'Income and Expenses structure'!AY170</f>
        <v>0.33923469686622493</v>
      </c>
      <c r="AW51" s="10">
        <f>'Income and Expenses structure'!AZ170</f>
        <v>0.35322029991788978</v>
      </c>
      <c r="AX51" s="10">
        <f>'Income and Expenses structure'!BA170</f>
        <v>0.3579936649141538</v>
      </c>
      <c r="AY51" s="10">
        <f>'Income and Expenses structure'!BB170</f>
        <v>0.38598440905928438</v>
      </c>
      <c r="AZ51" s="10">
        <f>'Income and Expenses structure'!BC170</f>
        <v>0.32231972300077322</v>
      </c>
      <c r="BA51" s="10">
        <f>'Income and Expenses structure'!BD170</f>
        <v>0.35473704947725493</v>
      </c>
      <c r="BB51" s="10">
        <f>'Income and Expenses structure'!BE170</f>
        <v>0.3539466022887075</v>
      </c>
      <c r="BC51" s="10">
        <f>'Income and Expenses structure'!BF170</f>
        <v>0.35536234435920006</v>
      </c>
      <c r="BD51" s="10">
        <f>'Income and Expenses structure'!BG170</f>
        <v>0.32019711875917323</v>
      </c>
      <c r="BE51" s="10">
        <f>'Income and Expenses structure'!BH170</f>
        <v>0.43030841815838078</v>
      </c>
      <c r="BF51" s="10">
        <f>'Income and Expenses structure'!BI170</f>
        <v>0.35753011060368783</v>
      </c>
      <c r="BG51" s="10">
        <f>'Income and Expenses structure'!BJ170</f>
        <v>0.38926137511163172</v>
      </c>
      <c r="BH51" s="10">
        <f>'Income and Expenses structure'!BK170</f>
        <v>0.35965576023606888</v>
      </c>
      <c r="BI51" s="10">
        <f>'Income and Expenses structure'!BL170</f>
        <v>0.39698984570567625</v>
      </c>
      <c r="BJ51" s="10">
        <f>'Income and Expenses structure'!BM170</f>
        <v>0.3463837797686885</v>
      </c>
      <c r="BK51" s="10">
        <f>'Income and Expenses structure'!BN170</f>
        <v>0.30639410147161034</v>
      </c>
      <c r="BL51" s="10">
        <f>'Income and Expenses structure'!BO170</f>
        <v>0.22286186831335897</v>
      </c>
      <c r="BM51" s="10">
        <f>'Income and Expenses structure'!BP170</f>
        <v>0.30076223891841347</v>
      </c>
      <c r="BN51" s="10">
        <f>'Income and Expenses structure'!BQ170</f>
        <v>0.3149918434295782</v>
      </c>
      <c r="BO51" s="10">
        <f>'Income and Expenses structure'!BR170</f>
        <v>0.2372240204979052</v>
      </c>
      <c r="BP51" s="10">
        <f>'Income and Expenses structure'!BS170</f>
        <v>0.1594778732558762</v>
      </c>
    </row>
    <row r="52" spans="1:69" x14ac:dyDescent="0.25">
      <c r="A52" s="324">
        <v>52</v>
      </c>
      <c r="B52" s="12" t="s">
        <v>14</v>
      </c>
      <c r="C52" s="10">
        <f>'Income and Expenses structure'!F172</f>
        <v>0.10073576954956359</v>
      </c>
      <c r="D52" s="10">
        <f>'Income and Expenses structure'!G172</f>
        <v>0.19875493029868146</v>
      </c>
      <c r="E52" s="10">
        <f>'Income and Expenses structure'!H172</f>
        <v>8.0098022138164832E-2</v>
      </c>
      <c r="F52" s="10">
        <f>'Income and Expenses structure'!I172</f>
        <v>0.16003208351841577</v>
      </c>
      <c r="G52" s="10">
        <f>'Income and Expenses structure'!J172</f>
        <v>0.17029482524101527</v>
      </c>
      <c r="H52" s="10">
        <f>'Income and Expenses structure'!K172</f>
        <v>0.30099307684933579</v>
      </c>
      <c r="I52" s="10">
        <f>'Income and Expenses structure'!L172</f>
        <v>0.26132719242948593</v>
      </c>
      <c r="J52" s="10">
        <f>'Income and Expenses structure'!M172</f>
        <v>0.27163116082854849</v>
      </c>
      <c r="K52" s="10">
        <f>'Income and Expenses structure'!N172</f>
        <v>0.24231913063983096</v>
      </c>
      <c r="L52" s="10">
        <f>'Income and Expenses structure'!O172</f>
        <v>0.29027721013053653</v>
      </c>
      <c r="M52" s="10">
        <f>'Income and Expenses structure'!P172</f>
        <v>0.24010212097902897</v>
      </c>
      <c r="N52" s="10">
        <f>'Income and Expenses structure'!Q172</f>
        <v>0.20253913928717418</v>
      </c>
      <c r="O52" s="10">
        <f>'Income and Expenses structure'!R172</f>
        <v>0.34179496168271961</v>
      </c>
      <c r="P52" s="10">
        <f>'Income and Expenses structure'!S172</f>
        <v>0.38998137296383256</v>
      </c>
      <c r="Q52" s="402"/>
      <c r="R52" s="402"/>
      <c r="S52" s="402"/>
      <c r="T52" s="402"/>
      <c r="U52" s="10">
        <f>'Income and Expenses structure'!X172</f>
        <v>0.26239946194824543</v>
      </c>
      <c r="V52" s="10">
        <f>'Income and Expenses structure'!Y172</f>
        <v>0.17102156361486973</v>
      </c>
      <c r="W52" s="10">
        <f>'Income and Expenses structure'!Z172</f>
        <v>0.21142057762952721</v>
      </c>
      <c r="X52" s="10">
        <f>'Income and Expenses structure'!AA172</f>
        <v>0.10795009738694469</v>
      </c>
      <c r="Y52" s="10">
        <f>'Income and Expenses structure'!AB172</f>
        <v>0.20334918983317926</v>
      </c>
      <c r="Z52" s="10">
        <f>'Income and Expenses structure'!AC172</f>
        <v>0.12855288930437087</v>
      </c>
      <c r="AA52" s="10">
        <f>'Income and Expenses structure'!AD172</f>
        <v>9.8143030332304759E-2</v>
      </c>
      <c r="AB52" s="10">
        <f>'Income and Expenses structure'!AE172</f>
        <v>7.8991798038913222E-2</v>
      </c>
      <c r="AC52" s="10">
        <f>'Income and Expenses structure'!AF172</f>
        <v>0.12057315569696417</v>
      </c>
      <c r="AD52" s="10">
        <f>'Income and Expenses structure'!AG172</f>
        <v>0.10358292142516391</v>
      </c>
      <c r="AE52" s="10">
        <f>'Income and Expenses structure'!AH172</f>
        <v>0.11502538653625884</v>
      </c>
      <c r="AF52" s="10">
        <f>'Income and Expenses structure'!AI172</f>
        <v>6.8539449037305675E-2</v>
      </c>
      <c r="AG52" s="10">
        <f>'Income and Expenses structure'!AJ172</f>
        <v>0.13643985416273186</v>
      </c>
      <c r="AH52" s="10">
        <f>'Income and Expenses structure'!AK172</f>
        <v>0.1130535814657674</v>
      </c>
      <c r="AI52" s="10">
        <f>'Income and Expenses structure'!AL172</f>
        <v>0.14315266373188035</v>
      </c>
      <c r="AJ52" s="10">
        <f>'Income and Expenses structure'!AM172</f>
        <v>0.12619020692349037</v>
      </c>
      <c r="AK52" s="10">
        <f>'Income and Expenses structure'!AN172</f>
        <v>0.12004799860524722</v>
      </c>
      <c r="AL52" s="10">
        <f>'Income and Expenses structure'!AO172</f>
        <v>0.12683879978619414</v>
      </c>
      <c r="AM52" s="10">
        <f>'Income and Expenses structure'!AP172</f>
        <v>0.13639149481591772</v>
      </c>
      <c r="AN52" s="10">
        <f>'Income and Expenses structure'!AQ172</f>
        <v>0.11021982040125128</v>
      </c>
      <c r="AO52" s="10">
        <f>'Income and Expenses structure'!AR172</f>
        <v>9.3470737190594982E-2</v>
      </c>
      <c r="AP52" s="10">
        <f>'Income and Expenses structure'!AS172</f>
        <v>8.7732550965639408E-2</v>
      </c>
      <c r="AQ52" s="10">
        <f>'Income and Expenses structure'!AT172</f>
        <v>7.2232937471516684E-2</v>
      </c>
      <c r="AR52" s="10">
        <f>'Income and Expenses structure'!AU172</f>
        <v>8.2663188867368495E-2</v>
      </c>
      <c r="AS52" s="10">
        <f>'Income and Expenses structure'!AV172</f>
        <v>8.2375595673694346E-2</v>
      </c>
      <c r="AT52" s="10">
        <f>'Income and Expenses structure'!AW172</f>
        <v>0.10232216247940755</v>
      </c>
      <c r="AU52" s="10">
        <f>'Income and Expenses structure'!AX172</f>
        <v>7.6024346153529612E-2</v>
      </c>
      <c r="AV52" s="10">
        <f>'Income and Expenses structure'!AY172</f>
        <v>6.6948566077031799E-2</v>
      </c>
      <c r="AW52" s="10">
        <f>'Income and Expenses structure'!AZ172</f>
        <v>8.2497467400823546E-2</v>
      </c>
      <c r="AX52" s="10">
        <f>'Income and Expenses structure'!BA172</f>
        <v>0.11627867184570899</v>
      </c>
      <c r="AY52" s="10">
        <f>'Income and Expenses structure'!BB172</f>
        <v>9.734357644168154E-2</v>
      </c>
      <c r="AZ52" s="10">
        <f>'Income and Expenses structure'!BC172</f>
        <v>0.16837111354000539</v>
      </c>
      <c r="BA52" s="10">
        <f>'Income and Expenses structure'!BD172</f>
        <v>0.12149999079207549</v>
      </c>
      <c r="BB52" s="10">
        <f>'Income and Expenses structure'!BE172</f>
        <v>0.12055212244403213</v>
      </c>
      <c r="BC52" s="10">
        <f>'Income and Expenses structure'!BF172</f>
        <v>0.11731786238647539</v>
      </c>
      <c r="BD52" s="10">
        <f>'Income and Expenses structure'!BG172</f>
        <v>0.13324495865119565</v>
      </c>
      <c r="BE52" s="10">
        <f>'Income and Expenses structure'!BH172</f>
        <v>6.2956815008417669E-2</v>
      </c>
      <c r="BF52" s="10">
        <f>'Income and Expenses structure'!BI172</f>
        <v>9.1689894011875481E-2</v>
      </c>
      <c r="BG52" s="10">
        <f>'Income and Expenses structure'!BJ172</f>
        <v>4.4287570635313564E-2</v>
      </c>
      <c r="BH52" s="10">
        <f>'Income and Expenses structure'!BK172</f>
        <v>4.5372246056526309E-2</v>
      </c>
      <c r="BI52" s="10">
        <f>'Income and Expenses structure'!BL172</f>
        <v>8.8228901363989115E-2</v>
      </c>
      <c r="BJ52" s="10">
        <f>'Income and Expenses structure'!BM172</f>
        <v>0.12175154177710076</v>
      </c>
      <c r="BK52" s="10">
        <f>'Income and Expenses structure'!BN172</f>
        <v>0.21827815219886368</v>
      </c>
      <c r="BL52" s="10">
        <f>'Income and Expenses structure'!BO172</f>
        <v>0.30925354950918083</v>
      </c>
      <c r="BM52" s="10">
        <f>'Income and Expenses structure'!BP172</f>
        <v>0.28350711041188764</v>
      </c>
      <c r="BN52" s="10">
        <f>'Income and Expenses structure'!BQ172</f>
        <v>0.19957066728342163</v>
      </c>
      <c r="BO52" s="10">
        <f>'Income and Expenses structure'!BR172</f>
        <v>0.14393832676182813</v>
      </c>
      <c r="BP52" s="10">
        <f>'Income and Expenses structure'!BS172</f>
        <v>7.4734382064823343E-2</v>
      </c>
    </row>
    <row r="53" spans="1:69" x14ac:dyDescent="0.25">
      <c r="A53" s="74">
        <v>53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R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</row>
    <row r="54" spans="1:69" x14ac:dyDescent="0.25">
      <c r="A54" s="74">
        <v>54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R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</row>
    <row r="55" spans="1:69" x14ac:dyDescent="0.25">
      <c r="A55" s="324">
        <v>55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R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</row>
    <row r="56" spans="1:69" x14ac:dyDescent="0.25">
      <c r="A56" s="74">
        <v>56</v>
      </c>
      <c r="B56" s="453" t="s">
        <v>175</v>
      </c>
      <c r="C56" s="446">
        <v>46203</v>
      </c>
      <c r="D56" s="446">
        <v>46112</v>
      </c>
      <c r="E56" s="446">
        <v>46022</v>
      </c>
      <c r="F56" s="446">
        <v>45930</v>
      </c>
      <c r="G56" s="446">
        <v>45838</v>
      </c>
      <c r="H56" s="446">
        <v>45747</v>
      </c>
      <c r="I56" s="446">
        <v>45657</v>
      </c>
      <c r="J56" s="446">
        <v>45565</v>
      </c>
      <c r="K56" s="446">
        <v>45473</v>
      </c>
      <c r="L56" s="446">
        <v>45382</v>
      </c>
      <c r="M56" s="446">
        <v>45291</v>
      </c>
      <c r="N56" s="446">
        <v>45199</v>
      </c>
      <c r="O56" s="446">
        <v>45107</v>
      </c>
      <c r="P56" s="446">
        <v>45016</v>
      </c>
      <c r="Q56" s="446">
        <v>44926</v>
      </c>
      <c r="R56" s="446">
        <v>44834</v>
      </c>
      <c r="S56" s="446">
        <v>44742</v>
      </c>
      <c r="T56" s="446">
        <v>44651</v>
      </c>
      <c r="U56" s="446">
        <v>44561</v>
      </c>
      <c r="V56" s="446">
        <v>44469</v>
      </c>
      <c r="W56" s="446">
        <v>44377</v>
      </c>
      <c r="X56" s="446">
        <v>44286</v>
      </c>
      <c r="Y56" s="446">
        <v>44196</v>
      </c>
      <c r="Z56" s="446">
        <v>44104</v>
      </c>
      <c r="AA56" s="446">
        <v>44012</v>
      </c>
      <c r="AB56" s="446">
        <v>43921</v>
      </c>
      <c r="AC56" s="446">
        <v>43830</v>
      </c>
      <c r="AD56" s="446">
        <v>43738</v>
      </c>
      <c r="AE56" s="446">
        <v>43646</v>
      </c>
      <c r="AF56" s="446">
        <v>43555</v>
      </c>
      <c r="AG56" s="446">
        <v>43465</v>
      </c>
      <c r="AH56" s="446">
        <v>43373</v>
      </c>
      <c r="AI56" s="446">
        <v>43281</v>
      </c>
      <c r="AJ56" s="446">
        <v>43190</v>
      </c>
      <c r="AK56" s="446">
        <v>43100</v>
      </c>
      <c r="AL56" s="446">
        <v>43008</v>
      </c>
      <c r="AM56" s="446">
        <v>42916</v>
      </c>
      <c r="AN56" s="446">
        <v>42825</v>
      </c>
      <c r="AO56" s="446">
        <v>42735</v>
      </c>
      <c r="AP56" s="446">
        <v>42643</v>
      </c>
      <c r="AQ56" s="446">
        <v>42551</v>
      </c>
      <c r="AR56" s="446">
        <v>42460</v>
      </c>
      <c r="AS56" s="446">
        <v>42369</v>
      </c>
      <c r="AT56" s="446">
        <v>42277</v>
      </c>
      <c r="AU56" s="446">
        <v>42185</v>
      </c>
      <c r="AV56" s="446">
        <v>42094</v>
      </c>
      <c r="AW56" s="446">
        <v>42004</v>
      </c>
      <c r="AX56" s="446">
        <v>41912</v>
      </c>
      <c r="AY56" s="446">
        <v>41820</v>
      </c>
      <c r="AZ56" s="446">
        <v>41729</v>
      </c>
      <c r="BA56" s="446">
        <v>41639</v>
      </c>
      <c r="BB56" s="446">
        <v>41547</v>
      </c>
      <c r="BC56" s="446">
        <v>41455</v>
      </c>
      <c r="BD56" s="446">
        <v>41364</v>
      </c>
      <c r="BE56" s="446">
        <v>41274</v>
      </c>
      <c r="BF56" s="446">
        <v>41182</v>
      </c>
      <c r="BG56" s="446">
        <v>41090</v>
      </c>
      <c r="BH56" s="446">
        <v>40999</v>
      </c>
      <c r="BI56" s="446">
        <v>40908</v>
      </c>
      <c r="BJ56" s="446">
        <v>40816</v>
      </c>
      <c r="BK56" s="446">
        <v>40724</v>
      </c>
      <c r="BL56" s="446">
        <v>40633</v>
      </c>
      <c r="BM56" s="446">
        <v>40543</v>
      </c>
      <c r="BN56" s="446">
        <v>40451</v>
      </c>
      <c r="BO56" s="446">
        <v>40359</v>
      </c>
      <c r="BP56" s="446">
        <v>40268</v>
      </c>
      <c r="BQ56" s="446">
        <v>40178</v>
      </c>
    </row>
    <row r="57" spans="1:69" x14ac:dyDescent="0.25">
      <c r="A57" s="74">
        <v>57</v>
      </c>
      <c r="B57" s="454"/>
      <c r="C57" s="447"/>
      <c r="D57" s="447"/>
      <c r="E57" s="447"/>
      <c r="F57" s="447"/>
      <c r="G57" s="447"/>
      <c r="H57" s="447"/>
      <c r="I57" s="447"/>
      <c r="J57" s="447"/>
      <c r="K57" s="447"/>
      <c r="L57" s="447"/>
      <c r="M57" s="447"/>
      <c r="N57" s="447"/>
      <c r="O57" s="447"/>
      <c r="P57" s="447"/>
      <c r="Q57" s="447"/>
      <c r="R57" s="448"/>
      <c r="S57" s="448"/>
      <c r="T57" s="448"/>
      <c r="U57" s="447"/>
      <c r="V57" s="447"/>
      <c r="W57" s="448"/>
      <c r="X57" s="448"/>
      <c r="Y57" s="447"/>
      <c r="Z57" s="448"/>
      <c r="AA57" s="448"/>
      <c r="AB57" s="448"/>
      <c r="AC57" s="448"/>
      <c r="AD57" s="448"/>
      <c r="AE57" s="448"/>
      <c r="AF57" s="448"/>
      <c r="AG57" s="448"/>
      <c r="AH57" s="448"/>
      <c r="AI57" s="448"/>
      <c r="AJ57" s="448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  <c r="AU57" s="448"/>
      <c r="AV57" s="448"/>
      <c r="AW57" s="448"/>
      <c r="AX57" s="448"/>
      <c r="AY57" s="448"/>
      <c r="AZ57" s="448"/>
      <c r="BA57" s="448"/>
      <c r="BB57" s="448"/>
      <c r="BC57" s="448"/>
      <c r="BD57" s="448"/>
      <c r="BE57" s="448"/>
      <c r="BF57" s="448"/>
      <c r="BG57" s="448"/>
      <c r="BH57" s="448"/>
      <c r="BI57" s="448"/>
      <c r="BJ57" s="448"/>
      <c r="BK57" s="448"/>
      <c r="BL57" s="448"/>
      <c r="BM57" s="448"/>
      <c r="BN57" s="448"/>
      <c r="BO57" s="448"/>
      <c r="BP57" s="448"/>
      <c r="BQ57" s="448"/>
    </row>
    <row r="58" spans="1:69" ht="9" customHeight="1" x14ac:dyDescent="0.25">
      <c r="A58" s="324">
        <v>58</v>
      </c>
      <c r="B58" s="8" t="s">
        <v>8</v>
      </c>
      <c r="C58" s="8"/>
      <c r="D58" s="8"/>
      <c r="E58" s="8"/>
      <c r="F58" s="8"/>
      <c r="G58" s="8"/>
      <c r="H58" s="8"/>
      <c r="I58" s="8"/>
      <c r="J58" s="8"/>
      <c r="K58" s="8"/>
      <c r="L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</row>
    <row r="59" spans="1:69" ht="15" customHeight="1" x14ac:dyDescent="0.25">
      <c r="A59" s="74">
        <v>59</v>
      </c>
      <c r="B59" s="62" t="s">
        <v>178</v>
      </c>
      <c r="C59" s="11">
        <f>'Loan Portfolio IFRS 9'!F55</f>
        <v>1018419</v>
      </c>
      <c r="D59" s="11">
        <f>'Loan Portfolio IFRS 9'!G55</f>
        <v>977346</v>
      </c>
      <c r="E59" s="11">
        <f>'Loan Portfolio IFRS 9'!H55</f>
        <v>961886</v>
      </c>
      <c r="F59" s="11">
        <f>'Loan Portfolio IFRS 9'!I55</f>
        <v>953355</v>
      </c>
      <c r="G59" s="11">
        <f>'Loan Portfolio IFRS 9'!J55</f>
        <v>857799</v>
      </c>
      <c r="H59" s="11">
        <f>'Loan Portfolio IFRS 9'!K55</f>
        <v>760409</v>
      </c>
      <c r="I59" s="11">
        <f>'Loan Portfolio IFRS 9'!L55</f>
        <v>751045</v>
      </c>
      <c r="J59" s="11">
        <f>'Loan Portfolio IFRS 9'!M55</f>
        <v>739663</v>
      </c>
      <c r="K59" s="11">
        <f>'Loan Portfolio IFRS 9'!N55</f>
        <v>716341</v>
      </c>
      <c r="L59" s="11">
        <f>'Loan Portfolio IFRS 9'!O55</f>
        <v>705750</v>
      </c>
      <c r="M59" s="11">
        <f>'Loan Portfolio IFRS 9'!P55</f>
        <v>686310</v>
      </c>
      <c r="N59" s="11">
        <f>'Loan Portfolio IFRS 9'!Q55</f>
        <v>660295</v>
      </c>
      <c r="O59" s="11">
        <f>'Loan Portfolio IFRS 9'!R55</f>
        <v>575790</v>
      </c>
      <c r="P59" s="11">
        <f>'Loan Portfolio IFRS 9'!S55</f>
        <v>597588</v>
      </c>
      <c r="Q59" s="11">
        <f>'Loan Portfolio IFRS 9'!T55</f>
        <v>557845</v>
      </c>
      <c r="R59" s="11">
        <f>'Loan Portfolio IFRS 9'!U55</f>
        <v>541463</v>
      </c>
      <c r="S59" s="11">
        <f>'Loan Portfolio IFRS 9'!V55</f>
        <v>488854</v>
      </c>
      <c r="T59" s="11">
        <f>'Loan Portfolio IFRS 9'!W55</f>
        <v>538958</v>
      </c>
      <c r="U59" s="11">
        <f>'Loan Portfolio IFRS 9'!X55</f>
        <v>513914</v>
      </c>
      <c r="V59" s="11">
        <f>'Loan Portfolio IFRS 9'!Y55</f>
        <v>515308.64</v>
      </c>
      <c r="W59" s="11">
        <f>'Loan Portfolio IFRS 9'!Z55</f>
        <v>507319.48700000002</v>
      </c>
      <c r="X59" s="11">
        <f>'Loan Portfolio IFRS 9'!AA55</f>
        <v>482693.64899999998</v>
      </c>
      <c r="Y59" s="11">
        <f>'Loan Portfolio IFRS 9'!AB55</f>
        <v>459272.58100000001</v>
      </c>
      <c r="Z59" s="11">
        <f>'Loan Portfolio IFRS 9'!AC55</f>
        <v>468654.17300000001</v>
      </c>
      <c r="AA59" s="11">
        <f>'Loan Portfolio IFRS 9'!AD55</f>
        <v>417219.90100000001</v>
      </c>
      <c r="AB59" s="11">
        <f>'Loan Portfolio IFRS 9'!AE55</f>
        <v>434348.51799999998</v>
      </c>
      <c r="AC59" s="11">
        <f>'Loan Portfolio IFRS 9'!AF55</f>
        <v>401446.239</v>
      </c>
      <c r="AD59" s="11">
        <f>'Loan Portfolio IFRS 9'!AG55</f>
        <v>390770.47600000002</v>
      </c>
      <c r="AE59" s="11">
        <f>'Loan Portfolio IFRS 9'!AH55</f>
        <v>365681.66499999998</v>
      </c>
      <c r="AF59" s="11">
        <f>'Loan Portfolio IFRS 9'!AI55</f>
        <v>372095.28499999997</v>
      </c>
      <c r="AG59" s="11">
        <f>'Loan Portfolio IFRS 9'!AJ55</f>
        <v>375283.86599999998</v>
      </c>
      <c r="AH59" s="11">
        <f>'Loan Portfolio IFRS 9'!AK55</f>
        <v>376237.58500000002</v>
      </c>
      <c r="AI59" s="11">
        <f>'Loan Portfolio IFRS 9'!AL55</f>
        <v>355085.39399999997</v>
      </c>
      <c r="AJ59" s="11">
        <f>'Loan Portfolio IFRS 9'!AM55</f>
        <v>345779.74699999997</v>
      </c>
      <c r="AK59" s="11">
        <f>'Loan Portfolio IAS 39'!E50</f>
        <v>357710.44199999998</v>
      </c>
      <c r="AL59" s="11">
        <f>'Loan Portfolio IAS 39'!F50</f>
        <v>350251.42099999997</v>
      </c>
      <c r="AM59" s="11">
        <f>'Loan Portfolio IAS 39'!G50</f>
        <v>355123.67399999994</v>
      </c>
      <c r="AN59" s="11">
        <f>'Loan Portfolio IAS 39'!H50</f>
        <v>347513.22699999996</v>
      </c>
      <c r="AO59" s="11">
        <f>'Loan Portfolio IAS 39'!I50</f>
        <v>354313.87099999998</v>
      </c>
      <c r="AP59" s="11">
        <f>'Loan Portfolio IAS 39'!J50</f>
        <v>356792.32800000004</v>
      </c>
      <c r="AQ59" s="11">
        <f>'Loan Portfolio IAS 39'!K50</f>
        <v>368685.23099999997</v>
      </c>
      <c r="AR59" s="11">
        <f>'Loan Portfolio IAS 39'!L50</f>
        <v>367076.89</v>
      </c>
      <c r="AS59" s="11">
        <f>'Loan Portfolio IAS 39'!M50</f>
        <v>370266.69899999996</v>
      </c>
      <c r="AT59" s="11">
        <f>'Loan Portfolio IAS 39'!N50</f>
        <v>352667.41799999995</v>
      </c>
      <c r="AU59" s="11">
        <f>'Loan Portfolio IAS 39'!O50</f>
        <v>334385.82899999997</v>
      </c>
      <c r="AV59" s="11">
        <f>'Loan Portfolio IAS 39'!P50</f>
        <v>337736.13599999994</v>
      </c>
      <c r="AW59" s="11">
        <f>'Loan Portfolio IAS 39'!Q50</f>
        <v>343744.11300000001</v>
      </c>
      <c r="AX59" s="11">
        <f>'Loan Portfolio IAS 39'!R50</f>
        <v>302658.56</v>
      </c>
      <c r="AY59" s="11">
        <f>'Loan Portfolio IAS 39'!S50</f>
        <v>286088.39300000004</v>
      </c>
      <c r="AZ59" s="11">
        <f>'Loan Portfolio IAS 39'!T50</f>
        <v>290986.98700000002</v>
      </c>
      <c r="BA59" s="11">
        <f>'Loan Portfolio IAS 39'!U50</f>
        <v>276832.391</v>
      </c>
      <c r="BB59" s="11">
        <f>'Loan Portfolio IAS 39'!V50</f>
        <v>283979.37700000004</v>
      </c>
      <c r="BC59" s="11">
        <f>'Loan Portfolio IAS 39'!W50</f>
        <v>269177.01700000005</v>
      </c>
      <c r="BD59" s="11">
        <f>'Loan Portfolio IAS 39'!X50</f>
        <v>256085.89599999998</v>
      </c>
      <c r="BE59" s="11">
        <f>'Loan Portfolio IAS 39'!Y50</f>
        <v>246503.43100000001</v>
      </c>
      <c r="BF59" s="11">
        <f>'Loan Portfolio IAS 39'!Z50</f>
        <v>246888.75899999999</v>
      </c>
      <c r="BG59" s="11">
        <f>'Loan Portfolio IAS 39'!AA50</f>
        <v>244057.33</v>
      </c>
      <c r="BH59" s="11">
        <f>'Loan Portfolio IAS 39'!AB50</f>
        <v>232105.81599999999</v>
      </c>
      <c r="BI59" s="11">
        <f>'Loan Portfolio IAS 39'!AC50</f>
        <v>231257.342</v>
      </c>
      <c r="BJ59" s="11">
        <f>'Loan Portfolio IAS 39'!AD50</f>
        <v>223700.82</v>
      </c>
      <c r="BK59" s="11">
        <f>'Loan Portfolio IAS 39'!AE50</f>
        <v>217960.52</v>
      </c>
      <c r="BL59" s="11">
        <f>'Loan Portfolio IAS 39'!AF50</f>
        <v>212752.16800000001</v>
      </c>
      <c r="BM59" s="11">
        <f>'Loan Portfolio IAS 39'!AG50</f>
        <v>202254.28099999999</v>
      </c>
      <c r="BN59" s="11">
        <f>'Loan Portfolio IAS 39'!AH50</f>
        <v>196487.84400000001</v>
      </c>
      <c r="BO59" s="11">
        <f>'Loan Portfolio IAS 39'!AI50</f>
        <v>177207.25899999999</v>
      </c>
      <c r="BP59" s="11">
        <f>'Loan Portfolio IAS 39'!AJ50</f>
        <v>178066.82699999999</v>
      </c>
      <c r="BQ59" s="11">
        <f>'Loan Portfolio IAS 39'!AK50</f>
        <v>174110.23699999999</v>
      </c>
    </row>
    <row r="60" spans="1:69" ht="8.25" customHeight="1" x14ac:dyDescent="0.25">
      <c r="A60" s="74">
        <v>60</v>
      </c>
      <c r="B60" s="8" t="s">
        <v>174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</row>
    <row r="61" spans="1:69" x14ac:dyDescent="0.25">
      <c r="A61" s="324">
        <v>61</v>
      </c>
      <c r="B61" s="5" t="s">
        <v>152</v>
      </c>
      <c r="C61" s="13">
        <f>'Loan Portfolio IFRS 9'!F216</f>
        <v>3.4348337963058424E-2</v>
      </c>
      <c r="D61" s="13">
        <f>'Loan Portfolio IFRS 9'!G216</f>
        <v>2.868380287022201E-2</v>
      </c>
      <c r="E61" s="13">
        <f>'Loan Portfolio IFRS 9'!H216</f>
        <v>2.9976525284701096E-2</v>
      </c>
      <c r="F61" s="13">
        <f>'Loan Portfolio IFRS 9'!I216</f>
        <v>3.6800562224984394E-2</v>
      </c>
      <c r="G61" s="13">
        <f>'Loan Portfolio IFRS 9'!J216</f>
        <v>4.1925905719171971E-2</v>
      </c>
      <c r="H61" s="13">
        <f>'Loan Portfolio IFRS 9'!K216</f>
        <v>4.084643921889404E-2</v>
      </c>
      <c r="I61" s="13">
        <f>'Loan Portfolio IFRS 9'!L216</f>
        <v>4.4315586948851265E-2</v>
      </c>
      <c r="J61" s="13">
        <f>'Loan Portfolio IFRS 9'!M216</f>
        <v>4.17487423326569E-2</v>
      </c>
      <c r="K61" s="13">
        <f>'Loan Portfolio IFRS 9'!N216</f>
        <v>4.1026550204441736E-2</v>
      </c>
      <c r="L61" s="13">
        <f>'Loan Portfolio IFRS 9'!O216</f>
        <v>4.2710591569252568E-2</v>
      </c>
      <c r="M61" s="13">
        <f>'Loan Portfolio IFRS 9'!P216</f>
        <v>5.0346053532660168E-2</v>
      </c>
      <c r="N61" s="13">
        <f>'Loan Portfolio IFRS 9'!Q216</f>
        <v>5.5700860978804931E-2</v>
      </c>
      <c r="O61" s="13">
        <f>'Loan Portfolio IFRS 9'!R216</f>
        <v>6.4608624672189516E-2</v>
      </c>
      <c r="P61" s="13">
        <f>'Loan Portfolio IFRS 9'!S216</f>
        <v>6.0556771554984373E-2</v>
      </c>
      <c r="Q61" s="13">
        <f>'Loan Portfolio IFRS 9'!T216</f>
        <v>7.6322275901011927E-2</v>
      </c>
      <c r="R61" s="355"/>
      <c r="S61" s="355"/>
      <c r="T61" s="355"/>
      <c r="U61" s="13">
        <f>'Loan Portfolio IFRS 9'!X216</f>
        <v>7.8057807337414437E-2</v>
      </c>
      <c r="V61" s="13">
        <f>'Loan Portfolio IFRS 9'!Y216</f>
        <v>8.2756246819381873E-2</v>
      </c>
      <c r="W61" s="13">
        <f>'Loan Portfolio IFRS 9'!Z216</f>
        <v>8.3745040529066062E-2</v>
      </c>
      <c r="X61" s="13">
        <f>'Loan Portfolio IFRS 9'!AA216</f>
        <v>8.7518804292368066E-2</v>
      </c>
      <c r="Y61" s="13">
        <f>'Loan Portfolio IFRS 9'!AB216</f>
        <v>8.6676195459619659E-2</v>
      </c>
      <c r="Z61" s="13">
        <f>'Loan Portfolio IFRS 9'!AC216</f>
        <v>8.8491323430507474E-2</v>
      </c>
      <c r="AA61" s="13">
        <f>'Loan Portfolio IFRS 9'!AD216</f>
        <v>9.2871224280358572E-2</v>
      </c>
      <c r="AB61" s="13">
        <f>'Loan Portfolio IFRS 9'!AE216</f>
        <v>8.6896932845066138E-2</v>
      </c>
      <c r="AC61" s="13">
        <f>'Loan Portfolio IFRS 9'!AF216</f>
        <v>8.3140858619427743E-2</v>
      </c>
      <c r="AD61" s="13">
        <f>'Loan Portfolio IFRS 9'!AG216</f>
        <v>9.1676101958122327E-2</v>
      </c>
      <c r="AE61" s="13">
        <f>'Loan Portfolio IFRS 9'!AH216</f>
        <v>9.9207667412037195E-2</v>
      </c>
      <c r="AF61" s="13">
        <f>'Loan Portfolio IFRS 9'!AI216</f>
        <v>9.8960383225495607E-2</v>
      </c>
      <c r="AG61" s="13">
        <f>'Loan Portfolio IFRS 9'!AJ216</f>
        <v>9.7260456168931073E-2</v>
      </c>
      <c r="AH61" s="13">
        <f>'Loan Portfolio IFRS 9'!AK216</f>
        <v>0.10017391537318102</v>
      </c>
      <c r="AI61" s="13">
        <f>'Loan Portfolio IFRS 9'!AL216</f>
        <v>0.10399030944088904</v>
      </c>
      <c r="AJ61" s="13">
        <f>'Loan Portfolio IFRS 9'!AM216</f>
        <v>0.10348202666710843</v>
      </c>
      <c r="AK61" s="13">
        <f>'Loan Portfolio IAS 39'!E102</f>
        <v>0.11040922311124482</v>
      </c>
      <c r="AL61" s="13">
        <f>'Loan Portfolio IAS 39'!F102</f>
        <v>0.12777965574620753</v>
      </c>
      <c r="AM61" s="13">
        <f>'Loan Portfolio IAS 39'!G102</f>
        <v>0.12399172238795887</v>
      </c>
      <c r="AN61" s="13">
        <f>'Loan Portfolio IAS 39'!H102</f>
        <v>0.1209208477120786</v>
      </c>
      <c r="AO61" s="13">
        <f>'Loan Portfolio IAS 39'!I102</f>
        <v>0.11177323057724714</v>
      </c>
      <c r="AP61" s="13">
        <f>'Loan Portfolio IAS 39'!J102</f>
        <v>0.11858259743746506</v>
      </c>
      <c r="AQ61" s="13">
        <f>'Loan Portfolio IAS 39'!K102</f>
        <v>0.11049279052894853</v>
      </c>
      <c r="AR61" s="13">
        <f>'Loan Portfolio IAS 39'!L102</f>
        <v>0.10272133448662485</v>
      </c>
      <c r="AS61" s="13">
        <f>'Loan Portfolio IAS 39'!M102</f>
        <v>9.443084969410119E-2</v>
      </c>
      <c r="AT61" s="13">
        <f>'Loan Portfolio IAS 39'!N102</f>
        <v>8.9741633007900959E-2</v>
      </c>
      <c r="AU61" s="13">
        <f>'Loan Portfolio IAS 39'!O102</f>
        <v>8.5154389123350077E-2</v>
      </c>
      <c r="AV61" s="13">
        <f>'Loan Portfolio IAS 39'!P102</f>
        <v>8.3014640754935407E-2</v>
      </c>
      <c r="AW61" s="13">
        <f>'Loan Portfolio IAS 39'!Q102</f>
        <v>8.2634485728632676E-2</v>
      </c>
      <c r="AX61" s="13">
        <f>'Loan Portfolio IAS 39'!R102</f>
        <v>8.4739873208938818E-2</v>
      </c>
      <c r="AY61" s="13">
        <f>'Loan Portfolio IAS 39'!S102</f>
        <v>8.5658938284853783E-2</v>
      </c>
      <c r="AZ61" s="13">
        <f>'Loan Portfolio IAS 39'!T102</f>
        <v>9.0595821042677757E-2</v>
      </c>
      <c r="BA61" s="13">
        <f>'Loan Portfolio IAS 39'!U102</f>
        <v>9.3732846457263014E-2</v>
      </c>
      <c r="BB61" s="13">
        <f>'Loan Portfolio IAS 39'!V102</f>
        <v>9.3303307021481346E-2</v>
      </c>
      <c r="BC61" s="13">
        <f>'Loan Portfolio IAS 39'!W102</f>
        <v>9.4548532722613529E-2</v>
      </c>
      <c r="BD61" s="13">
        <f>'Loan Portfolio IAS 39'!X102</f>
        <v>9.8078982061550163E-2</v>
      </c>
      <c r="BE61" s="13">
        <f>'Loan Portfolio IAS 39'!Y102</f>
        <v>9.7866836587763351E-2</v>
      </c>
      <c r="BF61" s="13">
        <f>'Loan Portfolio IAS 39'!Z102</f>
        <v>9.6710903715142418E-2</v>
      </c>
      <c r="BG61" s="13">
        <f>'Loan Portfolio IAS 39'!AA102</f>
        <v>9.146029336631685E-2</v>
      </c>
      <c r="BH61" s="13">
        <f>'Loan Portfolio IAS 39'!AB102</f>
        <v>9.9581468479876437E-2</v>
      </c>
      <c r="BI61" s="13">
        <f>'Loan Portfolio IAS 39'!AC102</f>
        <v>9.2322578022193139E-2</v>
      </c>
      <c r="BJ61" s="13">
        <f>'Loan Portfolio IAS 39'!AD102</f>
        <v>9.0902085204694366E-2</v>
      </c>
      <c r="BK61" s="13">
        <f>'Loan Portfolio IAS 39'!AE102</f>
        <v>8.9987815224518652E-2</v>
      </c>
      <c r="BL61" s="13">
        <f>'Loan Portfolio IAS 39'!AF102</f>
        <v>9.4838055892337611E-2</v>
      </c>
      <c r="BM61" s="13">
        <f>'Loan Portfolio IAS 39'!AG102</f>
        <v>9.6096566677864287E-2</v>
      </c>
      <c r="BN61" s="13">
        <f>'Loan Portfolio IAS 39'!AH102</f>
        <v>0.10300115054445809</v>
      </c>
      <c r="BO61" s="13">
        <f>'Loan Portfolio IAS 39'!AI102</f>
        <v>0.11050714350251307</v>
      </c>
      <c r="BP61" s="13">
        <f>'Loan Portfolio IAS 39'!AJ102</f>
        <v>0.10367109534669253</v>
      </c>
      <c r="BQ61" s="13">
        <f>'Loan Portfolio IAS 39'!AK102</f>
        <v>9.137744152286692E-2</v>
      </c>
    </row>
    <row r="62" spans="1:69" x14ac:dyDescent="0.25">
      <c r="A62" s="74">
        <v>62</v>
      </c>
      <c r="B62" s="5" t="s">
        <v>327</v>
      </c>
      <c r="C62" s="13">
        <f>'Loan Portfolio IFRS 9'!F218</f>
        <v>3.9421888240498262E-2</v>
      </c>
      <c r="D62" s="13">
        <f>'Loan Portfolio IFRS 9'!G218</f>
        <v>3.6310579876522746E-2</v>
      </c>
      <c r="E62" s="13">
        <f>'Loan Portfolio IFRS 9'!H218</f>
        <v>3.8146932172835449E-2</v>
      </c>
      <c r="F62" s="13">
        <f>'Loan Portfolio IFRS 9'!I218</f>
        <v>3.6210016205925392E-2</v>
      </c>
      <c r="G62" s="13">
        <f>'Loan Portfolio IFRS 9'!J218</f>
        <v>4.8759674469193832E-2</v>
      </c>
      <c r="H62" s="13">
        <f>'Loan Portfolio IFRS 9'!K218</f>
        <v>4.3662029250048327E-2</v>
      </c>
      <c r="I62" s="13">
        <f>'Loan Portfolio IFRS 9'!L218</f>
        <v>4.7424588406819831E-2</v>
      </c>
      <c r="J62" s="13">
        <f>'Loan Portfolio IFRS 9'!M218</f>
        <v>4.7975902539399699E-2</v>
      </c>
      <c r="K62" s="13">
        <f>'Loan Portfolio IFRS 9'!N218</f>
        <v>4.6188896070446898E-2</v>
      </c>
      <c r="L62" s="13">
        <f>'Loan Portfolio IFRS 9'!O218</f>
        <v>4.422954303931987E-2</v>
      </c>
      <c r="M62" s="13">
        <f>'Loan Portfolio IFRS 9'!P218</f>
        <v>5.2001282219405226E-2</v>
      </c>
      <c r="N62" s="13">
        <f>'Loan Portfolio IFRS 9'!Q218</f>
        <v>5.7348609333706904E-2</v>
      </c>
      <c r="O62" s="13">
        <f>'Loan Portfolio IFRS 9'!R218</f>
        <v>6.8377359801316456E-2</v>
      </c>
      <c r="P62" s="13">
        <f>'Loan Portfolio IFRS 9'!S218</f>
        <v>6.4715154922789619E-2</v>
      </c>
      <c r="Q62" s="13">
        <f>'Loan Portfolio IFRS 9'!T218</f>
        <v>8.4618487214190324E-2</v>
      </c>
      <c r="R62" s="355"/>
      <c r="S62" s="355"/>
      <c r="T62" s="355"/>
      <c r="U62" s="13">
        <f>'Loan Portfolio IFRS 9'!X218</f>
        <v>8.9462439240806824E-2</v>
      </c>
      <c r="V62" s="13">
        <f>'Loan Portfolio IFRS 9'!Y218</f>
        <v>9.494128217993783E-2</v>
      </c>
      <c r="W62" s="13">
        <f>'Loan Portfolio IFRS 9'!Z218</f>
        <v>0.1014298155670886</v>
      </c>
      <c r="X62" s="13">
        <f>'Loan Portfolio IFRS 9'!AA218</f>
        <v>0.1057245109930999</v>
      </c>
      <c r="Y62" s="13">
        <f>'Loan Portfolio IFRS 9'!AB218</f>
        <v>0.10429661160198893</v>
      </c>
      <c r="Z62" s="13">
        <f>'Loan Portfolio IFRS 9'!AC218</f>
        <v>9.4410173959978805E-2</v>
      </c>
      <c r="AA62" s="13">
        <f>'Loan Portfolio IFRS 9'!AD218</f>
        <v>0.10538069467592341</v>
      </c>
      <c r="AB62" s="13">
        <f>'Loan Portfolio IFRS 9'!AE218</f>
        <v>9.8046295164290184E-2</v>
      </c>
      <c r="AC62" s="13">
        <f>'Loan Portfolio IFRS 9'!AF218</f>
        <v>9.2282005411937623E-2</v>
      </c>
      <c r="AD62" s="13">
        <f>'Loan Portfolio IFRS 9'!AG218</f>
        <v>0.10660533115608255</v>
      </c>
      <c r="AE62" s="13">
        <f>'Loan Portfolio IFRS 9'!AH218</f>
        <v>0.10374328174205837</v>
      </c>
      <c r="AF62" s="13">
        <f>'Loan Portfolio IFRS 9'!AI218</f>
        <v>0.10555847811938814</v>
      </c>
      <c r="AG62" s="13">
        <f>'Loan Portfolio IFRS 9'!AJ218</f>
        <v>0.10779108740049062</v>
      </c>
      <c r="AH62" s="13">
        <f>'Loan Portfolio IFRS 9'!AK218</f>
        <v>0.10923221825379299</v>
      </c>
      <c r="AI62" s="13">
        <f>'Loan Portfolio IFRS 9'!AL218</f>
        <v>0.12089638077312749</v>
      </c>
      <c r="AJ62" s="13">
        <f>'Loan Portfolio IFRS 9'!AM218</f>
        <v>0.11601324932428736</v>
      </c>
      <c r="AK62" s="13">
        <f t="shared" ref="AK62:BQ62" si="0">AK63+AK64</f>
        <v>0.14263708018900942</v>
      </c>
      <c r="AL62" s="13">
        <f t="shared" si="0"/>
        <v>0.15604190796416501</v>
      </c>
      <c r="AM62" s="13">
        <f t="shared" si="0"/>
        <v>0.15397578647488314</v>
      </c>
      <c r="AN62" s="13">
        <f t="shared" si="0"/>
        <v>0.15642326327912695</v>
      </c>
      <c r="AO62" s="13">
        <f t="shared" si="0"/>
        <v>0.15208973006873899</v>
      </c>
      <c r="AP62" s="13">
        <f t="shared" si="0"/>
        <v>0.16362178056698573</v>
      </c>
      <c r="AQ62" s="13">
        <f t="shared" si="0"/>
        <v>0.15256138643644235</v>
      </c>
      <c r="AR62" s="13">
        <f t="shared" si="0"/>
        <v>0.13434582874449003</v>
      </c>
      <c r="AS62" s="13">
        <f t="shared" si="0"/>
        <v>0.12443861985006652</v>
      </c>
      <c r="AT62" s="13">
        <f t="shared" si="0"/>
        <v>0.11336780479108508</v>
      </c>
      <c r="AU62" s="13">
        <f t="shared" si="0"/>
        <v>9.8761341348589271E-2</v>
      </c>
      <c r="AV62" s="13">
        <f t="shared" si="0"/>
        <v>0.11162783599798159</v>
      </c>
      <c r="AW62" s="13">
        <f t="shared" si="0"/>
        <v>9.9575107487004433E-2</v>
      </c>
      <c r="AX62" s="13">
        <f t="shared" si="0"/>
        <v>9.590792674094531E-2</v>
      </c>
      <c r="AY62" s="13">
        <f t="shared" si="0"/>
        <v>9.9490631904105231E-2</v>
      </c>
      <c r="AZ62" s="13">
        <f t="shared" si="0"/>
        <v>0.12119599011484317</v>
      </c>
      <c r="BA62" s="13">
        <f t="shared" si="0"/>
        <v>0.12859749493692738</v>
      </c>
      <c r="BB62" s="13">
        <f t="shared" si="0"/>
        <v>0.12398087978057645</v>
      </c>
      <c r="BC62" s="13">
        <f t="shared" si="0"/>
        <v>0.13687516271123545</v>
      </c>
      <c r="BD62" s="13">
        <f t="shared" si="0"/>
        <v>0.13873396604395583</v>
      </c>
      <c r="BE62" s="13">
        <f t="shared" si="0"/>
        <v>0.13563191337486902</v>
      </c>
      <c r="BF62" s="13">
        <f t="shared" si="0"/>
        <v>0.13107122062207782</v>
      </c>
      <c r="BG62" s="13">
        <f t="shared" si="0"/>
        <v>0.13226392339865392</v>
      </c>
      <c r="BH62" s="13">
        <f t="shared" si="0"/>
        <v>0.14324288625322512</v>
      </c>
      <c r="BI62" s="13">
        <f t="shared" si="0"/>
        <v>0.1232491809924893</v>
      </c>
      <c r="BJ62" s="13">
        <f t="shared" si="0"/>
        <v>0.11379709739106007</v>
      </c>
      <c r="BK62" s="13">
        <f t="shared" si="0"/>
        <v>0.10807298954874947</v>
      </c>
      <c r="BL62" s="13">
        <f t="shared" si="0"/>
        <v>0.1144866641264967</v>
      </c>
      <c r="BM62" s="13">
        <f t="shared" si="0"/>
        <v>0.10960066155534182</v>
      </c>
      <c r="BN62" s="13">
        <f t="shared" si="0"/>
        <v>0.11749225565323013</v>
      </c>
      <c r="BO62" s="13">
        <f t="shared" si="0"/>
        <v>0.14006242825526691</v>
      </c>
      <c r="BP62" s="13">
        <f t="shared" si="0"/>
        <v>0.14905615743913941</v>
      </c>
      <c r="BQ62" s="13">
        <f t="shared" si="0"/>
        <v>0.14493248894951535</v>
      </c>
    </row>
    <row r="63" spans="1:69" x14ac:dyDescent="0.25">
      <c r="A63" s="74">
        <v>63</v>
      </c>
      <c r="B63" s="5" t="s">
        <v>109</v>
      </c>
      <c r="C63" s="229" t="s">
        <v>330</v>
      </c>
      <c r="D63" s="229" t="s">
        <v>330</v>
      </c>
      <c r="E63" s="229" t="s">
        <v>330</v>
      </c>
      <c r="F63" s="229" t="s">
        <v>330</v>
      </c>
      <c r="G63" s="229" t="s">
        <v>330</v>
      </c>
      <c r="H63" s="229" t="s">
        <v>330</v>
      </c>
      <c r="I63" s="229" t="s">
        <v>330</v>
      </c>
      <c r="J63" s="229" t="s">
        <v>330</v>
      </c>
      <c r="K63" s="229" t="s">
        <v>330</v>
      </c>
      <c r="L63" s="229" t="s">
        <v>330</v>
      </c>
      <c r="M63" s="229" t="s">
        <v>330</v>
      </c>
      <c r="N63" s="229" t="s">
        <v>330</v>
      </c>
      <c r="O63" s="229" t="s">
        <v>330</v>
      </c>
      <c r="P63" s="229" t="s">
        <v>330</v>
      </c>
      <c r="Q63" s="229" t="s">
        <v>330</v>
      </c>
      <c r="R63" s="403"/>
      <c r="S63" s="403"/>
      <c r="T63" s="403"/>
      <c r="U63" s="229" t="s">
        <v>330</v>
      </c>
      <c r="V63" s="229" t="s">
        <v>330</v>
      </c>
      <c r="W63" s="229" t="s">
        <v>330</v>
      </c>
      <c r="X63" s="229" t="s">
        <v>330</v>
      </c>
      <c r="Y63" s="229" t="s">
        <v>330</v>
      </c>
      <c r="Z63" s="229" t="s">
        <v>330</v>
      </c>
      <c r="AA63" s="229" t="s">
        <v>330</v>
      </c>
      <c r="AB63" s="229" t="s">
        <v>330</v>
      </c>
      <c r="AC63" s="229" t="s">
        <v>330</v>
      </c>
      <c r="AD63" s="229" t="s">
        <v>330</v>
      </c>
      <c r="AE63" s="229" t="s">
        <v>330</v>
      </c>
      <c r="AF63" s="229" t="s">
        <v>330</v>
      </c>
      <c r="AG63" s="229" t="s">
        <v>330</v>
      </c>
      <c r="AH63" s="229" t="s">
        <v>330</v>
      </c>
      <c r="AI63" s="229" t="s">
        <v>330</v>
      </c>
      <c r="AJ63" s="229" t="s">
        <v>330</v>
      </c>
      <c r="AK63" s="13">
        <f>'Loan Portfolio IAS 39'!E104</f>
        <v>8.3491582837271497E-2</v>
      </c>
      <c r="AL63" s="13">
        <f>'Loan Portfolio IAS 39'!F104</f>
        <v>7.9341456833090199E-2</v>
      </c>
      <c r="AM63" s="13">
        <f>'Loan Portfolio IAS 39'!G104</f>
        <v>7.5636951199147609E-2</v>
      </c>
      <c r="AN63" s="13">
        <f>'Loan Portfolio IAS 39'!H104</f>
        <v>8.5566475430876199E-2</v>
      </c>
      <c r="AO63" s="13">
        <f>'Loan Portfolio IAS 39'!I104</f>
        <v>9.1755013452465145E-2</v>
      </c>
      <c r="AP63" s="13">
        <f>'Loan Portfolio IAS 39'!J104</f>
        <v>9.2005935733012731E-2</v>
      </c>
      <c r="AQ63" s="13">
        <f>'Loan Portfolio IAS 39'!K104</f>
        <v>8.7713163644463979E-2</v>
      </c>
      <c r="AR63" s="13">
        <f>'Loan Portfolio IAS 39'!L104</f>
        <v>7.0209015337358877E-2</v>
      </c>
      <c r="AS63" s="13">
        <f>'Loan Portfolio IAS 39'!M104</f>
        <v>6.5874263242884826E-2</v>
      </c>
      <c r="AT63" s="13">
        <f>'Loan Portfolio IAS 39'!N104</f>
        <v>6.4864574475660811E-2</v>
      </c>
      <c r="AU63" s="13">
        <f>'Loan Portfolio IAS 39'!O104</f>
        <v>5.2935661337490482E-2</v>
      </c>
      <c r="AV63" s="13">
        <f>'Loan Portfolio IAS 39'!P104</f>
        <v>7.0592715610390017E-2</v>
      </c>
      <c r="AW63" s="13">
        <f>'Loan Portfolio IAS 39'!Q104</f>
        <v>5.4071270742024315E-2</v>
      </c>
      <c r="AX63" s="13">
        <f>'Loan Portfolio IAS 39'!R104</f>
        <v>4.9343061699626142E-2</v>
      </c>
      <c r="AY63" s="13">
        <f>'Loan Portfolio IAS 39'!S104</f>
        <v>4.4552359731700124E-2</v>
      </c>
      <c r="AZ63" s="13">
        <f>'Loan Portfolio IAS 39'!T104</f>
        <v>5.7160253698905095E-2</v>
      </c>
      <c r="BA63" s="13">
        <f>'Loan Portfolio IAS 39'!U104</f>
        <v>5.6925889138457066E-2</v>
      </c>
      <c r="BB63" s="13">
        <f>'Loan Portfolio IAS 39'!V104</f>
        <v>5.9986021449719568E-2</v>
      </c>
      <c r="BC63" s="13">
        <f>'Loan Portfolio IAS 39'!W104</f>
        <v>8.7432550008532103E-2</v>
      </c>
      <c r="BD63" s="13">
        <f>'Loan Portfolio IAS 39'!X104</f>
        <v>8.483889327509081E-2</v>
      </c>
      <c r="BE63" s="13">
        <f>'Loan Portfolio IAS 39'!Y104</f>
        <v>8.4042659836243816E-2</v>
      </c>
      <c r="BF63" s="13">
        <f>'Loan Portfolio IAS 39'!Z104</f>
        <v>7.9072178413760824E-2</v>
      </c>
      <c r="BG63" s="13">
        <f>'Loan Portfolio IAS 39'!AA104</f>
        <v>7.9055921000201063E-2</v>
      </c>
      <c r="BH63" s="13">
        <f>'Loan Portfolio IAS 39'!AB104</f>
        <v>8.3515274774501991E-2</v>
      </c>
      <c r="BI63" s="13">
        <f>'Loan Portfolio IAS 39'!AC104</f>
        <v>6.6159006532212059E-2</v>
      </c>
      <c r="BJ63" s="13">
        <f>'Loan Portfolio IAS 39'!AD104</f>
        <v>6.818781442106471E-2</v>
      </c>
      <c r="BK63" s="13">
        <f>'Loan Portfolio IAS 39'!AE104</f>
        <v>6.1909881661137534E-2</v>
      </c>
      <c r="BL63" s="13">
        <f>'Loan Portfolio IAS 39'!AF104</f>
        <v>6.2525600209159801E-2</v>
      </c>
      <c r="BM63" s="13">
        <f>'Loan Portfolio IAS 39'!AG104</f>
        <v>5.8801850527950013E-2</v>
      </c>
      <c r="BN63" s="13">
        <f>'Loan Portfolio IAS 39'!AH104</f>
        <v>5.9256317149064958E-2</v>
      </c>
      <c r="BO63" s="13">
        <f>'Loan Portfolio IAS 39'!AI104</f>
        <v>6.8696486073406282E-2</v>
      </c>
      <c r="BP63" s="13">
        <f>'Loan Portfolio IAS 39'!AJ104</f>
        <v>6.3399461821150999E-2</v>
      </c>
      <c r="BQ63" s="13">
        <f>'Loan Portfolio IAS 39'!AK104</f>
        <v>7.1355632006864705E-2</v>
      </c>
    </row>
    <row r="64" spans="1:69" x14ac:dyDescent="0.25">
      <c r="A64" s="324">
        <v>64</v>
      </c>
      <c r="B64" s="5" t="s">
        <v>176</v>
      </c>
      <c r="C64" s="229" t="s">
        <v>330</v>
      </c>
      <c r="D64" s="229" t="s">
        <v>330</v>
      </c>
      <c r="E64" s="229" t="s">
        <v>330</v>
      </c>
      <c r="F64" s="229" t="s">
        <v>330</v>
      </c>
      <c r="G64" s="229" t="s">
        <v>330</v>
      </c>
      <c r="H64" s="229" t="s">
        <v>330</v>
      </c>
      <c r="I64" s="229" t="s">
        <v>330</v>
      </c>
      <c r="J64" s="229" t="s">
        <v>330</v>
      </c>
      <c r="K64" s="229" t="s">
        <v>330</v>
      </c>
      <c r="L64" s="229" t="s">
        <v>330</v>
      </c>
      <c r="M64" s="229" t="s">
        <v>330</v>
      </c>
      <c r="N64" s="229" t="s">
        <v>330</v>
      </c>
      <c r="O64" s="229" t="s">
        <v>330</v>
      </c>
      <c r="P64" s="229" t="s">
        <v>330</v>
      </c>
      <c r="Q64" s="229" t="s">
        <v>330</v>
      </c>
      <c r="R64" s="403"/>
      <c r="S64" s="403"/>
      <c r="T64" s="403"/>
      <c r="U64" s="229" t="s">
        <v>330</v>
      </c>
      <c r="V64" s="229" t="s">
        <v>330</v>
      </c>
      <c r="W64" s="229" t="s">
        <v>330</v>
      </c>
      <c r="X64" s="229" t="s">
        <v>330</v>
      </c>
      <c r="Y64" s="229" t="s">
        <v>330</v>
      </c>
      <c r="Z64" s="229" t="s">
        <v>330</v>
      </c>
      <c r="AA64" s="229" t="s">
        <v>330</v>
      </c>
      <c r="AB64" s="229" t="s">
        <v>330</v>
      </c>
      <c r="AC64" s="229" t="s">
        <v>330</v>
      </c>
      <c r="AD64" s="229" t="s">
        <v>330</v>
      </c>
      <c r="AE64" s="229" t="s">
        <v>330</v>
      </c>
      <c r="AF64" s="229" t="s">
        <v>330</v>
      </c>
      <c r="AG64" s="229" t="s">
        <v>330</v>
      </c>
      <c r="AH64" s="229" t="s">
        <v>330</v>
      </c>
      <c r="AI64" s="229" t="s">
        <v>330</v>
      </c>
      <c r="AJ64" s="229" t="s">
        <v>330</v>
      </c>
      <c r="AK64" s="13">
        <f>'Loan Portfolio IAS 39'!E105</f>
        <v>5.9145497351737922E-2</v>
      </c>
      <c r="AL64" s="13">
        <f>'Loan Portfolio IAS 39'!F105</f>
        <v>7.6700451131074793E-2</v>
      </c>
      <c r="AM64" s="13">
        <f>'Loan Portfolio IAS 39'!G105</f>
        <v>7.8338835275735541E-2</v>
      </c>
      <c r="AN64" s="13">
        <f>'Loan Portfolio IAS 39'!H105</f>
        <v>7.0856787848250752E-2</v>
      </c>
      <c r="AO64" s="13">
        <f>'Loan Portfolio IAS 39'!I105</f>
        <v>6.0334716616273834E-2</v>
      </c>
      <c r="AP64" s="13">
        <f>'Loan Portfolio IAS 39'!J105</f>
        <v>7.1615844833972986E-2</v>
      </c>
      <c r="AQ64" s="13">
        <f>'Loan Portfolio IAS 39'!K105</f>
        <v>6.4848222791978355E-2</v>
      </c>
      <c r="AR64" s="13">
        <f>'Loan Portfolio IAS 39'!L105</f>
        <v>6.4136813407131135E-2</v>
      </c>
      <c r="AS64" s="13">
        <f>'Loan Portfolio IAS 39'!M105</f>
        <v>5.8564356607181685E-2</v>
      </c>
      <c r="AT64" s="13">
        <f>'Loan Portfolio IAS 39'!N105</f>
        <v>4.8503230315424271E-2</v>
      </c>
      <c r="AU64" s="13">
        <f>'Loan Portfolio IAS 39'!O105</f>
        <v>4.5825680011098796E-2</v>
      </c>
      <c r="AV64" s="13">
        <f>'Loan Portfolio IAS 39'!P105</f>
        <v>4.1035120387591578E-2</v>
      </c>
      <c r="AW64" s="13">
        <f>'Loan Portfolio IAS 39'!Q105</f>
        <v>4.5503836744980118E-2</v>
      </c>
      <c r="AX64" s="13">
        <f>'Loan Portfolio IAS 39'!R105</f>
        <v>4.6564865041319174E-2</v>
      </c>
      <c r="AY64" s="13">
        <f>'Loan Portfolio IAS 39'!S105</f>
        <v>5.4938272172405114E-2</v>
      </c>
      <c r="AZ64" s="13">
        <f>'Loan Portfolio IAS 39'!T105</f>
        <v>6.4035736415938072E-2</v>
      </c>
      <c r="BA64" s="13">
        <f>'Loan Portfolio IAS 39'!U105</f>
        <v>7.1671605798470317E-2</v>
      </c>
      <c r="BB64" s="13">
        <f>'Loan Portfolio IAS 39'!V105</f>
        <v>6.3994858330856885E-2</v>
      </c>
      <c r="BC64" s="13">
        <f>'Loan Portfolio IAS 39'!W105</f>
        <v>4.9442612702703365E-2</v>
      </c>
      <c r="BD64" s="13">
        <f>'Loan Portfolio IAS 39'!X105</f>
        <v>5.3895072768865029E-2</v>
      </c>
      <c r="BE64" s="13">
        <f>'Loan Portfolio IAS 39'!Y105</f>
        <v>5.1589253538625188E-2</v>
      </c>
      <c r="BF64" s="13">
        <f>'Loan Portfolio IAS 39'!Z105</f>
        <v>5.1999042208316984E-2</v>
      </c>
      <c r="BG64" s="13">
        <f>'Loan Portfolio IAS 39'!AA105</f>
        <v>5.3208002398452858E-2</v>
      </c>
      <c r="BH64" s="13">
        <f>'Loan Portfolio IAS 39'!AB105</f>
        <v>5.9727611478723137E-2</v>
      </c>
      <c r="BI64" s="13">
        <f>'Loan Portfolio IAS 39'!AC105</f>
        <v>5.7090174460277247E-2</v>
      </c>
      <c r="BJ64" s="13">
        <f>'Loan Portfolio IAS 39'!AD105</f>
        <v>4.5609282969995363E-2</v>
      </c>
      <c r="BK64" s="13">
        <f>'Loan Portfolio IAS 39'!AE105</f>
        <v>4.6163107887611937E-2</v>
      </c>
      <c r="BL64" s="13">
        <f>'Loan Portfolio IAS 39'!AF105</f>
        <v>5.1961063917336903E-2</v>
      </c>
      <c r="BM64" s="13">
        <f>'Loan Portfolio IAS 39'!AG105</f>
        <v>5.0798811027391796E-2</v>
      </c>
      <c r="BN64" s="13">
        <f>'Loan Portfolio IAS 39'!AH105</f>
        <v>5.8235938504165162E-2</v>
      </c>
      <c r="BO64" s="13">
        <f>'Loan Portfolio IAS 39'!AI105</f>
        <v>7.1365942181860625E-2</v>
      </c>
      <c r="BP64" s="13">
        <f>'Loan Portfolio IAS 39'!AJ105</f>
        <v>8.5656695617988429E-2</v>
      </c>
      <c r="BQ64" s="13">
        <f>'Loan Portfolio IAS 39'!AK105</f>
        <v>7.3576856942650648E-2</v>
      </c>
    </row>
    <row r="65" spans="1:69" x14ac:dyDescent="0.25">
      <c r="A65" s="74">
        <v>65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R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</row>
    <row r="66" spans="1:69" x14ac:dyDescent="0.25">
      <c r="A66" s="74">
        <v>66</v>
      </c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</row>
    <row r="67" spans="1:69" x14ac:dyDescent="0.25">
      <c r="A67" s="324">
        <v>67</v>
      </c>
      <c r="BF67" s="9"/>
      <c r="BG67" s="9"/>
      <c r="BH67" s="9"/>
      <c r="BI67" s="9"/>
      <c r="BJ67" s="9"/>
    </row>
    <row r="68" spans="1:69" ht="15" customHeight="1" x14ac:dyDescent="0.25">
      <c r="A68" s="74">
        <v>68</v>
      </c>
      <c r="B68" s="453" t="s">
        <v>417</v>
      </c>
      <c r="C68" s="446">
        <v>46203</v>
      </c>
      <c r="D68" s="446">
        <v>46112</v>
      </c>
      <c r="E68" s="446">
        <v>46022</v>
      </c>
      <c r="F68" s="446">
        <v>45930</v>
      </c>
      <c r="G68" s="446">
        <v>45838</v>
      </c>
      <c r="H68" s="446">
        <v>45747</v>
      </c>
      <c r="I68" s="446">
        <v>45657</v>
      </c>
      <c r="J68" s="446">
        <v>45565</v>
      </c>
      <c r="K68" s="446">
        <v>45473</v>
      </c>
      <c r="L68" s="446">
        <v>45382</v>
      </c>
      <c r="M68" s="446">
        <v>45291</v>
      </c>
      <c r="N68" s="446">
        <v>45199</v>
      </c>
      <c r="O68" s="446">
        <v>45107</v>
      </c>
      <c r="P68" s="446">
        <v>45016</v>
      </c>
      <c r="Q68" s="446">
        <v>44926</v>
      </c>
      <c r="R68" s="446">
        <v>44834</v>
      </c>
      <c r="S68" s="446">
        <v>44742</v>
      </c>
      <c r="T68" s="446">
        <v>44651</v>
      </c>
      <c r="U68" s="446">
        <v>44561</v>
      </c>
      <c r="V68" s="446">
        <v>44469</v>
      </c>
      <c r="W68" s="446">
        <v>44377</v>
      </c>
      <c r="X68" s="446">
        <v>44286</v>
      </c>
      <c r="Y68" s="446">
        <v>44196</v>
      </c>
      <c r="Z68" s="446">
        <v>44104</v>
      </c>
      <c r="AA68" s="446">
        <v>44012</v>
      </c>
      <c r="AB68" s="446">
        <v>43921</v>
      </c>
      <c r="AC68" s="446">
        <v>43830</v>
      </c>
      <c r="AD68" s="446">
        <v>43738</v>
      </c>
      <c r="AE68" s="446">
        <v>43646</v>
      </c>
      <c r="AF68" s="446">
        <v>43555</v>
      </c>
      <c r="AG68" s="446">
        <v>43465</v>
      </c>
      <c r="AH68" s="446">
        <v>43373</v>
      </c>
      <c r="AI68" s="446">
        <v>43281</v>
      </c>
      <c r="AJ68" s="446">
        <v>43190</v>
      </c>
      <c r="AK68" s="446">
        <v>43100</v>
      </c>
      <c r="AL68" s="446">
        <v>43008</v>
      </c>
      <c r="AM68" s="446">
        <v>42916</v>
      </c>
      <c r="AN68" s="446">
        <v>42825</v>
      </c>
      <c r="AO68" s="446">
        <v>42735</v>
      </c>
      <c r="AP68" s="446">
        <v>42643</v>
      </c>
      <c r="AQ68" s="446">
        <v>42551</v>
      </c>
      <c r="AR68" s="446">
        <v>42460</v>
      </c>
      <c r="AS68" s="446">
        <v>42369</v>
      </c>
      <c r="AT68" s="446">
        <v>42277</v>
      </c>
      <c r="AU68" s="446">
        <v>42185</v>
      </c>
      <c r="AV68" s="446">
        <v>42094</v>
      </c>
      <c r="AW68" s="446">
        <v>42004</v>
      </c>
      <c r="AX68" s="446">
        <v>41912</v>
      </c>
      <c r="AY68" s="446">
        <v>41820</v>
      </c>
      <c r="AZ68" s="446">
        <v>41729</v>
      </c>
      <c r="BA68" s="446">
        <v>41639</v>
      </c>
      <c r="BB68" s="446">
        <v>41547</v>
      </c>
      <c r="BC68" s="446">
        <v>41455</v>
      </c>
      <c r="BD68" s="446">
        <v>41364</v>
      </c>
      <c r="BE68" s="446">
        <v>41274</v>
      </c>
      <c r="BF68" s="446">
        <v>41182</v>
      </c>
      <c r="BG68" s="446">
        <v>41090</v>
      </c>
      <c r="BH68" s="446">
        <v>40999</v>
      </c>
      <c r="BI68" s="446">
        <v>40908</v>
      </c>
      <c r="BJ68" s="446">
        <v>40816</v>
      </c>
      <c r="BK68" s="446">
        <v>40724</v>
      </c>
      <c r="BL68" s="446">
        <v>40633</v>
      </c>
      <c r="BM68" s="446">
        <v>40543</v>
      </c>
      <c r="BN68" s="446">
        <v>40451</v>
      </c>
      <c r="BO68" s="446">
        <v>40359</v>
      </c>
      <c r="BP68" s="446">
        <v>40268</v>
      </c>
      <c r="BQ68" s="446">
        <v>40178</v>
      </c>
    </row>
    <row r="69" spans="1:69" ht="15" customHeight="1" x14ac:dyDescent="0.25">
      <c r="A69" s="74">
        <v>69</v>
      </c>
      <c r="B69" s="454"/>
      <c r="C69" s="447"/>
      <c r="D69" s="447"/>
      <c r="E69" s="447"/>
      <c r="F69" s="447"/>
      <c r="G69" s="447"/>
      <c r="H69" s="447"/>
      <c r="I69" s="447"/>
      <c r="J69" s="447"/>
      <c r="K69" s="447"/>
      <c r="L69" s="447"/>
      <c r="M69" s="447"/>
      <c r="N69" s="447"/>
      <c r="O69" s="447"/>
      <c r="P69" s="447"/>
      <c r="Q69" s="447"/>
      <c r="R69" s="448"/>
      <c r="S69" s="448"/>
      <c r="T69" s="448"/>
      <c r="U69" s="447"/>
      <c r="V69" s="447"/>
      <c r="W69" s="448"/>
      <c r="X69" s="448"/>
      <c r="Y69" s="448"/>
      <c r="Z69" s="448"/>
      <c r="AA69" s="448"/>
      <c r="AB69" s="448"/>
      <c r="AC69" s="448"/>
      <c r="AD69" s="448"/>
      <c r="AE69" s="448"/>
      <c r="AF69" s="448"/>
      <c r="AG69" s="448"/>
      <c r="AH69" s="448"/>
      <c r="AI69" s="448"/>
      <c r="AJ69" s="448"/>
      <c r="AK69" s="448"/>
      <c r="AL69" s="448"/>
      <c r="AM69" s="448"/>
      <c r="AN69" s="448"/>
      <c r="AO69" s="448"/>
      <c r="AP69" s="448"/>
      <c r="AQ69" s="448"/>
      <c r="AR69" s="448"/>
      <c r="AS69" s="448"/>
      <c r="AT69" s="448"/>
      <c r="AU69" s="448"/>
      <c r="AV69" s="448"/>
      <c r="AW69" s="448"/>
      <c r="AX69" s="448"/>
      <c r="AY69" s="448"/>
      <c r="AZ69" s="448"/>
      <c r="BA69" s="448"/>
      <c r="BB69" s="448"/>
      <c r="BC69" s="448"/>
      <c r="BD69" s="448"/>
      <c r="BE69" s="448"/>
      <c r="BF69" s="448"/>
      <c r="BG69" s="448"/>
      <c r="BH69" s="448"/>
      <c r="BI69" s="448"/>
      <c r="BJ69" s="448"/>
      <c r="BK69" s="448"/>
      <c r="BL69" s="448"/>
      <c r="BM69" s="448"/>
      <c r="BN69" s="448"/>
      <c r="BO69" s="448"/>
      <c r="BP69" s="448"/>
      <c r="BQ69" s="448"/>
    </row>
    <row r="70" spans="1:69" ht="9.75" customHeight="1" x14ac:dyDescent="0.25">
      <c r="A70" s="324">
        <v>70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R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69" x14ac:dyDescent="0.25">
      <c r="A71" s="74">
        <v>71</v>
      </c>
      <c r="B71" s="12" t="s">
        <v>234</v>
      </c>
      <c r="C71" s="10">
        <f>Capital!F41</f>
        <v>0.17294999999999999</v>
      </c>
      <c r="D71" s="10">
        <f>Capital!G41</f>
        <v>0.19663</v>
      </c>
      <c r="E71" s="10">
        <f>Capital!H41</f>
        <v>0.19722999999999999</v>
      </c>
      <c r="F71" s="10">
        <f>Capital!I41</f>
        <v>0.17288000000000001</v>
      </c>
      <c r="G71" s="10">
        <f>Capital!J41</f>
        <v>0.16653000000000001</v>
      </c>
      <c r="H71" s="10">
        <f>Capital!K41</f>
        <v>0.19528999999999999</v>
      </c>
      <c r="I71" s="10">
        <f>Capital!L41</f>
        <v>0.20444999999999999</v>
      </c>
      <c r="J71" s="10">
        <f>Capital!M41</f>
        <v>0.17016000000000001</v>
      </c>
      <c r="K71" s="10">
        <f>Capital!N41</f>
        <v>0.17011999999999999</v>
      </c>
      <c r="L71" s="10">
        <f>Capital!O41</f>
        <v>0.18346999999999999</v>
      </c>
      <c r="M71" s="10">
        <f>Capital!P41</f>
        <v>0.1862</v>
      </c>
      <c r="N71" s="10">
        <f>Capital!Q41</f>
        <v>0.15347</v>
      </c>
      <c r="O71" s="10">
        <f>Capital!R41</f>
        <v>0.16683000000000001</v>
      </c>
      <c r="P71" s="10">
        <f>Capital!S41</f>
        <v>0.17341999999999999</v>
      </c>
      <c r="Q71" s="10">
        <f>Capital!T41</f>
        <v>0.18129999999999999</v>
      </c>
      <c r="R71" s="402"/>
      <c r="S71" s="402"/>
      <c r="T71" s="402"/>
      <c r="U71" s="10">
        <f>Capital!X41</f>
        <v>0.1115</v>
      </c>
      <c r="V71" s="10">
        <f>Capital!Y41</f>
        <v>0.10237</v>
      </c>
      <c r="W71" s="10">
        <f>Capital!Z41</f>
        <v>9.8000000000000004E-2</v>
      </c>
      <c r="X71" s="10">
        <f>Capital!AA41</f>
        <v>0.10204000000000001</v>
      </c>
      <c r="Y71" s="10">
        <f>Capital!AB41</f>
        <v>0.10600999999999999</v>
      </c>
      <c r="Z71" s="10">
        <f>Capital!AC41</f>
        <v>9.783E-2</v>
      </c>
      <c r="AA71" s="10">
        <f>Capital!AD41</f>
        <v>0.10780000000000001</v>
      </c>
      <c r="AB71" s="10">
        <f>Capital!AE41</f>
        <v>0.10403999999999999</v>
      </c>
      <c r="AC71" s="10">
        <f>Capital!AF41</f>
        <v>0.11508</v>
      </c>
      <c r="AD71" s="10">
        <f>Capital!AG41</f>
        <v>9.9709999999999993E-2</v>
      </c>
      <c r="AE71" s="10">
        <f>Capital!AH41</f>
        <v>0.10373</v>
      </c>
      <c r="AF71" s="10">
        <f>Capital!AI41</f>
        <v>0.10425</v>
      </c>
      <c r="AG71" s="10">
        <f>Capital!AJ41</f>
        <v>0.10100000000000001</v>
      </c>
      <c r="AH71" s="10">
        <f>Capital!AK41</f>
        <v>9.2740000000000003E-2</v>
      </c>
      <c r="AI71" s="10">
        <f>Capital!AL41</f>
        <v>0.10226</v>
      </c>
      <c r="AJ71" s="10">
        <f>Capital!AM41</f>
        <v>0.10781</v>
      </c>
      <c r="AK71" s="10">
        <f>Capital!AN41</f>
        <v>0.10050000000000001</v>
      </c>
      <c r="AL71" s="10">
        <f>Capital!AO41</f>
        <v>0.10287</v>
      </c>
      <c r="AM71" s="10">
        <f>Capital!AP41</f>
        <v>8.9499999999999996E-2</v>
      </c>
      <c r="AN71" s="10">
        <f>Capital!AQ41</f>
        <v>8.9899999999999994E-2</v>
      </c>
      <c r="AO71" s="10">
        <f>Capital!AR41</f>
        <v>9.1999999999999998E-2</v>
      </c>
      <c r="AP71" s="10">
        <f>Capital!AS41</f>
        <v>8.7800000000000003E-2</v>
      </c>
      <c r="AQ71" s="10">
        <f>Capital!AT41</f>
        <v>8.7599999999999997E-2</v>
      </c>
      <c r="AR71" s="10">
        <f>Capital!AU41</f>
        <v>8.8800000000000004E-2</v>
      </c>
      <c r="AS71" s="10">
        <f>Capital!AV41</f>
        <v>8.7999999999999995E-2</v>
      </c>
      <c r="AT71" s="10">
        <f>Capital!AW41</f>
        <v>8.4199999999999997E-2</v>
      </c>
      <c r="AU71" s="10">
        <f>Capital!AX41</f>
        <v>9.4799999999999995E-2</v>
      </c>
      <c r="AV71" s="10">
        <f>Capital!AY41</f>
        <v>9.5000000000000001E-2</v>
      </c>
      <c r="AW71" s="10">
        <f>Capital!AZ41</f>
        <v>0.08</v>
      </c>
      <c r="AX71" s="10">
        <f>Capital!BA41</f>
        <v>9.0899999999999995E-2</v>
      </c>
      <c r="AY71" s="10">
        <f>Capital!BB41</f>
        <v>9.2399999999999996E-2</v>
      </c>
      <c r="AZ71" s="10">
        <f>Capital!BC41</f>
        <v>9.1300000000000006E-2</v>
      </c>
      <c r="BA71" s="10">
        <f>Capital!BD41</f>
        <v>8.3000000000000004E-2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</row>
    <row r="72" spans="1:69" x14ac:dyDescent="0.25">
      <c r="A72" s="74">
        <v>72</v>
      </c>
      <c r="B72" s="5" t="s">
        <v>232</v>
      </c>
      <c r="C72" s="10">
        <f>Capital!F42</f>
        <v>0.19258</v>
      </c>
      <c r="D72" s="10">
        <f>Capital!G42</f>
        <v>0.21964</v>
      </c>
      <c r="E72" s="10">
        <f>Capital!H42</f>
        <v>0.20899000000000001</v>
      </c>
      <c r="F72" s="10">
        <f>Capital!I42</f>
        <v>0.21456</v>
      </c>
      <c r="G72" s="10">
        <f>Capital!J42</f>
        <v>0.19813</v>
      </c>
      <c r="H72" s="10">
        <f>Capital!K42</f>
        <v>0.22236</v>
      </c>
      <c r="I72" s="10">
        <f>Capital!L42</f>
        <v>0.21844</v>
      </c>
      <c r="J72" s="10">
        <f>Capital!M42</f>
        <v>0.22486</v>
      </c>
      <c r="K72" s="10">
        <f>Capital!N42</f>
        <v>0.20901</v>
      </c>
      <c r="L72" s="10">
        <f>Capital!O42</f>
        <v>0.21228</v>
      </c>
      <c r="M72" s="10">
        <f>Capital!P42</f>
        <v>0.2031</v>
      </c>
      <c r="N72" s="10">
        <f>Capital!Q42</f>
        <v>0.22208</v>
      </c>
      <c r="O72" s="10">
        <f>Capital!R42</f>
        <v>0.22583</v>
      </c>
      <c r="P72" s="10">
        <f>Capital!S42</f>
        <v>0.21770999999999999</v>
      </c>
      <c r="Q72" s="10">
        <f>Capital!T42</f>
        <v>0.20300000000000001</v>
      </c>
      <c r="R72" s="402"/>
      <c r="S72" s="402"/>
      <c r="T72" s="402"/>
      <c r="U72" s="10">
        <f>Capital!X42</f>
        <v>0.1346</v>
      </c>
      <c r="V72" s="10">
        <f>Capital!Y42</f>
        <v>0.13153000000000001</v>
      </c>
      <c r="W72" s="10">
        <f>Capital!Z42</f>
        <v>0.13150000000000001</v>
      </c>
      <c r="X72" s="10">
        <f>Capital!AA42</f>
        <v>0.13195999999999999</v>
      </c>
      <c r="Y72" s="10">
        <f>Capital!AB42</f>
        <v>0.13325999999999999</v>
      </c>
      <c r="Z72" s="10">
        <f>Capital!AC42</f>
        <v>0.13095000000000001</v>
      </c>
      <c r="AA72" s="10">
        <f>Capital!AD42</f>
        <v>0.14757999999999999</v>
      </c>
      <c r="AB72" s="10">
        <f>Capital!AE42</f>
        <v>0.13546</v>
      </c>
      <c r="AC72" s="10">
        <f>Capital!AF42</f>
        <v>0.14762</v>
      </c>
      <c r="AD72" s="10">
        <f>Capital!AG42</f>
        <v>0.14612</v>
      </c>
      <c r="AE72" s="10">
        <f>Capital!AH42</f>
        <v>0.14752999999999999</v>
      </c>
      <c r="AF72" s="10">
        <f>Capital!AI42</f>
        <v>0.14532999999999999</v>
      </c>
      <c r="AG72" s="10">
        <f>Capital!AJ42</f>
        <v>0.13669999999999999</v>
      </c>
      <c r="AH72" s="10">
        <f>Capital!AK42</f>
        <v>0.13444</v>
      </c>
      <c r="AI72" s="10">
        <f>Capital!AL42</f>
        <v>0.1472</v>
      </c>
      <c r="AJ72" s="10">
        <f>Capital!AM42</f>
        <v>0.15259</v>
      </c>
      <c r="AK72" s="10">
        <f>Capital!AN42</f>
        <v>0.14199999999999999</v>
      </c>
      <c r="AL72" s="10">
        <f>Capital!AO42</f>
        <v>0.14554</v>
      </c>
      <c r="AM72" s="10">
        <f>Capital!AP42</f>
        <v>0.13900000000000001</v>
      </c>
      <c r="AN72" s="10">
        <f>Capital!AQ42</f>
        <v>0.1351</v>
      </c>
      <c r="AO72" s="10">
        <f>Capital!AR42</f>
        <v>0.14199999999999999</v>
      </c>
      <c r="AP72" s="10">
        <f>Capital!AS42</f>
        <v>0.1429</v>
      </c>
      <c r="AQ72" s="10">
        <f>Capital!AT42</f>
        <v>0.1434</v>
      </c>
      <c r="AR72" s="10">
        <f>Capital!AU42</f>
        <v>0.14779999999999999</v>
      </c>
      <c r="AS72" s="10">
        <f>Capital!AV42</f>
        <v>0.15</v>
      </c>
      <c r="AT72" s="10">
        <f>Capital!AW42</f>
        <v>0.14760000000000001</v>
      </c>
      <c r="AU72" s="10">
        <f>Capital!AX42</f>
        <v>0.13150000000000001</v>
      </c>
      <c r="AV72" s="10">
        <f>Capital!AY42</f>
        <v>0.13270000000000001</v>
      </c>
      <c r="AW72" s="10">
        <f>Capital!AZ42</f>
        <v>0.129</v>
      </c>
      <c r="AX72" s="10">
        <f>Capital!BA42</f>
        <v>0.1326</v>
      </c>
      <c r="AY72" s="10">
        <f>Capital!BB42</f>
        <v>0.13089999999999999</v>
      </c>
      <c r="AZ72" s="10">
        <f>Capital!BC42</f>
        <v>0.1285</v>
      </c>
      <c r="BA72" s="10">
        <f>Capital!BD42</f>
        <v>0.13100000000000001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</row>
    <row r="73" spans="1:69" x14ac:dyDescent="0.25">
      <c r="A73" s="324">
        <v>73</v>
      </c>
    </row>
    <row r="74" spans="1:69" x14ac:dyDescent="0.25">
      <c r="A74" s="74">
        <v>74</v>
      </c>
    </row>
    <row r="75" spans="1:69" x14ac:dyDescent="0.25">
      <c r="A75" s="74">
        <v>75</v>
      </c>
    </row>
    <row r="76" spans="1:69" ht="15" customHeight="1" x14ac:dyDescent="0.25">
      <c r="A76" s="324">
        <v>76</v>
      </c>
      <c r="B76" s="453" t="s">
        <v>18</v>
      </c>
      <c r="C76" s="446">
        <v>46203</v>
      </c>
      <c r="D76" s="446">
        <v>46112</v>
      </c>
      <c r="E76" s="446">
        <v>46022</v>
      </c>
      <c r="F76" s="446">
        <v>45930</v>
      </c>
      <c r="G76" s="446">
        <v>45838</v>
      </c>
      <c r="H76" s="446">
        <v>45747</v>
      </c>
      <c r="I76" s="446">
        <v>45657</v>
      </c>
      <c r="J76" s="446">
        <v>45565</v>
      </c>
      <c r="K76" s="446">
        <v>45473</v>
      </c>
      <c r="L76" s="446">
        <v>45382</v>
      </c>
      <c r="M76" s="446">
        <v>45291</v>
      </c>
      <c r="N76" s="446">
        <v>45199</v>
      </c>
      <c r="O76" s="446">
        <v>45107</v>
      </c>
      <c r="P76" s="446">
        <v>45016</v>
      </c>
      <c r="Q76" s="446">
        <v>44926</v>
      </c>
      <c r="R76" s="446">
        <v>44834</v>
      </c>
      <c r="S76" s="446">
        <v>44742</v>
      </c>
      <c r="T76" s="446">
        <v>44651</v>
      </c>
      <c r="U76" s="446">
        <v>44561</v>
      </c>
      <c r="V76" s="446">
        <v>44469</v>
      </c>
      <c r="W76" s="446">
        <v>44377</v>
      </c>
      <c r="X76" s="446">
        <v>44286</v>
      </c>
      <c r="Y76" s="446">
        <v>44196</v>
      </c>
      <c r="Z76" s="446">
        <v>44104</v>
      </c>
      <c r="AA76" s="446">
        <v>44012</v>
      </c>
      <c r="AB76" s="446">
        <v>43921</v>
      </c>
      <c r="AC76" s="446">
        <v>43830</v>
      </c>
      <c r="AD76" s="446">
        <v>43738</v>
      </c>
      <c r="AE76" s="446">
        <v>43646</v>
      </c>
      <c r="AF76" s="446">
        <v>43555</v>
      </c>
      <c r="AG76" s="446">
        <v>43465</v>
      </c>
      <c r="AH76" s="446">
        <v>43373</v>
      </c>
      <c r="AI76" s="446">
        <v>43281</v>
      </c>
      <c r="AJ76" s="446">
        <v>43190</v>
      </c>
      <c r="AK76" s="446">
        <v>43100</v>
      </c>
      <c r="AL76" s="446">
        <v>43008</v>
      </c>
      <c r="AM76" s="446">
        <v>42916</v>
      </c>
      <c r="AN76" s="446">
        <v>42825</v>
      </c>
      <c r="AO76" s="446">
        <v>42735</v>
      </c>
      <c r="AP76" s="446">
        <v>42643</v>
      </c>
      <c r="AQ76" s="446">
        <v>42551</v>
      </c>
      <c r="AR76" s="446">
        <v>42460</v>
      </c>
      <c r="AS76" s="446">
        <v>42369</v>
      </c>
      <c r="AT76" s="446">
        <v>42277</v>
      </c>
      <c r="AU76" s="446">
        <v>42185</v>
      </c>
      <c r="AV76" s="446">
        <v>42094</v>
      </c>
      <c r="AW76" s="446">
        <v>42004</v>
      </c>
      <c r="AX76" s="446">
        <v>41912</v>
      </c>
      <c r="AY76" s="446">
        <v>41820</v>
      </c>
      <c r="AZ76" s="446">
        <v>41729</v>
      </c>
      <c r="BA76" s="446">
        <v>41639</v>
      </c>
      <c r="BB76" s="446">
        <v>41547</v>
      </c>
      <c r="BC76" s="446">
        <v>41455</v>
      </c>
      <c r="BD76" s="446">
        <v>41364</v>
      </c>
      <c r="BE76" s="446">
        <v>41274</v>
      </c>
      <c r="BF76" s="446">
        <v>41182</v>
      </c>
      <c r="BG76" s="446">
        <v>41090</v>
      </c>
      <c r="BH76" s="446">
        <v>40999</v>
      </c>
      <c r="BI76" s="446">
        <v>40908</v>
      </c>
      <c r="BJ76" s="446">
        <v>40816</v>
      </c>
      <c r="BK76" s="446">
        <v>40724</v>
      </c>
      <c r="BL76" s="446">
        <v>40633</v>
      </c>
      <c r="BM76" s="446">
        <v>40543</v>
      </c>
      <c r="BN76" s="446">
        <v>40451</v>
      </c>
      <c r="BO76" s="446">
        <v>40359</v>
      </c>
      <c r="BP76" s="446">
        <v>40268</v>
      </c>
      <c r="BQ76" s="446">
        <v>40178</v>
      </c>
    </row>
    <row r="77" spans="1:69" ht="15" customHeight="1" x14ac:dyDescent="0.25">
      <c r="A77" s="74">
        <v>77</v>
      </c>
      <c r="B77" s="454"/>
      <c r="C77" s="447"/>
      <c r="D77" s="447"/>
      <c r="E77" s="447"/>
      <c r="F77" s="447"/>
      <c r="G77" s="447"/>
      <c r="H77" s="447"/>
      <c r="I77" s="447"/>
      <c r="J77" s="447"/>
      <c r="K77" s="447"/>
      <c r="L77" s="447"/>
      <c r="M77" s="447"/>
      <c r="N77" s="447"/>
      <c r="O77" s="447"/>
      <c r="P77" s="447"/>
      <c r="Q77" s="447"/>
      <c r="R77" s="448"/>
      <c r="S77" s="448"/>
      <c r="T77" s="448"/>
      <c r="U77" s="447"/>
      <c r="V77" s="447"/>
      <c r="W77" s="448"/>
      <c r="X77" s="448"/>
      <c r="Y77" s="448"/>
      <c r="Z77" s="448"/>
      <c r="AA77" s="448"/>
      <c r="AB77" s="448"/>
      <c r="AC77" s="448"/>
      <c r="AD77" s="448"/>
      <c r="AE77" s="448"/>
      <c r="AF77" s="448"/>
      <c r="AG77" s="448"/>
      <c r="AH77" s="448"/>
      <c r="AI77" s="448"/>
      <c r="AJ77" s="448"/>
      <c r="AK77" s="448"/>
      <c r="AL77" s="448"/>
      <c r="AM77" s="448"/>
      <c r="AN77" s="448"/>
      <c r="AO77" s="448"/>
      <c r="AP77" s="448"/>
      <c r="AQ77" s="448"/>
      <c r="AR77" s="448"/>
      <c r="AS77" s="448"/>
      <c r="AT77" s="448"/>
      <c r="AU77" s="448"/>
      <c r="AV77" s="448"/>
      <c r="AW77" s="448"/>
      <c r="AX77" s="448"/>
      <c r="AY77" s="448"/>
      <c r="AZ77" s="448"/>
      <c r="BA77" s="448"/>
      <c r="BB77" s="448"/>
      <c r="BC77" s="448"/>
      <c r="BD77" s="448"/>
      <c r="BE77" s="448"/>
      <c r="BF77" s="448"/>
      <c r="BG77" s="448"/>
      <c r="BH77" s="448"/>
      <c r="BI77" s="448"/>
      <c r="BJ77" s="448"/>
      <c r="BK77" s="448"/>
      <c r="BL77" s="448"/>
      <c r="BM77" s="448"/>
      <c r="BN77" s="448"/>
      <c r="BO77" s="448"/>
      <c r="BP77" s="448"/>
      <c r="BQ77" s="448"/>
    </row>
    <row r="78" spans="1:69" ht="9.75" customHeight="1" x14ac:dyDescent="0.25">
      <c r="A78" s="74">
        <v>78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R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69" ht="15" customHeight="1" x14ac:dyDescent="0.25">
      <c r="A79" s="324">
        <v>79</v>
      </c>
      <c r="B79" s="12" t="s">
        <v>236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R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</row>
    <row r="80" spans="1:69" ht="15" customHeight="1" x14ac:dyDescent="0.25">
      <c r="A80" s="74">
        <v>80</v>
      </c>
      <c r="B80" s="48" t="s">
        <v>193</v>
      </c>
      <c r="C80" s="342">
        <v>2405</v>
      </c>
      <c r="D80" s="342">
        <v>2443.3090000000002</v>
      </c>
      <c r="E80" s="342">
        <v>2440</v>
      </c>
      <c r="F80" s="342">
        <v>2414</v>
      </c>
      <c r="G80" s="342">
        <v>2352</v>
      </c>
      <c r="H80" s="342">
        <v>2323</v>
      </c>
      <c r="I80" s="342">
        <v>2297</v>
      </c>
      <c r="J80" s="342">
        <v>2279</v>
      </c>
      <c r="K80" s="342">
        <v>2231</v>
      </c>
      <c r="L80" s="342">
        <v>2216</v>
      </c>
      <c r="M80" s="342">
        <v>2219</v>
      </c>
      <c r="N80" s="342">
        <v>2196</v>
      </c>
      <c r="O80" s="342">
        <v>2152</v>
      </c>
      <c r="P80" s="342">
        <v>2139</v>
      </c>
      <c r="Q80" s="342">
        <v>2127</v>
      </c>
      <c r="R80" s="399"/>
      <c r="S80" s="404"/>
      <c r="T80" s="404"/>
      <c r="U80" s="330">
        <v>1982</v>
      </c>
      <c r="V80" s="330">
        <v>2001</v>
      </c>
      <c r="W80" s="330">
        <v>2057</v>
      </c>
      <c r="X80" s="330">
        <v>2097</v>
      </c>
      <c r="Y80" s="79">
        <v>2077</v>
      </c>
      <c r="Z80" s="79">
        <v>2042</v>
      </c>
      <c r="AA80" s="79">
        <v>2038</v>
      </c>
      <c r="AB80" s="79">
        <v>2154</v>
      </c>
      <c r="AC80" s="79">
        <v>2232</v>
      </c>
      <c r="AD80" s="79">
        <v>2215</v>
      </c>
      <c r="AE80" s="79">
        <v>2150</v>
      </c>
      <c r="AF80" s="79">
        <v>2120</v>
      </c>
      <c r="AG80" s="79">
        <v>2090</v>
      </c>
      <c r="AH80" s="79">
        <v>2050</v>
      </c>
      <c r="AI80" s="79">
        <v>1998</v>
      </c>
      <c r="AJ80" s="79">
        <v>1965</v>
      </c>
      <c r="AK80" s="79">
        <v>1930</v>
      </c>
      <c r="AL80" s="79">
        <v>1890</v>
      </c>
      <c r="AM80" s="79">
        <v>1830</v>
      </c>
      <c r="AN80" s="79">
        <v>1800</v>
      </c>
      <c r="AO80" s="79">
        <v>1770</v>
      </c>
      <c r="AP80" s="79">
        <v>1730</v>
      </c>
      <c r="AQ80" s="79">
        <v>1670</v>
      </c>
      <c r="AR80" s="79">
        <v>1635</v>
      </c>
      <c r="AS80" s="79">
        <v>1600</v>
      </c>
      <c r="AT80" s="79">
        <v>1600</v>
      </c>
      <c r="AU80" s="79">
        <v>1500</v>
      </c>
      <c r="AV80" s="79">
        <v>1460</v>
      </c>
      <c r="AW80" s="79">
        <v>1400</v>
      </c>
      <c r="AX80" s="79">
        <v>1400</v>
      </c>
      <c r="AY80" s="79">
        <v>1400</v>
      </c>
      <c r="AZ80" s="79">
        <v>1400</v>
      </c>
      <c r="BA80" s="79">
        <v>1361</v>
      </c>
      <c r="BB80" s="79">
        <v>1323</v>
      </c>
      <c r="BC80" s="79">
        <v>1289</v>
      </c>
      <c r="BD80" s="56">
        <v>1259</v>
      </c>
      <c r="BE80" s="56">
        <v>1238</v>
      </c>
      <c r="BF80" s="56">
        <v>1205</v>
      </c>
      <c r="BG80" s="79">
        <v>1202</v>
      </c>
      <c r="BH80" s="79">
        <v>1169</v>
      </c>
      <c r="BI80" s="79">
        <v>1140</v>
      </c>
      <c r="BJ80" s="79">
        <v>1109</v>
      </c>
      <c r="BK80" s="79">
        <v>1077</v>
      </c>
      <c r="BL80" s="79">
        <v>1050</v>
      </c>
      <c r="BM80" s="79">
        <v>1024</v>
      </c>
      <c r="BN80" s="79">
        <v>1002</v>
      </c>
      <c r="BO80" s="79">
        <v>973</v>
      </c>
      <c r="BP80" s="79">
        <v>953</v>
      </c>
      <c r="BQ80" s="79">
        <v>919</v>
      </c>
    </row>
    <row r="81" spans="1:69" ht="15" customHeight="1" x14ac:dyDescent="0.25">
      <c r="A81" s="74">
        <v>81</v>
      </c>
      <c r="B81" s="48" t="s">
        <v>167</v>
      </c>
      <c r="C81" s="330">
        <v>62</v>
      </c>
      <c r="D81" s="330">
        <v>62</v>
      </c>
      <c r="E81" s="330">
        <v>62</v>
      </c>
      <c r="F81" s="330">
        <v>61</v>
      </c>
      <c r="G81" s="330">
        <v>61</v>
      </c>
      <c r="H81" s="330">
        <v>61</v>
      </c>
      <c r="I81" s="330">
        <v>61</v>
      </c>
      <c r="J81" s="330">
        <v>61</v>
      </c>
      <c r="K81" s="330">
        <v>60</v>
      </c>
      <c r="L81" s="330">
        <v>60</v>
      </c>
      <c r="M81" s="330">
        <v>60</v>
      </c>
      <c r="N81" s="330">
        <v>60</v>
      </c>
      <c r="O81" s="330">
        <v>60</v>
      </c>
      <c r="P81" s="330">
        <v>60</v>
      </c>
      <c r="Q81" s="330">
        <v>60</v>
      </c>
      <c r="R81" s="399"/>
      <c r="S81" s="404"/>
      <c r="T81" s="404"/>
      <c r="U81" s="330">
        <v>53</v>
      </c>
      <c r="V81" s="330">
        <v>52</v>
      </c>
      <c r="W81" s="330">
        <v>51</v>
      </c>
      <c r="X81" s="330">
        <v>50</v>
      </c>
      <c r="Y81" s="79">
        <v>50</v>
      </c>
      <c r="Z81" s="79">
        <v>50</v>
      </c>
      <c r="AA81" s="79">
        <v>50</v>
      </c>
      <c r="AB81" s="79">
        <v>50</v>
      </c>
      <c r="AC81" s="79">
        <v>50</v>
      </c>
      <c r="AD81" s="79">
        <v>50</v>
      </c>
      <c r="AE81" s="79">
        <v>50</v>
      </c>
      <c r="AF81" s="79">
        <v>50</v>
      </c>
      <c r="AG81" s="79">
        <v>50</v>
      </c>
      <c r="AH81" s="79">
        <v>50</v>
      </c>
      <c r="AI81" s="79">
        <v>50</v>
      </c>
      <c r="AJ81" s="79">
        <v>51</v>
      </c>
      <c r="AK81" s="79">
        <v>50</v>
      </c>
      <c r="AL81" s="79">
        <v>51</v>
      </c>
      <c r="AM81" s="79">
        <v>52</v>
      </c>
      <c r="AN81" s="79">
        <v>52</v>
      </c>
      <c r="AO81" s="79">
        <v>52</v>
      </c>
      <c r="AP81" s="79">
        <v>53</v>
      </c>
      <c r="AQ81" s="79">
        <v>53</v>
      </c>
      <c r="AR81" s="79">
        <v>54</v>
      </c>
      <c r="AS81" s="79">
        <v>56</v>
      </c>
      <c r="AT81" s="79">
        <v>56</v>
      </c>
      <c r="AU81" s="79">
        <v>56</v>
      </c>
      <c r="AV81" s="79">
        <v>56</v>
      </c>
      <c r="AW81" s="79">
        <v>55</v>
      </c>
      <c r="AX81" s="79">
        <v>54</v>
      </c>
      <c r="AY81" s="79">
        <v>54</v>
      </c>
      <c r="AZ81" s="79">
        <v>53</v>
      </c>
      <c r="BA81" s="79">
        <v>43</v>
      </c>
      <c r="BB81" s="79">
        <v>42</v>
      </c>
      <c r="BC81" s="79">
        <v>41</v>
      </c>
      <c r="BD81" s="56">
        <v>40</v>
      </c>
      <c r="BE81" s="56">
        <v>38.9</v>
      </c>
      <c r="BF81" s="56">
        <v>38</v>
      </c>
      <c r="BG81" s="56">
        <v>37</v>
      </c>
      <c r="BH81" s="56">
        <v>36</v>
      </c>
      <c r="BI81" s="56">
        <v>36</v>
      </c>
      <c r="BJ81" s="56">
        <v>36</v>
      </c>
      <c r="BK81" s="56">
        <v>35</v>
      </c>
      <c r="BL81" s="56">
        <v>35</v>
      </c>
      <c r="BM81" s="56">
        <v>35</v>
      </c>
      <c r="BN81" s="56">
        <v>35</v>
      </c>
      <c r="BO81" s="56">
        <v>35</v>
      </c>
      <c r="BP81" s="56">
        <v>35</v>
      </c>
      <c r="BQ81" s="56">
        <v>35</v>
      </c>
    </row>
    <row r="82" spans="1:69" ht="8.25" customHeight="1" x14ac:dyDescent="0.25">
      <c r="A82" s="324">
        <v>82</v>
      </c>
      <c r="B82" s="48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99"/>
      <c r="S82" s="405"/>
      <c r="T82" s="405"/>
      <c r="U82" s="301"/>
      <c r="V82" s="301"/>
      <c r="W82" s="301"/>
      <c r="X82" s="30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</row>
    <row r="83" spans="1:69" x14ac:dyDescent="0.25">
      <c r="A83" s="74">
        <v>83</v>
      </c>
      <c r="B83" s="5" t="s">
        <v>237</v>
      </c>
      <c r="C83" s="342">
        <v>71</v>
      </c>
      <c r="D83" s="342">
        <v>69</v>
      </c>
      <c r="E83" s="342">
        <v>69</v>
      </c>
      <c r="F83" s="342">
        <v>68</v>
      </c>
      <c r="G83" s="342">
        <v>66</v>
      </c>
      <c r="H83" s="342">
        <v>65</v>
      </c>
      <c r="I83" s="342">
        <v>65</v>
      </c>
      <c r="J83" s="342">
        <v>65</v>
      </c>
      <c r="K83" s="342">
        <v>65</v>
      </c>
      <c r="L83" s="342">
        <v>65</v>
      </c>
      <c r="M83" s="342">
        <v>65</v>
      </c>
      <c r="N83" s="342">
        <v>65</v>
      </c>
      <c r="O83" s="342">
        <v>65</v>
      </c>
      <c r="P83" s="342">
        <v>65</v>
      </c>
      <c r="Q83" s="342">
        <v>65</v>
      </c>
      <c r="R83" s="399"/>
      <c r="S83" s="399"/>
      <c r="T83" s="399"/>
      <c r="U83" s="342">
        <v>66</v>
      </c>
      <c r="V83" s="342">
        <v>66</v>
      </c>
      <c r="W83" s="342">
        <v>66</v>
      </c>
      <c r="X83" s="342">
        <v>65</v>
      </c>
      <c r="Y83" s="127">
        <v>63</v>
      </c>
      <c r="Z83" s="127">
        <v>64</v>
      </c>
      <c r="AA83" s="127">
        <v>66</v>
      </c>
      <c r="AB83" s="127">
        <v>66</v>
      </c>
      <c r="AC83" s="127">
        <v>64</v>
      </c>
      <c r="AD83" s="127">
        <v>63</v>
      </c>
      <c r="AE83" s="127">
        <v>63</v>
      </c>
      <c r="AF83" s="127">
        <v>65</v>
      </c>
      <c r="AG83" s="127">
        <v>65</v>
      </c>
      <c r="AH83" s="127">
        <v>67</v>
      </c>
      <c r="AI83" s="127">
        <v>67</v>
      </c>
      <c r="AJ83" s="127">
        <v>68</v>
      </c>
      <c r="AK83" s="127">
        <v>67</v>
      </c>
      <c r="AL83" s="127">
        <v>66</v>
      </c>
      <c r="AM83" s="127">
        <v>65</v>
      </c>
      <c r="AN83" s="127">
        <v>64</v>
      </c>
      <c r="AO83" s="127">
        <v>61</v>
      </c>
      <c r="AP83" s="127">
        <v>59</v>
      </c>
      <c r="AQ83" s="127">
        <v>58</v>
      </c>
      <c r="AR83" s="127">
        <v>58</v>
      </c>
      <c r="AS83" s="127">
        <v>57</v>
      </c>
      <c r="AT83" s="127">
        <v>49</v>
      </c>
      <c r="AU83" s="127">
        <v>48</v>
      </c>
      <c r="AV83" s="127">
        <v>48</v>
      </c>
      <c r="AW83" s="127">
        <v>48</v>
      </c>
      <c r="AX83" s="127">
        <v>47</v>
      </c>
      <c r="AY83" s="127">
        <v>47</v>
      </c>
      <c r="AZ83" s="127">
        <v>47</v>
      </c>
      <c r="BA83" s="127">
        <v>43</v>
      </c>
      <c r="BB83" s="127">
        <v>42</v>
      </c>
      <c r="BC83" s="127">
        <v>41</v>
      </c>
      <c r="BD83" s="11">
        <v>41</v>
      </c>
      <c r="BE83" s="11">
        <v>41</v>
      </c>
      <c r="BF83" s="11">
        <v>39</v>
      </c>
      <c r="BG83" s="11">
        <v>38</v>
      </c>
      <c r="BH83" s="11">
        <v>38</v>
      </c>
      <c r="BI83" s="11">
        <v>37</v>
      </c>
      <c r="BJ83" s="11">
        <v>36</v>
      </c>
      <c r="BK83" s="11">
        <v>35</v>
      </c>
      <c r="BL83" s="11">
        <v>36</v>
      </c>
      <c r="BM83" s="11">
        <v>36</v>
      </c>
      <c r="BN83" s="11">
        <v>36</v>
      </c>
      <c r="BO83" s="11">
        <v>36</v>
      </c>
      <c r="BP83" s="11">
        <v>36</v>
      </c>
      <c r="BQ83" s="11">
        <v>36</v>
      </c>
    </row>
    <row r="84" spans="1:69" x14ac:dyDescent="0.25">
      <c r="A84" s="74">
        <v>84</v>
      </c>
      <c r="B84" s="5" t="s">
        <v>238</v>
      </c>
      <c r="C84" s="342">
        <v>778</v>
      </c>
      <c r="D84" s="342">
        <v>779</v>
      </c>
      <c r="E84" s="342">
        <v>778</v>
      </c>
      <c r="F84" s="342">
        <v>782</v>
      </c>
      <c r="G84" s="342">
        <v>775</v>
      </c>
      <c r="H84" s="342">
        <v>773</v>
      </c>
      <c r="I84" s="342">
        <v>773</v>
      </c>
      <c r="J84" s="342">
        <v>775</v>
      </c>
      <c r="K84" s="342">
        <v>777</v>
      </c>
      <c r="L84" s="342">
        <v>784</v>
      </c>
      <c r="M84" s="342">
        <v>797</v>
      </c>
      <c r="N84" s="342">
        <v>802</v>
      </c>
      <c r="O84" s="342">
        <v>802</v>
      </c>
      <c r="P84" s="342">
        <v>799</v>
      </c>
      <c r="Q84" s="342">
        <v>799</v>
      </c>
      <c r="R84" s="399"/>
      <c r="S84" s="399"/>
      <c r="T84" s="399"/>
      <c r="U84" s="342">
        <v>789</v>
      </c>
      <c r="V84" s="342">
        <v>803</v>
      </c>
      <c r="W84" s="342">
        <v>800</v>
      </c>
      <c r="X84" s="342">
        <v>803</v>
      </c>
      <c r="Y84" s="127">
        <v>810</v>
      </c>
      <c r="Z84" s="127">
        <v>806</v>
      </c>
      <c r="AA84" s="127">
        <v>805</v>
      </c>
      <c r="AB84" s="127">
        <v>814</v>
      </c>
      <c r="AC84" s="127">
        <v>813</v>
      </c>
      <c r="AD84" s="127">
        <v>808</v>
      </c>
      <c r="AE84" s="127">
        <v>802</v>
      </c>
      <c r="AF84" s="127">
        <v>800</v>
      </c>
      <c r="AG84" s="127">
        <v>797</v>
      </c>
      <c r="AH84" s="127">
        <v>801</v>
      </c>
      <c r="AI84" s="127">
        <v>812</v>
      </c>
      <c r="AJ84" s="127">
        <v>814</v>
      </c>
      <c r="AK84" s="127">
        <v>804</v>
      </c>
      <c r="AL84" s="127">
        <v>803</v>
      </c>
      <c r="AM84" s="127">
        <v>789</v>
      </c>
      <c r="AN84" s="127">
        <v>787</v>
      </c>
      <c r="AO84" s="127">
        <v>781</v>
      </c>
      <c r="AP84" s="127">
        <v>762</v>
      </c>
      <c r="AQ84" s="127">
        <v>752</v>
      </c>
      <c r="AR84" s="127">
        <v>737</v>
      </c>
      <c r="AS84" s="127">
        <v>728</v>
      </c>
      <c r="AT84" s="127">
        <v>700</v>
      </c>
      <c r="AU84" s="127">
        <v>690</v>
      </c>
      <c r="AV84" s="127">
        <v>672</v>
      </c>
      <c r="AW84" s="127">
        <v>658</v>
      </c>
      <c r="AX84" s="127">
        <v>648</v>
      </c>
      <c r="AY84" s="127">
        <v>640</v>
      </c>
      <c r="AZ84" s="127">
        <v>630</v>
      </c>
      <c r="BA84" s="127">
        <v>600</v>
      </c>
      <c r="BB84" s="127">
        <v>579</v>
      </c>
      <c r="BC84" s="127">
        <v>582</v>
      </c>
      <c r="BD84" s="11">
        <v>572</v>
      </c>
      <c r="BE84" s="11">
        <v>547</v>
      </c>
      <c r="BF84" s="11">
        <v>540</v>
      </c>
      <c r="BG84" s="11">
        <v>528</v>
      </c>
      <c r="BH84" s="11">
        <v>515</v>
      </c>
      <c r="BI84" s="11">
        <v>504</v>
      </c>
      <c r="BJ84" s="11">
        <v>493</v>
      </c>
      <c r="BK84" s="11">
        <v>473</v>
      </c>
      <c r="BL84" s="11">
        <v>472</v>
      </c>
      <c r="BM84" s="11">
        <v>468</v>
      </c>
      <c r="BN84" s="11">
        <v>468</v>
      </c>
      <c r="BO84" s="11">
        <v>447</v>
      </c>
      <c r="BP84" s="11">
        <v>441</v>
      </c>
      <c r="BQ84" s="11">
        <v>434</v>
      </c>
    </row>
    <row r="85" spans="1:69" x14ac:dyDescent="0.25">
      <c r="A85" s="324">
        <v>85</v>
      </c>
      <c r="B85" s="5" t="s">
        <v>455</v>
      </c>
      <c r="C85" s="374">
        <v>5.1840000000000002</v>
      </c>
      <c r="D85" s="374">
        <v>5.1840000000000002</v>
      </c>
      <c r="E85" s="374">
        <v>5.1840000000000002</v>
      </c>
      <c r="F85" s="374">
        <v>5.0927500000000006</v>
      </c>
      <c r="G85" s="374">
        <v>5.0015000000000001</v>
      </c>
      <c r="H85" s="374">
        <v>4.9102499999999996</v>
      </c>
      <c r="I85" s="374">
        <v>4.819</v>
      </c>
      <c r="J85" s="374">
        <v>4.7</v>
      </c>
      <c r="K85" s="374">
        <v>4.7</v>
      </c>
      <c r="L85" s="374">
        <v>4.7</v>
      </c>
      <c r="M85" s="374">
        <v>4.5999999999999996</v>
      </c>
      <c r="N85" s="374">
        <v>4.5999999999999996</v>
      </c>
      <c r="O85" s="374">
        <v>4.5999999999999996</v>
      </c>
      <c r="P85" s="374">
        <v>4.7</v>
      </c>
      <c r="Q85" s="374">
        <v>4.7</v>
      </c>
      <c r="R85" s="406"/>
      <c r="S85" s="406"/>
      <c r="T85" s="406"/>
      <c r="U85" s="374">
        <v>4.4000000000000004</v>
      </c>
      <c r="V85" s="374">
        <v>4.4000000000000004</v>
      </c>
      <c r="W85" s="374">
        <v>4.3</v>
      </c>
      <c r="X85" s="374">
        <v>4.3</v>
      </c>
      <c r="Y85" s="375">
        <v>4.2</v>
      </c>
      <c r="Z85" s="375">
        <v>4.0999999999999996</v>
      </c>
      <c r="AA85" s="375">
        <v>4.0999999999999996</v>
      </c>
      <c r="AB85" s="375">
        <v>4.3</v>
      </c>
      <c r="AC85" s="375">
        <v>4.3</v>
      </c>
      <c r="AD85" s="375">
        <v>4.0999999999999996</v>
      </c>
      <c r="AE85" s="375">
        <v>4.0999999999999996</v>
      </c>
      <c r="AF85" s="375">
        <v>3.9</v>
      </c>
      <c r="AG85" s="375">
        <v>3.9</v>
      </c>
      <c r="AH85" s="375">
        <v>3.9</v>
      </c>
      <c r="AI85" s="375">
        <v>4</v>
      </c>
      <c r="AJ85" s="375">
        <v>4.0999999999999996</v>
      </c>
      <c r="AK85" s="375">
        <v>4.0999999999999996</v>
      </c>
      <c r="AL85" s="375">
        <v>4.0999999999999996</v>
      </c>
      <c r="AM85" s="375">
        <v>4</v>
      </c>
      <c r="AN85" s="375">
        <v>4</v>
      </c>
      <c r="AO85" s="375">
        <v>4</v>
      </c>
      <c r="AP85" s="375">
        <v>3.9</v>
      </c>
      <c r="AQ85" s="375">
        <v>3.8</v>
      </c>
      <c r="AR85" s="375">
        <v>3.7</v>
      </c>
      <c r="AS85" s="375">
        <v>3.6</v>
      </c>
      <c r="AT85" s="375">
        <v>3.5</v>
      </c>
      <c r="AU85" s="375">
        <v>3.4</v>
      </c>
      <c r="AV85" s="375">
        <v>3.4</v>
      </c>
      <c r="AW85" s="375">
        <v>3.4</v>
      </c>
      <c r="AX85" s="375">
        <v>3.4</v>
      </c>
      <c r="AY85" s="375">
        <v>3.4</v>
      </c>
      <c r="AZ85" s="375">
        <v>3.3</v>
      </c>
      <c r="BA85" s="375">
        <v>2.9</v>
      </c>
      <c r="BB85" s="375">
        <v>2.9</v>
      </c>
      <c r="BC85" s="375">
        <v>2.8</v>
      </c>
      <c r="BD85" s="375">
        <v>2.8</v>
      </c>
      <c r="BE85" s="376">
        <v>2.8</v>
      </c>
      <c r="BF85" s="376">
        <v>2.7</v>
      </c>
      <c r="BG85" s="376">
        <v>2.6</v>
      </c>
      <c r="BH85" s="376">
        <v>2.7</v>
      </c>
      <c r="BI85" s="376">
        <v>2.8</v>
      </c>
      <c r="BJ85" s="376">
        <v>2.7</v>
      </c>
      <c r="BK85" s="376">
        <v>2.6</v>
      </c>
      <c r="BL85" s="376">
        <v>2.5</v>
      </c>
      <c r="BM85" s="376">
        <v>2.4</v>
      </c>
      <c r="BN85" s="376">
        <v>2.2999999999999998</v>
      </c>
      <c r="BO85" s="376">
        <v>2.2999999999999998</v>
      </c>
      <c r="BP85" s="376">
        <v>2.2999999999999998</v>
      </c>
      <c r="BQ85" s="376">
        <v>2.2999999999999998</v>
      </c>
    </row>
    <row r="86" spans="1:69" x14ac:dyDescent="0.25">
      <c r="A86" s="74">
        <v>86</v>
      </c>
      <c r="B86" s="5" t="s">
        <v>425</v>
      </c>
      <c r="C86" s="342">
        <v>430.11793299999999</v>
      </c>
      <c r="D86" s="342">
        <v>439.41835099999997</v>
      </c>
      <c r="E86" s="342">
        <v>441.61852099999999</v>
      </c>
      <c r="F86" s="342">
        <v>445.36852100000004</v>
      </c>
      <c r="G86" s="342">
        <v>445.82852100000002</v>
      </c>
      <c r="H86" s="342">
        <v>457.54403100000002</v>
      </c>
      <c r="I86" s="342">
        <v>457.54403100000002</v>
      </c>
      <c r="J86" s="342">
        <v>457.54403100000002</v>
      </c>
      <c r="K86" s="342">
        <v>457.54403100000002</v>
      </c>
      <c r="L86" s="342">
        <v>461.87983100000002</v>
      </c>
      <c r="M86" s="342">
        <v>461.87983100000002</v>
      </c>
      <c r="N86" s="342">
        <v>461.87983100000002</v>
      </c>
      <c r="O86" s="342">
        <v>461.87983100000002</v>
      </c>
      <c r="P86" s="342">
        <v>475.55423200000001</v>
      </c>
      <c r="Q86" s="342">
        <v>475.55423200000001</v>
      </c>
      <c r="R86" s="399"/>
      <c r="S86" s="399"/>
      <c r="T86" s="399"/>
      <c r="U86" s="342">
        <v>475.55423200000001</v>
      </c>
      <c r="V86" s="342">
        <v>475.55423200000001</v>
      </c>
      <c r="W86" s="342">
        <v>475.55423200000001</v>
      </c>
      <c r="X86" s="342">
        <v>487.55416700000001</v>
      </c>
      <c r="Y86" s="342">
        <v>487.55416700000001</v>
      </c>
      <c r="Z86" s="342">
        <v>487.55416700000001</v>
      </c>
      <c r="AA86" s="342">
        <v>487.55416700000001</v>
      </c>
      <c r="AB86" s="11">
        <v>499.55399999999997</v>
      </c>
      <c r="AC86" s="11">
        <v>499.55399999999997</v>
      </c>
      <c r="AD86" s="11">
        <v>499.55399999999997</v>
      </c>
      <c r="AE86" s="11">
        <v>499.55399999999997</v>
      </c>
      <c r="AF86" s="11">
        <v>499.55399999999997</v>
      </c>
      <c r="AG86" s="11">
        <v>499.55399999999997</v>
      </c>
      <c r="AH86" s="11">
        <v>499.55399999999997</v>
      </c>
      <c r="AI86" s="11">
        <v>499.55399999999997</v>
      </c>
      <c r="AJ86" s="11">
        <v>499.55399999999997</v>
      </c>
      <c r="AK86" s="11">
        <v>499.55399999999997</v>
      </c>
      <c r="AL86" s="11">
        <v>499.55399999999997</v>
      </c>
      <c r="AM86" s="11">
        <v>439.55399999999997</v>
      </c>
      <c r="AN86" s="11">
        <v>439.55399999999997</v>
      </c>
      <c r="AO86" s="11">
        <v>439.55399999999997</v>
      </c>
      <c r="AP86" s="11">
        <v>439.55399999999997</v>
      </c>
      <c r="AQ86" s="11">
        <v>439.55399999999997</v>
      </c>
      <c r="AR86" s="11">
        <v>439.55399999999997</v>
      </c>
      <c r="AS86" s="11">
        <v>439.55399999999997</v>
      </c>
      <c r="AT86" s="11">
        <v>439.55399999999997</v>
      </c>
      <c r="AU86" s="11">
        <v>439.55399999999997</v>
      </c>
      <c r="AV86" s="11">
        <v>439.55399999999997</v>
      </c>
      <c r="AW86" s="11">
        <v>439.55399999999997</v>
      </c>
      <c r="AX86" s="11">
        <v>439.55399999999997</v>
      </c>
      <c r="AY86" s="11">
        <v>439.55399999999997</v>
      </c>
      <c r="AZ86" s="11">
        <v>439.55399999999997</v>
      </c>
      <c r="BA86" s="11">
        <v>439.55399999999997</v>
      </c>
      <c r="BB86" s="11">
        <v>439.55399999999997</v>
      </c>
      <c r="BC86" s="11">
        <v>365.929935</v>
      </c>
      <c r="BD86" s="11">
        <v>300.71893499999999</v>
      </c>
      <c r="BE86" s="11">
        <v>300.71893499999999</v>
      </c>
      <c r="BF86" s="11">
        <v>300.71893499999999</v>
      </c>
      <c r="BG86" s="11">
        <v>300.71893499999999</v>
      </c>
      <c r="BH86" s="11">
        <v>300.71893499999999</v>
      </c>
      <c r="BI86" s="11">
        <v>300.71893499999999</v>
      </c>
      <c r="BJ86" s="11">
        <v>300.71893499999999</v>
      </c>
      <c r="BK86" s="11">
        <v>300.71893499999999</v>
      </c>
      <c r="BL86" s="11">
        <v>282.14999999999998</v>
      </c>
      <c r="BM86" s="11">
        <v>282.14999999999998</v>
      </c>
      <c r="BN86" s="11">
        <v>282.14999999999998</v>
      </c>
      <c r="BO86" s="11">
        <v>282.14999999999998</v>
      </c>
      <c r="BP86" s="11">
        <v>282.14999999999998</v>
      </c>
      <c r="BQ86" s="11">
        <v>282.14999999999998</v>
      </c>
    </row>
    <row r="87" spans="1:69" x14ac:dyDescent="0.25">
      <c r="A87" s="324">
        <v>87</v>
      </c>
      <c r="B87" s="5" t="s">
        <v>426</v>
      </c>
      <c r="C87" s="342">
        <v>20.099999999999966</v>
      </c>
      <c r="D87" s="342">
        <v>20.099999999999966</v>
      </c>
      <c r="E87" s="342">
        <v>20.099999999999966</v>
      </c>
      <c r="F87" s="342">
        <v>20.099999999999966</v>
      </c>
      <c r="G87" s="342">
        <v>20.099999999999966</v>
      </c>
      <c r="H87" s="342">
        <v>20.099999999999966</v>
      </c>
      <c r="I87" s="342">
        <v>20.099999999999966</v>
      </c>
      <c r="J87" s="342">
        <v>20.099999999999966</v>
      </c>
      <c r="K87" s="342">
        <v>20.099999999999966</v>
      </c>
      <c r="L87" s="342">
        <v>20.099999999999966</v>
      </c>
      <c r="M87" s="342">
        <v>20.099999999999966</v>
      </c>
      <c r="N87" s="342">
        <v>20.099999999999966</v>
      </c>
      <c r="O87" s="342">
        <v>20.099999999999966</v>
      </c>
      <c r="P87" s="342">
        <v>20.099999999999966</v>
      </c>
      <c r="Q87" s="342">
        <v>20.099999999999966</v>
      </c>
      <c r="R87" s="399"/>
      <c r="S87" s="399"/>
      <c r="T87" s="399"/>
      <c r="U87" s="342">
        <v>20.099999999999966</v>
      </c>
      <c r="V87" s="342">
        <v>20.099999999999966</v>
      </c>
      <c r="W87" s="342">
        <v>20.099999999999966</v>
      </c>
      <c r="X87" s="342">
        <v>20.099999999999966</v>
      </c>
      <c r="Y87" s="342">
        <v>20.099999999999966</v>
      </c>
      <c r="Z87" s="342">
        <v>20.099999999999966</v>
      </c>
      <c r="AA87" s="342">
        <v>20.099999999999966</v>
      </c>
      <c r="AB87" s="342">
        <v>20.100000000000023</v>
      </c>
      <c r="AC87" s="342">
        <v>20.100000000000023</v>
      </c>
      <c r="AD87" s="342">
        <v>20.100000000000023</v>
      </c>
      <c r="AE87" s="342">
        <v>20.100000000000023</v>
      </c>
      <c r="AF87" s="342">
        <v>20.100000000000023</v>
      </c>
      <c r="AG87" s="342">
        <v>20.100000000000023</v>
      </c>
      <c r="AH87" s="342">
        <v>20.100000000000023</v>
      </c>
      <c r="AI87" s="342">
        <v>20.100000000000023</v>
      </c>
      <c r="AJ87" s="342">
        <v>20.100000000000023</v>
      </c>
      <c r="AK87" s="342">
        <v>20.100000000000023</v>
      </c>
      <c r="AL87" s="342">
        <v>20.100000000000023</v>
      </c>
      <c r="AM87" s="342">
        <v>20.100000000000023</v>
      </c>
      <c r="AN87" s="342">
        <v>20.100000000000023</v>
      </c>
      <c r="AO87" s="342">
        <v>20.100000000000023</v>
      </c>
      <c r="AP87" s="342">
        <v>20.100000000000023</v>
      </c>
      <c r="AQ87" s="342">
        <v>20.100000000000023</v>
      </c>
      <c r="AR87" s="342">
        <v>20.100000000000023</v>
      </c>
      <c r="AS87" s="342">
        <v>20.100000000000023</v>
      </c>
      <c r="AT87" s="342">
        <v>20.100000000000023</v>
      </c>
      <c r="AU87" s="342">
        <v>20.100000000000023</v>
      </c>
      <c r="AV87" s="342">
        <v>20.100000000000023</v>
      </c>
      <c r="AW87" s="342">
        <v>20.100000000000023</v>
      </c>
      <c r="AX87" s="342">
        <v>20.100000000000023</v>
      </c>
      <c r="AY87" s="342">
        <v>20.100000000000023</v>
      </c>
      <c r="AZ87" s="342">
        <v>20.100000000000023</v>
      </c>
      <c r="BA87" s="342">
        <v>20.100000000000023</v>
      </c>
      <c r="BB87" s="342">
        <v>20.100000000000023</v>
      </c>
      <c r="BC87" s="342">
        <v>20.100000000000023</v>
      </c>
      <c r="BD87" s="342">
        <v>20.100000000000023</v>
      </c>
      <c r="BE87" s="342">
        <v>20.100000000000023</v>
      </c>
      <c r="BF87" s="342">
        <v>20.100000000000023</v>
      </c>
      <c r="BG87" s="342">
        <v>20.100000000000023</v>
      </c>
      <c r="BH87" s="342">
        <v>20.100000000000023</v>
      </c>
      <c r="BI87" s="342">
        <v>20.100000000000023</v>
      </c>
      <c r="BJ87" s="342">
        <v>20.100000000000023</v>
      </c>
      <c r="BK87" s="342">
        <v>20.100000000000023</v>
      </c>
      <c r="BL87" s="342">
        <v>20.100000000000023</v>
      </c>
      <c r="BM87" s="342">
        <v>20.100000000000023</v>
      </c>
      <c r="BN87" s="342">
        <v>20.100000000000023</v>
      </c>
      <c r="BO87" s="342">
        <v>20.100000000000023</v>
      </c>
      <c r="BP87" s="342">
        <v>20.100000000000023</v>
      </c>
      <c r="BQ87" s="342">
        <v>20.100000000000023</v>
      </c>
    </row>
    <row r="88" spans="1:69" x14ac:dyDescent="0.25">
      <c r="A88" s="74">
        <v>88</v>
      </c>
      <c r="B88" s="5" t="s">
        <v>427</v>
      </c>
      <c r="C88" s="342">
        <f t="shared" ref="C88" si="1">C86+C87</f>
        <v>450.21793299999996</v>
      </c>
      <c r="D88" s="342">
        <f t="shared" ref="D88" si="2">D86+D87</f>
        <v>459.51835099999994</v>
      </c>
      <c r="E88" s="342">
        <f t="shared" ref="E88:F88" si="3">E86+E87</f>
        <v>461.71852099999995</v>
      </c>
      <c r="F88" s="342">
        <f t="shared" si="3"/>
        <v>465.46852100000001</v>
      </c>
      <c r="G88" s="342">
        <f t="shared" ref="G88:H88" si="4">G86+G87</f>
        <v>465.92852099999999</v>
      </c>
      <c r="H88" s="342">
        <f t="shared" si="4"/>
        <v>477.64403099999998</v>
      </c>
      <c r="I88" s="342">
        <f t="shared" ref="I88:O88" si="5">I86+I87</f>
        <v>477.64403099999998</v>
      </c>
      <c r="J88" s="342">
        <f t="shared" si="5"/>
        <v>477.64403099999998</v>
      </c>
      <c r="K88" s="342">
        <f t="shared" si="5"/>
        <v>477.64403099999998</v>
      </c>
      <c r="L88" s="342">
        <f t="shared" si="5"/>
        <v>481.97983099999999</v>
      </c>
      <c r="M88" s="342">
        <f t="shared" si="5"/>
        <v>481.97983099999999</v>
      </c>
      <c r="N88" s="342">
        <f t="shared" si="5"/>
        <v>481.97983099999999</v>
      </c>
      <c r="O88" s="342">
        <f t="shared" si="5"/>
        <v>481.97983099999999</v>
      </c>
      <c r="P88" s="342">
        <f t="shared" ref="P88:U88" si="6">P86+P87</f>
        <v>495.65423199999998</v>
      </c>
      <c r="Q88" s="342">
        <f t="shared" si="6"/>
        <v>495.65423199999998</v>
      </c>
      <c r="R88" s="399"/>
      <c r="S88" s="399"/>
      <c r="T88" s="399"/>
      <c r="U88" s="342">
        <f t="shared" si="6"/>
        <v>495.65423199999998</v>
      </c>
      <c r="V88" s="342">
        <f t="shared" ref="V88:BC88" si="7">V86+V87</f>
        <v>495.65423199999998</v>
      </c>
      <c r="W88" s="342">
        <f t="shared" si="7"/>
        <v>495.65423199999998</v>
      </c>
      <c r="X88" s="342">
        <f t="shared" si="7"/>
        <v>507.65416699999997</v>
      </c>
      <c r="Y88" s="342">
        <f t="shared" si="7"/>
        <v>507.65416699999997</v>
      </c>
      <c r="Z88" s="342">
        <f t="shared" si="7"/>
        <v>507.65416699999997</v>
      </c>
      <c r="AA88" s="342">
        <f t="shared" si="7"/>
        <v>507.65416699999997</v>
      </c>
      <c r="AB88" s="342">
        <f t="shared" si="7"/>
        <v>519.654</v>
      </c>
      <c r="AC88" s="342">
        <f t="shared" si="7"/>
        <v>519.654</v>
      </c>
      <c r="AD88" s="342">
        <f t="shared" si="7"/>
        <v>519.654</v>
      </c>
      <c r="AE88" s="342">
        <f t="shared" si="7"/>
        <v>519.654</v>
      </c>
      <c r="AF88" s="342">
        <f t="shared" si="7"/>
        <v>519.654</v>
      </c>
      <c r="AG88" s="342">
        <f t="shared" si="7"/>
        <v>519.654</v>
      </c>
      <c r="AH88" s="342">
        <f t="shared" si="7"/>
        <v>519.654</v>
      </c>
      <c r="AI88" s="342">
        <f t="shared" si="7"/>
        <v>519.654</v>
      </c>
      <c r="AJ88" s="342">
        <f t="shared" si="7"/>
        <v>519.654</v>
      </c>
      <c r="AK88" s="342">
        <f t="shared" si="7"/>
        <v>519.654</v>
      </c>
      <c r="AL88" s="342">
        <f t="shared" si="7"/>
        <v>519.654</v>
      </c>
      <c r="AM88" s="342">
        <f t="shared" si="7"/>
        <v>459.654</v>
      </c>
      <c r="AN88" s="342">
        <f t="shared" si="7"/>
        <v>459.654</v>
      </c>
      <c r="AO88" s="342">
        <f t="shared" si="7"/>
        <v>459.654</v>
      </c>
      <c r="AP88" s="342">
        <f t="shared" si="7"/>
        <v>459.654</v>
      </c>
      <c r="AQ88" s="342">
        <f t="shared" si="7"/>
        <v>459.654</v>
      </c>
      <c r="AR88" s="342">
        <f t="shared" si="7"/>
        <v>459.654</v>
      </c>
      <c r="AS88" s="342">
        <f t="shared" si="7"/>
        <v>459.654</v>
      </c>
      <c r="AT88" s="342">
        <f t="shared" si="7"/>
        <v>459.654</v>
      </c>
      <c r="AU88" s="342">
        <f t="shared" si="7"/>
        <v>459.654</v>
      </c>
      <c r="AV88" s="342">
        <f t="shared" si="7"/>
        <v>459.654</v>
      </c>
      <c r="AW88" s="342">
        <f t="shared" si="7"/>
        <v>459.654</v>
      </c>
      <c r="AX88" s="342">
        <f t="shared" si="7"/>
        <v>459.654</v>
      </c>
      <c r="AY88" s="342">
        <f t="shared" si="7"/>
        <v>459.654</v>
      </c>
      <c r="AZ88" s="342">
        <f t="shared" si="7"/>
        <v>459.654</v>
      </c>
      <c r="BA88" s="342">
        <f t="shared" si="7"/>
        <v>459.654</v>
      </c>
      <c r="BB88" s="342">
        <f t="shared" si="7"/>
        <v>459.654</v>
      </c>
      <c r="BC88" s="342">
        <f t="shared" si="7"/>
        <v>386.02993500000002</v>
      </c>
      <c r="BD88" s="342">
        <v>386.02993500000002</v>
      </c>
      <c r="BE88" s="342">
        <v>386.02993500000002</v>
      </c>
      <c r="BF88" s="342">
        <v>386.02993500000002</v>
      </c>
      <c r="BG88" s="342">
        <v>386.02993500000002</v>
      </c>
      <c r="BH88" s="342">
        <v>386.02993500000002</v>
      </c>
      <c r="BI88" s="342">
        <v>386.02993500000002</v>
      </c>
      <c r="BJ88" s="342">
        <v>386.02993500000002</v>
      </c>
      <c r="BK88" s="342">
        <v>386.02993500000002</v>
      </c>
      <c r="BL88" s="342">
        <v>367.46100000000001</v>
      </c>
      <c r="BM88" s="342">
        <v>367.46100000000001</v>
      </c>
      <c r="BN88" s="342">
        <v>367.46100000000001</v>
      </c>
      <c r="BO88" s="342">
        <v>367.46100000000001</v>
      </c>
      <c r="BP88" s="342">
        <v>367.46100000000001</v>
      </c>
      <c r="BQ88" s="342">
        <v>367.46100000000001</v>
      </c>
    </row>
    <row r="90" spans="1:69" x14ac:dyDescent="0.25">
      <c r="C90" s="142"/>
    </row>
    <row r="91" spans="1:69" x14ac:dyDescent="0.25">
      <c r="E91" s="142"/>
    </row>
  </sheetData>
  <customSheetViews>
    <customSheetView guid="{E4AC4991-F371-4BAF-8335-AD017EF379C0}" showPageBreaks="1" showGridLines="0" fitToPage="1" printArea="1">
      <pane ySplit="5" topLeftCell="A6" activePane="bottomLeft" state="frozen"/>
      <selection pane="bottomLeft" activeCell="C8" sqref="C8"/>
      <pageMargins left="0.25" right="0.25" top="0.75" bottom="0.75" header="0.3" footer="0.3"/>
      <pageSetup paperSize="9" scale="21" orientation="landscape" r:id="rId1"/>
    </customSheetView>
    <customSheetView guid="{0284F5E2-DB98-486F-B3F7-128FA2A0A465}" showGridLines="0" fitToPage="1">
      <pane ySplit="5" topLeftCell="A6" activePane="bottomLeft" state="frozen"/>
      <selection pane="bottomLeft" activeCell="I5" sqref="I5"/>
      <pageMargins left="0.25" right="0.25" top="0.75" bottom="0.75" header="0.3" footer="0.3"/>
      <pageSetup paperSize="9" scale="21" orientation="landscape" r:id="rId2"/>
    </customSheetView>
  </customSheetViews>
  <mergeCells count="540">
    <mergeCell ref="C7:C8"/>
    <mergeCell ref="C20:C21"/>
    <mergeCell ref="C29:C30"/>
    <mergeCell ref="C40:C41"/>
    <mergeCell ref="C47:C48"/>
    <mergeCell ref="C56:C57"/>
    <mergeCell ref="C68:C69"/>
    <mergeCell ref="C76:C77"/>
    <mergeCell ref="D7:D8"/>
    <mergeCell ref="D20:D21"/>
    <mergeCell ref="D29:D30"/>
    <mergeCell ref="D40:D41"/>
    <mergeCell ref="D47:D48"/>
    <mergeCell ref="D56:D57"/>
    <mergeCell ref="D68:D69"/>
    <mergeCell ref="D76:D77"/>
    <mergeCell ref="E7:E8"/>
    <mergeCell ref="E20:E21"/>
    <mergeCell ref="E29:E30"/>
    <mergeCell ref="E40:E41"/>
    <mergeCell ref="E47:E48"/>
    <mergeCell ref="E56:E57"/>
    <mergeCell ref="E68:E69"/>
    <mergeCell ref="E76:E77"/>
    <mergeCell ref="F7:F8"/>
    <mergeCell ref="F20:F21"/>
    <mergeCell ref="F29:F30"/>
    <mergeCell ref="F40:F41"/>
    <mergeCell ref="F47:F48"/>
    <mergeCell ref="F56:F57"/>
    <mergeCell ref="F68:F69"/>
    <mergeCell ref="F76:F77"/>
    <mergeCell ref="G7:G8"/>
    <mergeCell ref="G20:G21"/>
    <mergeCell ref="G29:G30"/>
    <mergeCell ref="G40:G41"/>
    <mergeCell ref="G47:G48"/>
    <mergeCell ref="G56:G57"/>
    <mergeCell ref="G68:G69"/>
    <mergeCell ref="G76:G77"/>
    <mergeCell ref="I7:I8"/>
    <mergeCell ref="I20:I21"/>
    <mergeCell ref="I29:I30"/>
    <mergeCell ref="I40:I41"/>
    <mergeCell ref="I47:I48"/>
    <mergeCell ref="I56:I57"/>
    <mergeCell ref="I68:I69"/>
    <mergeCell ref="I76:I77"/>
    <mergeCell ref="H7:H8"/>
    <mergeCell ref="H20:H21"/>
    <mergeCell ref="H29:H30"/>
    <mergeCell ref="H40:H41"/>
    <mergeCell ref="H47:H48"/>
    <mergeCell ref="H56:H57"/>
    <mergeCell ref="H68:H69"/>
    <mergeCell ref="H76:H77"/>
    <mergeCell ref="S76:S77"/>
    <mergeCell ref="Q7:Q8"/>
    <mergeCell ref="Q20:Q21"/>
    <mergeCell ref="Q29:Q30"/>
    <mergeCell ref="Q40:Q41"/>
    <mergeCell ref="Q47:Q48"/>
    <mergeCell ref="Q56:Q57"/>
    <mergeCell ref="Q68:Q69"/>
    <mergeCell ref="Q76:Q77"/>
    <mergeCell ref="R7:R8"/>
    <mergeCell ref="R20:R21"/>
    <mergeCell ref="R29:R30"/>
    <mergeCell ref="R40:R41"/>
    <mergeCell ref="R47:R48"/>
    <mergeCell ref="R56:R57"/>
    <mergeCell ref="R68:R69"/>
    <mergeCell ref="R76:R77"/>
    <mergeCell ref="S7:S8"/>
    <mergeCell ref="S29:S30"/>
    <mergeCell ref="S40:S41"/>
    <mergeCell ref="S47:S48"/>
    <mergeCell ref="S56:S57"/>
    <mergeCell ref="S68:S69"/>
    <mergeCell ref="S20:S21"/>
    <mergeCell ref="V76:V77"/>
    <mergeCell ref="T7:T8"/>
    <mergeCell ref="T20:T21"/>
    <mergeCell ref="T29:T30"/>
    <mergeCell ref="T40:T41"/>
    <mergeCell ref="T47:T48"/>
    <mergeCell ref="T56:T57"/>
    <mergeCell ref="T68:T69"/>
    <mergeCell ref="T76:T77"/>
    <mergeCell ref="V56:V57"/>
    <mergeCell ref="U7:U8"/>
    <mergeCell ref="U20:U21"/>
    <mergeCell ref="U29:U30"/>
    <mergeCell ref="U40:U41"/>
    <mergeCell ref="U47:U48"/>
    <mergeCell ref="U56:U57"/>
    <mergeCell ref="U68:U69"/>
    <mergeCell ref="U76:U77"/>
    <mergeCell ref="V7:V8"/>
    <mergeCell ref="V20:V21"/>
    <mergeCell ref="V29:V30"/>
    <mergeCell ref="V40:V41"/>
    <mergeCell ref="V47:V48"/>
    <mergeCell ref="X76:X77"/>
    <mergeCell ref="W7:W8"/>
    <mergeCell ref="W20:W21"/>
    <mergeCell ref="W29:W30"/>
    <mergeCell ref="W40:W41"/>
    <mergeCell ref="W47:W48"/>
    <mergeCell ref="W56:W57"/>
    <mergeCell ref="W68:W69"/>
    <mergeCell ref="W76:W77"/>
    <mergeCell ref="X7:X8"/>
    <mergeCell ref="X20:X21"/>
    <mergeCell ref="X29:X30"/>
    <mergeCell ref="Z76:Z77"/>
    <mergeCell ref="Y7:Y8"/>
    <mergeCell ref="Y20:Y21"/>
    <mergeCell ref="Y29:Y30"/>
    <mergeCell ref="Y40:Y41"/>
    <mergeCell ref="Y47:Y48"/>
    <mergeCell ref="Y56:Y57"/>
    <mergeCell ref="Y68:Y69"/>
    <mergeCell ref="Y76:Y77"/>
    <mergeCell ref="Z7:Z8"/>
    <mergeCell ref="Z20:Z21"/>
    <mergeCell ref="Z29:Z30"/>
    <mergeCell ref="AB76:AB77"/>
    <mergeCell ref="AC40:AC41"/>
    <mergeCell ref="AC47:AC48"/>
    <mergeCell ref="AC56:AC57"/>
    <mergeCell ref="AA7:AA8"/>
    <mergeCell ref="AA20:AA21"/>
    <mergeCell ref="AA29:AA30"/>
    <mergeCell ref="AA40:AA41"/>
    <mergeCell ref="AA47:AA48"/>
    <mergeCell ref="AA56:AA57"/>
    <mergeCell ref="AA68:AA69"/>
    <mergeCell ref="AA76:AA77"/>
    <mergeCell ref="AB40:AB41"/>
    <mergeCell ref="AB47:AB48"/>
    <mergeCell ref="AC76:AC77"/>
    <mergeCell ref="BQ76:BQ77"/>
    <mergeCell ref="BM29:BM30"/>
    <mergeCell ref="BF20:BF21"/>
    <mergeCell ref="BE29:BE30"/>
    <mergeCell ref="BI56:BI57"/>
    <mergeCell ref="BH56:BH57"/>
    <mergeCell ref="BE56:BE57"/>
    <mergeCell ref="BG29:BG30"/>
    <mergeCell ref="AG76:AG77"/>
    <mergeCell ref="AG68:AG69"/>
    <mergeCell ref="AG56:AG57"/>
    <mergeCell ref="AG47:AG48"/>
    <mergeCell ref="AG40:AG41"/>
    <mergeCell ref="AG29:AG30"/>
    <mergeCell ref="AG20:AG21"/>
    <mergeCell ref="AY47:AY48"/>
    <mergeCell ref="AY56:AY57"/>
    <mergeCell ref="AY68:AY69"/>
    <mergeCell ref="AY76:AY77"/>
    <mergeCell ref="BI40:BI41"/>
    <mergeCell ref="BE47:BE48"/>
    <mergeCell ref="BE40:BE41"/>
    <mergeCell ref="AQ76:AQ77"/>
    <mergeCell ref="BG20:BG21"/>
    <mergeCell ref="BG7:BG8"/>
    <mergeCell ref="BQ56:BQ57"/>
    <mergeCell ref="AD68:AD69"/>
    <mergeCell ref="BQ68:BQ69"/>
    <mergeCell ref="BG47:BG48"/>
    <mergeCell ref="BH47:BH48"/>
    <mergeCell ref="BF47:BF48"/>
    <mergeCell ref="BG40:BG41"/>
    <mergeCell ref="BF40:BF41"/>
    <mergeCell ref="AQ68:AQ69"/>
    <mergeCell ref="BQ7:BQ8"/>
    <mergeCell ref="AD20:AD21"/>
    <mergeCell ref="AD29:AD30"/>
    <mergeCell ref="AD40:AD41"/>
    <mergeCell ref="AD47:AD48"/>
    <mergeCell ref="BM20:BM21"/>
    <mergeCell ref="BK20:BK21"/>
    <mergeCell ref="BJ20:BJ21"/>
    <mergeCell ref="BI20:BI21"/>
    <mergeCell ref="BH20:BH21"/>
    <mergeCell ref="BI7:BI8"/>
    <mergeCell ref="BJ7:BJ8"/>
    <mergeCell ref="BE20:BE21"/>
    <mergeCell ref="BE7:BE8"/>
    <mergeCell ref="BL20:BL21"/>
    <mergeCell ref="BF7:BF8"/>
    <mergeCell ref="AR56:AR57"/>
    <mergeCell ref="AR68:AR69"/>
    <mergeCell ref="AR76:AR77"/>
    <mergeCell ref="AW76:AW77"/>
    <mergeCell ref="AU76:AU77"/>
    <mergeCell ref="AT56:AT57"/>
    <mergeCell ref="AT68:AT69"/>
    <mergeCell ref="AT76:AT77"/>
    <mergeCell ref="AS7:AS8"/>
    <mergeCell ref="AS20:AS21"/>
    <mergeCell ref="AS29:AS30"/>
    <mergeCell ref="AS40:AS41"/>
    <mergeCell ref="AS47:AS48"/>
    <mergeCell ref="AS56:AS57"/>
    <mergeCell ref="AS68:AS69"/>
    <mergeCell ref="AS76:AS77"/>
    <mergeCell ref="AV7:AV8"/>
    <mergeCell ref="AV20:AV21"/>
    <mergeCell ref="AV29:AV30"/>
    <mergeCell ref="AV40:AV41"/>
    <mergeCell ref="AV47:AV48"/>
    <mergeCell ref="AV56:AV57"/>
    <mergeCell ref="AQ7:AQ8"/>
    <mergeCell ref="AQ20:AQ21"/>
    <mergeCell ref="AQ29:AQ30"/>
    <mergeCell ref="AQ40:AQ41"/>
    <mergeCell ref="BI47:BI48"/>
    <mergeCell ref="BI29:BI30"/>
    <mergeCell ref="AW47:AW48"/>
    <mergeCell ref="AW56:AW57"/>
    <mergeCell ref="AW68:AW69"/>
    <mergeCell ref="BA40:BA41"/>
    <mergeCell ref="BB56:BB57"/>
    <mergeCell ref="BB47:BB48"/>
    <mergeCell ref="BD29:BD30"/>
    <mergeCell ref="AU56:AU57"/>
    <mergeCell ref="AU68:AU69"/>
    <mergeCell ref="AW40:AW41"/>
    <mergeCell ref="AQ47:AQ48"/>
    <mergeCell ref="AQ56:AQ57"/>
    <mergeCell ref="BH40:BH41"/>
    <mergeCell ref="AT7:AT8"/>
    <mergeCell ref="AT20:AT21"/>
    <mergeCell ref="AT29:AT30"/>
    <mergeCell ref="AT40:AT41"/>
    <mergeCell ref="AT47:AT48"/>
    <mergeCell ref="AV68:AV69"/>
    <mergeCell ref="AV76:AV77"/>
    <mergeCell ref="BE76:BE77"/>
    <mergeCell ref="AZ20:AZ21"/>
    <mergeCell ref="AZ29:AZ30"/>
    <mergeCell ref="AZ40:AZ41"/>
    <mergeCell ref="AZ47:AZ48"/>
    <mergeCell ref="AZ56:AZ57"/>
    <mergeCell ref="AZ68:AZ69"/>
    <mergeCell ref="AZ76:AZ77"/>
    <mergeCell ref="BA56:BA57"/>
    <mergeCell ref="BA68:BA69"/>
    <mergeCell ref="BA76:BA77"/>
    <mergeCell ref="BC68:BC69"/>
    <mergeCell ref="BC76:BC77"/>
    <mergeCell ref="BB76:BB77"/>
    <mergeCell ref="BD76:BD77"/>
    <mergeCell ref="BA47:BA48"/>
    <mergeCell ref="BA29:BA30"/>
    <mergeCell ref="BA20:BA21"/>
    <mergeCell ref="B7:B8"/>
    <mergeCell ref="B29:B30"/>
    <mergeCell ref="B20:B21"/>
    <mergeCell ref="B40:B41"/>
    <mergeCell ref="B47:B48"/>
    <mergeCell ref="B56:B57"/>
    <mergeCell ref="BN56:BN57"/>
    <mergeCell ref="BF29:BF30"/>
    <mergeCell ref="BK40:BK41"/>
    <mergeCell ref="BB7:BB8"/>
    <mergeCell ref="BB20:BB21"/>
    <mergeCell ref="BB29:BB30"/>
    <mergeCell ref="BN20:BN21"/>
    <mergeCell ref="BL7:BL8"/>
    <mergeCell ref="BN40:BN41"/>
    <mergeCell ref="BM40:BM41"/>
    <mergeCell ref="BL40:BL41"/>
    <mergeCell ref="BH7:BH8"/>
    <mergeCell ref="BJ47:BJ48"/>
    <mergeCell ref="BJ40:BJ41"/>
    <mergeCell ref="BL29:BL30"/>
    <mergeCell ref="BH29:BH30"/>
    <mergeCell ref="AX7:AX8"/>
    <mergeCell ref="AX20:AX21"/>
    <mergeCell ref="B68:B69"/>
    <mergeCell ref="BE68:BE69"/>
    <mergeCell ref="BF76:BF77"/>
    <mergeCell ref="BF68:BF69"/>
    <mergeCell ref="BG76:BG77"/>
    <mergeCell ref="B76:B77"/>
    <mergeCell ref="BL56:BL57"/>
    <mergeCell ref="BM68:BM69"/>
    <mergeCell ref="BG68:BG69"/>
    <mergeCell ref="BK76:BK77"/>
    <mergeCell ref="BI76:BI77"/>
    <mergeCell ref="BJ76:BJ77"/>
    <mergeCell ref="BJ68:BJ69"/>
    <mergeCell ref="BI68:BI69"/>
    <mergeCell ref="BF56:BF57"/>
    <mergeCell ref="BG56:BG57"/>
    <mergeCell ref="BJ56:BJ57"/>
    <mergeCell ref="BK56:BK57"/>
    <mergeCell ref="BH76:BH77"/>
    <mergeCell ref="BH68:BH69"/>
    <mergeCell ref="BK68:BK69"/>
    <mergeCell ref="BL68:BL69"/>
    <mergeCell ref="BD56:BD57"/>
    <mergeCell ref="BB68:BB69"/>
    <mergeCell ref="BP76:BP77"/>
    <mergeCell ref="BP68:BP69"/>
    <mergeCell ref="BO76:BO77"/>
    <mergeCell ref="BO68:BO69"/>
    <mergeCell ref="BL47:BL48"/>
    <mergeCell ref="BN47:BN48"/>
    <mergeCell ref="BP7:BP8"/>
    <mergeCell ref="BO7:BO8"/>
    <mergeCell ref="BP20:BP21"/>
    <mergeCell ref="BO20:BO21"/>
    <mergeCell ref="BP29:BP30"/>
    <mergeCell ref="BO29:BO30"/>
    <mergeCell ref="BO56:BO57"/>
    <mergeCell ref="BO47:BO48"/>
    <mergeCell ref="BO40:BO41"/>
    <mergeCell ref="BP40:BP41"/>
    <mergeCell ref="BP56:BP57"/>
    <mergeCell ref="BP47:BP48"/>
    <mergeCell ref="BN76:BN77"/>
    <mergeCell ref="BN68:BN69"/>
    <mergeCell ref="BM56:BM57"/>
    <mergeCell ref="BM76:BM77"/>
    <mergeCell ref="BL76:BL77"/>
    <mergeCell ref="BN7:BN8"/>
    <mergeCell ref="BJ29:BJ30"/>
    <mergeCell ref="BN29:BN30"/>
    <mergeCell ref="BK7:BK8"/>
    <mergeCell ref="BK47:BK48"/>
    <mergeCell ref="BM7:BM8"/>
    <mergeCell ref="BK29:BK30"/>
    <mergeCell ref="BM47:BM48"/>
    <mergeCell ref="AR7:AR8"/>
    <mergeCell ref="AR20:AR21"/>
    <mergeCell ref="AR29:AR30"/>
    <mergeCell ref="AR40:AR41"/>
    <mergeCell ref="AR47:AR48"/>
    <mergeCell ref="BB40:BB41"/>
    <mergeCell ref="AX29:AX30"/>
    <mergeCell ref="AX40:AX41"/>
    <mergeCell ref="AX47:AX48"/>
    <mergeCell ref="AU7:AU8"/>
    <mergeCell ref="AU20:AU21"/>
    <mergeCell ref="AU29:AU30"/>
    <mergeCell ref="AU40:AU41"/>
    <mergeCell ref="AU47:AU48"/>
    <mergeCell ref="AW7:AW8"/>
    <mergeCell ref="AW20:AW21"/>
    <mergeCell ref="AW29:AW30"/>
    <mergeCell ref="BC7:BC8"/>
    <mergeCell ref="BC20:BC21"/>
    <mergeCell ref="BC29:BC30"/>
    <mergeCell ref="BC40:BC41"/>
    <mergeCell ref="BC47:BC48"/>
    <mergeCell ref="BD68:BD69"/>
    <mergeCell ref="AX56:AX57"/>
    <mergeCell ref="AX68:AX69"/>
    <mergeCell ref="AX76:AX77"/>
    <mergeCell ref="AY7:AY8"/>
    <mergeCell ref="AY20:AY21"/>
    <mergeCell ref="AY29:AY30"/>
    <mergeCell ref="AY40:AY41"/>
    <mergeCell ref="BC56:BC57"/>
    <mergeCell ref="BD20:BD21"/>
    <mergeCell ref="BD7:BD8"/>
    <mergeCell ref="BD47:BD48"/>
    <mergeCell ref="BD40:BD41"/>
    <mergeCell ref="AZ7:AZ8"/>
    <mergeCell ref="BA7:BA8"/>
    <mergeCell ref="AM20:AM21"/>
    <mergeCell ref="AM29:AM30"/>
    <mergeCell ref="AM40:AM41"/>
    <mergeCell ref="AM47:AM48"/>
    <mergeCell ref="AM56:AM57"/>
    <mergeCell ref="AM68:AM69"/>
    <mergeCell ref="AM76:AM77"/>
    <mergeCell ref="AP7:AP8"/>
    <mergeCell ref="AP20:AP21"/>
    <mergeCell ref="AP29:AP30"/>
    <mergeCell ref="AP40:AP41"/>
    <mergeCell ref="AP47:AP48"/>
    <mergeCell ref="AP56:AP57"/>
    <mergeCell ref="AP68:AP69"/>
    <mergeCell ref="AP76:AP77"/>
    <mergeCell ref="AO7:AO8"/>
    <mergeCell ref="AO20:AO21"/>
    <mergeCell ref="AO29:AO30"/>
    <mergeCell ref="AO40:AO41"/>
    <mergeCell ref="AO47:AO48"/>
    <mergeCell ref="AO56:AO57"/>
    <mergeCell ref="AO68:AO69"/>
    <mergeCell ref="AO76:AO77"/>
    <mergeCell ref="AJ29:AJ30"/>
    <mergeCell ref="AH76:AH77"/>
    <mergeCell ref="AJ40:AJ41"/>
    <mergeCell ref="AJ47:AJ48"/>
    <mergeCell ref="AJ56:AJ57"/>
    <mergeCell ref="AJ68:AJ69"/>
    <mergeCell ref="AJ76:AJ77"/>
    <mergeCell ref="AN7:AN8"/>
    <mergeCell ref="AN20:AN21"/>
    <mergeCell ref="AN29:AN30"/>
    <mergeCell ref="AN40:AN41"/>
    <mergeCell ref="AN47:AN48"/>
    <mergeCell ref="AN56:AN57"/>
    <mergeCell ref="AN68:AN69"/>
    <mergeCell ref="AN76:AN77"/>
    <mergeCell ref="AL7:AL8"/>
    <mergeCell ref="AL20:AL21"/>
    <mergeCell ref="AL29:AL30"/>
    <mergeCell ref="AL40:AL41"/>
    <mergeCell ref="AL47:AL48"/>
    <mergeCell ref="AL56:AL57"/>
    <mergeCell ref="AL68:AL69"/>
    <mergeCell ref="AL76:AL77"/>
    <mergeCell ref="AM7:AM8"/>
    <mergeCell ref="AF76:AF77"/>
    <mergeCell ref="AG7:AG8"/>
    <mergeCell ref="AD76:AD77"/>
    <mergeCell ref="AD56:AD57"/>
    <mergeCell ref="AE68:AE69"/>
    <mergeCell ref="AE76:AE77"/>
    <mergeCell ref="AK7:AK8"/>
    <mergeCell ref="AK20:AK21"/>
    <mergeCell ref="AK29:AK30"/>
    <mergeCell ref="AK40:AK41"/>
    <mergeCell ref="AK47:AK48"/>
    <mergeCell ref="AK56:AK57"/>
    <mergeCell ref="AK68:AK69"/>
    <mergeCell ref="AK76:AK77"/>
    <mergeCell ref="AI7:AI8"/>
    <mergeCell ref="AI47:AI48"/>
    <mergeCell ref="AI40:AI41"/>
    <mergeCell ref="AI29:AI30"/>
    <mergeCell ref="AI20:AI21"/>
    <mergeCell ref="AI76:AI77"/>
    <mergeCell ref="AI68:AI69"/>
    <mergeCell ref="AI56:AI57"/>
    <mergeCell ref="AJ7:AJ8"/>
    <mergeCell ref="AJ20:AJ21"/>
    <mergeCell ref="AH7:AH8"/>
    <mergeCell ref="AH20:AH21"/>
    <mergeCell ref="AH29:AH30"/>
    <mergeCell ref="AH40:AH41"/>
    <mergeCell ref="AH47:AH48"/>
    <mergeCell ref="AH56:AH57"/>
    <mergeCell ref="AC29:AC30"/>
    <mergeCell ref="AB7:AB8"/>
    <mergeCell ref="AB20:AB21"/>
    <mergeCell ref="AB29:AB30"/>
    <mergeCell ref="AF7:AF8"/>
    <mergeCell ref="AF20:AF21"/>
    <mergeCell ref="AF29:AF30"/>
    <mergeCell ref="AF40:AF41"/>
    <mergeCell ref="AF47:AF48"/>
    <mergeCell ref="AF56:AF57"/>
    <mergeCell ref="AD7:AD8"/>
    <mergeCell ref="AC7:AC8"/>
    <mergeCell ref="AC20:AC21"/>
    <mergeCell ref="AE7:AE8"/>
    <mergeCell ref="AE20:AE21"/>
    <mergeCell ref="AE29:AE30"/>
    <mergeCell ref="AH68:AH69"/>
    <mergeCell ref="AE40:AE41"/>
    <mergeCell ref="AE47:AE48"/>
    <mergeCell ref="AE56:AE57"/>
    <mergeCell ref="AC68:AC69"/>
    <mergeCell ref="AB68:AB69"/>
    <mergeCell ref="Z68:Z69"/>
    <mergeCell ref="X68:X69"/>
    <mergeCell ref="V68:V69"/>
    <mergeCell ref="AF68:AF69"/>
    <mergeCell ref="X40:X41"/>
    <mergeCell ref="X47:X48"/>
    <mergeCell ref="X56:X57"/>
    <mergeCell ref="AB56:AB57"/>
    <mergeCell ref="Z40:Z41"/>
    <mergeCell ref="Z47:Z48"/>
    <mergeCell ref="Z56:Z57"/>
    <mergeCell ref="O68:O69"/>
    <mergeCell ref="O76:O77"/>
    <mergeCell ref="O7:O8"/>
    <mergeCell ref="O20:O21"/>
    <mergeCell ref="O29:O30"/>
    <mergeCell ref="O40:O41"/>
    <mergeCell ref="O47:O48"/>
    <mergeCell ref="O56:O57"/>
    <mergeCell ref="P76:P77"/>
    <mergeCell ref="P7:P8"/>
    <mergeCell ref="P20:P21"/>
    <mergeCell ref="P29:P30"/>
    <mergeCell ref="P40:P41"/>
    <mergeCell ref="P47:P48"/>
    <mergeCell ref="P56:P57"/>
    <mergeCell ref="P68:P69"/>
    <mergeCell ref="N7:N8"/>
    <mergeCell ref="N20:N21"/>
    <mergeCell ref="N29:N30"/>
    <mergeCell ref="N40:N41"/>
    <mergeCell ref="N47:N48"/>
    <mergeCell ref="N56:N57"/>
    <mergeCell ref="N68:N69"/>
    <mergeCell ref="N76:N77"/>
    <mergeCell ref="M7:M8"/>
    <mergeCell ref="M20:M21"/>
    <mergeCell ref="M29:M30"/>
    <mergeCell ref="M40:M41"/>
    <mergeCell ref="M47:M48"/>
    <mergeCell ref="M56:M57"/>
    <mergeCell ref="M68:M69"/>
    <mergeCell ref="M76:M77"/>
    <mergeCell ref="L7:L8"/>
    <mergeCell ref="L20:L21"/>
    <mergeCell ref="L29:L30"/>
    <mergeCell ref="L40:L41"/>
    <mergeCell ref="L47:L48"/>
    <mergeCell ref="L56:L57"/>
    <mergeCell ref="L68:L69"/>
    <mergeCell ref="L76:L77"/>
    <mergeCell ref="J7:J8"/>
    <mergeCell ref="J20:J21"/>
    <mergeCell ref="J29:J30"/>
    <mergeCell ref="J40:J41"/>
    <mergeCell ref="J47:J48"/>
    <mergeCell ref="J56:J57"/>
    <mergeCell ref="J68:J69"/>
    <mergeCell ref="J76:J77"/>
    <mergeCell ref="K7:K8"/>
    <mergeCell ref="K20:K21"/>
    <mergeCell ref="K29:K30"/>
    <mergeCell ref="K40:K41"/>
    <mergeCell ref="K47:K48"/>
    <mergeCell ref="K56:K57"/>
    <mergeCell ref="K68:K69"/>
    <mergeCell ref="K76:K77"/>
  </mergeCells>
  <phoneticPr fontId="14" type="noConversion"/>
  <hyperlinks>
    <hyperlink ref="C5" location="Contents!A1" display="Contents!A1"/>
    <hyperlink ref="E5" location="'Assets and Liabili-s structure'!A1" display="Assets and Liabilities structure"/>
    <hyperlink ref="F5" location="'Loan Portfolio IFRS 9'!A1" display="Loan portfolio"/>
    <hyperlink ref="G5" location="'Customer Deposits'!A1" display="Customer deposits"/>
    <hyperlink ref="H5" location="Capital!A1" display="Capital"/>
    <hyperlink ref="I5" location="'Income and Expenses structure'!A1" display="Income and Expenses structure"/>
  </hyperlinks>
  <pageMargins left="0.25" right="0.25" top="0.75" bottom="0.75" header="0.3" footer="0.3"/>
  <pageSetup paperSize="9" scale="2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T95"/>
  <sheetViews>
    <sheetView showGridLines="0" zoomScale="70" zoomScaleNormal="7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1" customWidth="1"/>
    <col min="2" max="2" width="56.28515625" style="1" customWidth="1"/>
    <col min="3" max="5" width="8.7109375" style="1" customWidth="1"/>
    <col min="6" max="12" width="17.7109375" style="1" customWidth="1"/>
    <col min="13" max="43" width="16.7109375" style="1" customWidth="1"/>
    <col min="44" max="54" width="9.140625" style="1" customWidth="1"/>
    <col min="55" max="16384" width="9.140625" style="1"/>
  </cols>
  <sheetData>
    <row r="1" spans="1:72" x14ac:dyDescent="0.25">
      <c r="A1" s="74">
        <v>1</v>
      </c>
    </row>
    <row r="2" spans="1:72" x14ac:dyDescent="0.25">
      <c r="A2" s="74">
        <v>2</v>
      </c>
      <c r="M2" s="25"/>
    </row>
    <row r="3" spans="1:72" x14ac:dyDescent="0.25">
      <c r="A3" s="74">
        <v>3</v>
      </c>
    </row>
    <row r="4" spans="1:72" x14ac:dyDescent="0.25">
      <c r="A4" s="74">
        <v>4</v>
      </c>
      <c r="C4" s="6"/>
      <c r="D4" s="6"/>
    </row>
    <row r="5" spans="1:72" ht="51" customHeight="1" thickBot="1" x14ac:dyDescent="0.3">
      <c r="A5" s="74">
        <v>5</v>
      </c>
      <c r="B5" s="119" t="s">
        <v>157</v>
      </c>
      <c r="C5" s="467" t="s">
        <v>3</v>
      </c>
      <c r="D5" s="467"/>
      <c r="E5" s="467"/>
      <c r="F5" s="115" t="s">
        <v>0</v>
      </c>
      <c r="G5" s="116" t="s">
        <v>157</v>
      </c>
      <c r="H5" s="117" t="s">
        <v>177</v>
      </c>
      <c r="I5" s="117" t="s">
        <v>1</v>
      </c>
      <c r="J5" s="117" t="s">
        <v>2</v>
      </c>
      <c r="K5" s="118" t="s">
        <v>194</v>
      </c>
      <c r="M5" s="39"/>
      <c r="N5" s="39"/>
      <c r="O5" s="39"/>
    </row>
    <row r="6" spans="1:72" ht="15.75" thickTop="1" x14ac:dyDescent="0.25">
      <c r="A6" s="74">
        <v>6</v>
      </c>
      <c r="B6" s="61"/>
    </row>
    <row r="7" spans="1:72" ht="15.75" customHeight="1" x14ac:dyDescent="0.25">
      <c r="A7" s="74">
        <v>7</v>
      </c>
      <c r="B7" s="461" t="s">
        <v>155</v>
      </c>
      <c r="C7" s="470" t="s">
        <v>201</v>
      </c>
      <c r="D7" s="468" t="s">
        <v>202</v>
      </c>
      <c r="E7" s="468" t="s">
        <v>297</v>
      </c>
      <c r="F7" s="479">
        <v>46203</v>
      </c>
      <c r="G7" s="479">
        <v>46112</v>
      </c>
      <c r="H7" s="446">
        <v>46022</v>
      </c>
      <c r="I7" s="446">
        <v>45930</v>
      </c>
      <c r="J7" s="446">
        <v>45838</v>
      </c>
      <c r="K7" s="446">
        <v>45747</v>
      </c>
      <c r="L7" s="446">
        <v>45657</v>
      </c>
      <c r="M7" s="446">
        <v>45565</v>
      </c>
      <c r="N7" s="446">
        <v>45473</v>
      </c>
      <c r="O7" s="446">
        <v>45382</v>
      </c>
      <c r="P7" s="446">
        <v>45291</v>
      </c>
      <c r="Q7" s="446">
        <v>45199</v>
      </c>
      <c r="R7" s="446">
        <v>45107</v>
      </c>
      <c r="S7" s="446">
        <v>45016</v>
      </c>
      <c r="T7" s="446">
        <v>44926</v>
      </c>
      <c r="U7" s="446">
        <v>44834</v>
      </c>
      <c r="V7" s="446">
        <v>44742</v>
      </c>
      <c r="W7" s="446">
        <v>44651</v>
      </c>
      <c r="X7" s="446">
        <v>44561</v>
      </c>
      <c r="Y7" s="446">
        <v>44469</v>
      </c>
      <c r="Z7" s="446">
        <v>44377</v>
      </c>
      <c r="AA7" s="446">
        <v>44286</v>
      </c>
      <c r="AB7" s="446">
        <v>44196</v>
      </c>
      <c r="AC7" s="446">
        <v>44104</v>
      </c>
      <c r="AD7" s="446">
        <v>44012</v>
      </c>
      <c r="AE7" s="446">
        <v>43921</v>
      </c>
      <c r="AF7" s="446">
        <v>43830</v>
      </c>
      <c r="AG7" s="446">
        <v>43738</v>
      </c>
      <c r="AH7" s="446">
        <v>43646</v>
      </c>
      <c r="AI7" s="446">
        <v>43555</v>
      </c>
      <c r="AJ7" s="446">
        <v>43465</v>
      </c>
      <c r="AK7" s="446">
        <v>43373</v>
      </c>
      <c r="AL7" s="446">
        <v>43281</v>
      </c>
      <c r="AM7" s="446">
        <v>43190</v>
      </c>
      <c r="AN7" s="446">
        <v>43100</v>
      </c>
      <c r="AO7" s="446">
        <v>43008</v>
      </c>
      <c r="AP7" s="446">
        <v>42916</v>
      </c>
      <c r="AQ7" s="446">
        <v>42825</v>
      </c>
      <c r="AR7" s="446">
        <v>42735</v>
      </c>
      <c r="AS7" s="446">
        <v>42643</v>
      </c>
      <c r="AT7" s="446">
        <v>42551</v>
      </c>
      <c r="AU7" s="446">
        <v>42460</v>
      </c>
      <c r="AV7" s="446">
        <v>42369</v>
      </c>
      <c r="AW7" s="446">
        <v>42277</v>
      </c>
      <c r="AX7" s="446">
        <v>42185</v>
      </c>
      <c r="AY7" s="446">
        <v>42094</v>
      </c>
      <c r="AZ7" s="446">
        <v>42004</v>
      </c>
      <c r="BA7" s="446">
        <v>41912</v>
      </c>
      <c r="BB7" s="446">
        <v>41820</v>
      </c>
      <c r="BC7" s="446">
        <v>41729</v>
      </c>
      <c r="BD7" s="446">
        <v>41639</v>
      </c>
      <c r="BE7" s="446">
        <v>41547</v>
      </c>
      <c r="BF7" s="446">
        <v>41455</v>
      </c>
      <c r="BG7" s="459">
        <v>41364</v>
      </c>
      <c r="BH7" s="459">
        <v>41274</v>
      </c>
      <c r="BI7" s="446">
        <v>41182</v>
      </c>
      <c r="BJ7" s="446">
        <v>41090</v>
      </c>
      <c r="BK7" s="446">
        <v>40999</v>
      </c>
      <c r="BL7" s="446">
        <v>40908</v>
      </c>
      <c r="BM7" s="446">
        <v>40816</v>
      </c>
      <c r="BN7" s="446">
        <v>40724</v>
      </c>
      <c r="BO7" s="446">
        <v>40633</v>
      </c>
      <c r="BP7" s="446">
        <v>40543</v>
      </c>
      <c r="BQ7" s="446">
        <v>40451</v>
      </c>
      <c r="BR7" s="446">
        <v>40359</v>
      </c>
      <c r="BS7" s="446">
        <v>40268</v>
      </c>
      <c r="BT7" s="446">
        <v>40178</v>
      </c>
    </row>
    <row r="8" spans="1:72" ht="15.75" customHeight="1" x14ac:dyDescent="0.25">
      <c r="A8" s="74">
        <v>8</v>
      </c>
      <c r="B8" s="462"/>
      <c r="C8" s="471"/>
      <c r="D8" s="469"/>
      <c r="E8" s="478"/>
      <c r="F8" s="480"/>
      <c r="G8" s="480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8"/>
      <c r="AD8" s="447"/>
      <c r="AE8" s="448"/>
      <c r="AF8" s="447"/>
      <c r="AG8" s="447"/>
      <c r="AH8" s="447"/>
      <c r="AI8" s="447"/>
      <c r="AJ8" s="447"/>
      <c r="AK8" s="447"/>
      <c r="AL8" s="447"/>
      <c r="AM8" s="447"/>
      <c r="AN8" s="447"/>
      <c r="AO8" s="447"/>
      <c r="AP8" s="447"/>
      <c r="AQ8" s="447"/>
      <c r="AR8" s="447"/>
      <c r="AS8" s="447"/>
      <c r="AT8" s="447"/>
      <c r="AU8" s="447"/>
      <c r="AV8" s="447"/>
      <c r="AW8" s="447"/>
      <c r="AX8" s="447"/>
      <c r="AY8" s="447"/>
      <c r="AZ8" s="447"/>
      <c r="BA8" s="447"/>
      <c r="BB8" s="447"/>
      <c r="BC8" s="447"/>
      <c r="BD8" s="447"/>
      <c r="BE8" s="447"/>
      <c r="BF8" s="447"/>
      <c r="BG8" s="460"/>
      <c r="BH8" s="460"/>
      <c r="BI8" s="447"/>
      <c r="BJ8" s="447"/>
      <c r="BK8" s="447"/>
      <c r="BL8" s="447"/>
      <c r="BM8" s="447"/>
      <c r="BN8" s="447"/>
      <c r="BO8" s="447"/>
      <c r="BP8" s="447"/>
      <c r="BQ8" s="447"/>
      <c r="BR8" s="447"/>
      <c r="BS8" s="447"/>
      <c r="BT8" s="447"/>
    </row>
    <row r="9" spans="1:72" ht="9.75" customHeight="1" x14ac:dyDescent="0.25">
      <c r="A9" s="74">
        <v>9</v>
      </c>
      <c r="B9" s="8" t="s">
        <v>8</v>
      </c>
      <c r="C9" s="89"/>
      <c r="D9" s="277"/>
      <c r="E9" s="90"/>
      <c r="F9" s="303"/>
      <c r="G9" s="303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8"/>
    </row>
    <row r="10" spans="1:72" ht="15" customHeight="1" x14ac:dyDescent="0.25">
      <c r="A10" s="74">
        <v>10</v>
      </c>
      <c r="B10" s="18" t="s">
        <v>19</v>
      </c>
      <c r="C10" s="91"/>
      <c r="D10" s="124"/>
      <c r="E10" s="92"/>
      <c r="F10" s="310"/>
      <c r="G10" s="310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8"/>
    </row>
    <row r="11" spans="1:72" ht="15" customHeight="1" x14ac:dyDescent="0.25">
      <c r="A11" s="74">
        <v>11</v>
      </c>
      <c r="B11" s="15" t="s">
        <v>20</v>
      </c>
      <c r="C11" s="93"/>
      <c r="D11" s="88"/>
      <c r="E11" s="94"/>
      <c r="F11" s="380">
        <v>39926</v>
      </c>
      <c r="G11" s="380">
        <v>120091</v>
      </c>
      <c r="H11" s="86">
        <v>76731</v>
      </c>
      <c r="I11" s="86">
        <v>63433</v>
      </c>
      <c r="J11" s="86">
        <v>43483</v>
      </c>
      <c r="K11" s="86">
        <v>105044</v>
      </c>
      <c r="L11" s="86">
        <v>53996</v>
      </c>
      <c r="M11" s="86">
        <v>33258</v>
      </c>
      <c r="N11" s="86">
        <v>62174</v>
      </c>
      <c r="O11" s="86">
        <v>73733</v>
      </c>
      <c r="P11" s="86">
        <v>55865</v>
      </c>
      <c r="Q11" s="86">
        <v>53237</v>
      </c>
      <c r="R11" s="86">
        <v>54700</v>
      </c>
      <c r="S11" s="86">
        <v>30203</v>
      </c>
      <c r="T11" s="86">
        <v>47374</v>
      </c>
      <c r="U11" s="407"/>
      <c r="V11" s="407"/>
      <c r="W11" s="407"/>
      <c r="X11" s="86">
        <v>34052</v>
      </c>
      <c r="Y11" s="86">
        <v>51047.927000000003</v>
      </c>
      <c r="Z11" s="86">
        <v>31732.782999999999</v>
      </c>
      <c r="AA11" s="86">
        <v>54325.103000000003</v>
      </c>
      <c r="AB11" s="86">
        <v>60271</v>
      </c>
      <c r="AC11" s="86">
        <v>44807.572999999997</v>
      </c>
      <c r="AD11" s="86">
        <v>60610.135000000002</v>
      </c>
      <c r="AE11" s="86">
        <v>48073.305</v>
      </c>
      <c r="AF11" s="86">
        <v>42556.256999999998</v>
      </c>
      <c r="AG11" s="86">
        <v>58680.851000000002</v>
      </c>
      <c r="AH11" s="86">
        <v>59950.781999999999</v>
      </c>
      <c r="AI11" s="86">
        <v>42085.919000000002</v>
      </c>
      <c r="AJ11" s="86">
        <v>37189.218999999997</v>
      </c>
      <c r="AK11" s="86">
        <v>40559.391000000003</v>
      </c>
      <c r="AL11" s="86">
        <v>40752.324999999997</v>
      </c>
      <c r="AM11" s="86">
        <v>33239.858</v>
      </c>
      <c r="AN11" s="86">
        <v>39198.51</v>
      </c>
      <c r="AO11" s="86">
        <v>55549.622000000003</v>
      </c>
      <c r="AP11" s="86">
        <v>60284.667999999998</v>
      </c>
      <c r="AQ11" s="86">
        <v>64903.936000000002</v>
      </c>
      <c r="AR11" s="192">
        <v>33881.203999999998</v>
      </c>
      <c r="AS11" s="86">
        <v>45531.258000000002</v>
      </c>
      <c r="AT11" s="86">
        <v>60960.946000000004</v>
      </c>
      <c r="AU11" s="86">
        <v>27674.526000000002</v>
      </c>
      <c r="AV11" s="86">
        <v>36558.917000000001</v>
      </c>
      <c r="AW11" s="86">
        <v>47304.531999999999</v>
      </c>
      <c r="AX11" s="86">
        <v>46478.811000000002</v>
      </c>
      <c r="AY11" s="86">
        <v>43006.247000000003</v>
      </c>
      <c r="AZ11" s="86">
        <v>57240.622000000003</v>
      </c>
      <c r="BA11" s="86">
        <v>43889.824999999997</v>
      </c>
      <c r="BB11" s="86">
        <v>62786.122000000003</v>
      </c>
      <c r="BC11" s="86">
        <v>46198.686999999998</v>
      </c>
      <c r="BD11" s="86">
        <v>40060.451999999997</v>
      </c>
      <c r="BE11" s="86">
        <v>45689.837</v>
      </c>
      <c r="BF11" s="86">
        <v>37894.771999999997</v>
      </c>
      <c r="BG11" s="86">
        <v>27602.734</v>
      </c>
      <c r="BH11" s="86">
        <v>43938.150999999998</v>
      </c>
      <c r="BI11" s="11">
        <v>20938.054</v>
      </c>
      <c r="BJ11" s="11">
        <v>26663.624</v>
      </c>
      <c r="BK11" s="11">
        <v>26491.541000000001</v>
      </c>
      <c r="BL11" s="11">
        <v>32775.307000000001</v>
      </c>
      <c r="BM11" s="11">
        <v>19541.86</v>
      </c>
      <c r="BN11" s="11">
        <v>13906.249</v>
      </c>
      <c r="BO11" s="11">
        <v>14090.084999999999</v>
      </c>
      <c r="BP11" s="11">
        <v>13180.183999999999</v>
      </c>
      <c r="BQ11" s="11">
        <v>16608.978999999999</v>
      </c>
      <c r="BR11" s="11">
        <v>27889.476999999999</v>
      </c>
      <c r="BS11" s="11">
        <v>14924.432000000001</v>
      </c>
      <c r="BT11" s="11">
        <v>21419.473000000002</v>
      </c>
    </row>
    <row r="12" spans="1:72" ht="26.25" x14ac:dyDescent="0.25">
      <c r="A12" s="74">
        <v>12</v>
      </c>
      <c r="B12" s="16" t="s">
        <v>235</v>
      </c>
      <c r="C12" s="93"/>
      <c r="D12" s="88"/>
      <c r="E12" s="94"/>
      <c r="F12" s="372">
        <v>4072</v>
      </c>
      <c r="G12" s="372">
        <v>4072</v>
      </c>
      <c r="H12" s="68">
        <v>3106</v>
      </c>
      <c r="I12" s="68">
        <v>3106</v>
      </c>
      <c r="J12" s="68">
        <v>3106</v>
      </c>
      <c r="K12" s="68">
        <v>3106</v>
      </c>
      <c r="L12" s="68">
        <v>2903</v>
      </c>
      <c r="M12" s="68">
        <v>2903</v>
      </c>
      <c r="N12" s="68">
        <v>2903</v>
      </c>
      <c r="O12" s="68">
        <v>2903</v>
      </c>
      <c r="P12" s="68">
        <v>1978</v>
      </c>
      <c r="Q12" s="68">
        <v>1978</v>
      </c>
      <c r="R12" s="68">
        <v>1978</v>
      </c>
      <c r="S12" s="68">
        <v>1978</v>
      </c>
      <c r="T12" s="68">
        <v>1073</v>
      </c>
      <c r="U12" s="408"/>
      <c r="V12" s="408"/>
      <c r="W12" s="408"/>
      <c r="X12" s="68">
        <v>4612</v>
      </c>
      <c r="Y12" s="68">
        <v>4711.3490000000002</v>
      </c>
      <c r="Z12" s="68">
        <v>4511.7160000000003</v>
      </c>
      <c r="AA12" s="68">
        <v>4532.6260000000002</v>
      </c>
      <c r="AB12" s="68">
        <v>4588</v>
      </c>
      <c r="AC12" s="68">
        <v>4169.3329999999996</v>
      </c>
      <c r="AD12" s="68">
        <v>3942.027</v>
      </c>
      <c r="AE12" s="68">
        <v>3946.3560000000002</v>
      </c>
      <c r="AF12" s="68">
        <v>3885.9639999999999</v>
      </c>
      <c r="AG12" s="68">
        <v>3853.0650000000001</v>
      </c>
      <c r="AH12" s="68">
        <v>3643.7159999999999</v>
      </c>
      <c r="AI12" s="68">
        <v>3757.0250000000001</v>
      </c>
      <c r="AJ12" s="68">
        <v>3705.4229999999998</v>
      </c>
      <c r="AK12" s="68">
        <v>3495.3519999999999</v>
      </c>
      <c r="AL12" s="68">
        <v>3201.652</v>
      </c>
      <c r="AM12" s="68">
        <v>3198.808</v>
      </c>
      <c r="AN12" s="68">
        <v>3020.4850000000001</v>
      </c>
      <c r="AO12" s="68">
        <v>2957.5940000000001</v>
      </c>
      <c r="AP12" s="68">
        <v>2884.5540000000001</v>
      </c>
      <c r="AQ12" s="68">
        <v>3071.18</v>
      </c>
      <c r="AR12" s="193">
        <v>3220.8029999999999</v>
      </c>
      <c r="AS12" s="68">
        <v>3178.3980000000001</v>
      </c>
      <c r="AT12" s="68">
        <v>2551.7750000000001</v>
      </c>
      <c r="AU12" s="68">
        <v>2539.6889999999999</v>
      </c>
      <c r="AV12" s="68">
        <v>2388.1379999999999</v>
      </c>
      <c r="AW12" s="68">
        <v>2400.2190000000001</v>
      </c>
      <c r="AX12" s="68">
        <v>3253.5740000000001</v>
      </c>
      <c r="AY12" s="68">
        <v>3617.14</v>
      </c>
      <c r="AZ12" s="68">
        <v>3290.0839999999998</v>
      </c>
      <c r="BA12" s="68">
        <v>2986.8850000000002</v>
      </c>
      <c r="BB12" s="68">
        <v>2980.0059999999999</v>
      </c>
      <c r="BC12" s="68">
        <v>2963.9479999999999</v>
      </c>
      <c r="BD12" s="68">
        <v>2800.069</v>
      </c>
      <c r="BE12" s="68">
        <v>3699.6889999999999</v>
      </c>
      <c r="BF12" s="68">
        <v>3645.37</v>
      </c>
      <c r="BG12" s="68">
        <v>3175.8690000000001</v>
      </c>
      <c r="BH12" s="68">
        <v>3125.502</v>
      </c>
      <c r="BI12" s="11">
        <v>3097.105</v>
      </c>
      <c r="BJ12" s="11">
        <v>3092.6489999999999</v>
      </c>
      <c r="BK12" s="11">
        <v>3129.105</v>
      </c>
      <c r="BL12" s="11">
        <v>2978.2959999999998</v>
      </c>
      <c r="BM12" s="11">
        <v>3009.8429999999998</v>
      </c>
      <c r="BN12" s="11">
        <v>2905.1089999999999</v>
      </c>
      <c r="BO12" s="11">
        <v>2109.16</v>
      </c>
      <c r="BP12" s="11">
        <v>1670.712</v>
      </c>
      <c r="BQ12" s="11">
        <v>1429.9069999999999</v>
      </c>
      <c r="BR12" s="11">
        <v>1553.52</v>
      </c>
      <c r="BS12" s="11">
        <v>1453.11</v>
      </c>
      <c r="BT12" s="11">
        <v>1373.8150000000001</v>
      </c>
    </row>
    <row r="13" spans="1:72" ht="28.5" customHeight="1" x14ac:dyDescent="0.25">
      <c r="A13" s="74">
        <v>13</v>
      </c>
      <c r="B13" s="28" t="s">
        <v>377</v>
      </c>
      <c r="C13" s="93"/>
      <c r="D13" s="88"/>
      <c r="E13" s="94"/>
      <c r="F13" s="380">
        <f>22781+346</f>
        <v>23127</v>
      </c>
      <c r="G13" s="380">
        <f>29024+652</f>
        <v>29676</v>
      </c>
      <c r="H13" s="86">
        <f>33884+770</f>
        <v>34654</v>
      </c>
      <c r="I13" s="86">
        <f>29278+6533</f>
        <v>35811</v>
      </c>
      <c r="J13" s="86">
        <f>19531+8669</f>
        <v>28200</v>
      </c>
      <c r="K13" s="86">
        <f>11578+1083</f>
        <v>12661</v>
      </c>
      <c r="L13" s="86">
        <f>4391+5552</f>
        <v>9943</v>
      </c>
      <c r="M13" s="86">
        <v>37764</v>
      </c>
      <c r="N13" s="86">
        <f>24258+14057</f>
        <v>38315</v>
      </c>
      <c r="O13" s="86">
        <v>44709</v>
      </c>
      <c r="P13" s="86">
        <v>41006</v>
      </c>
      <c r="Q13" s="86">
        <v>10727</v>
      </c>
      <c r="R13" s="86">
        <v>17961</v>
      </c>
      <c r="S13" s="86">
        <v>21746</v>
      </c>
      <c r="T13" s="86">
        <v>30145</v>
      </c>
      <c r="U13" s="407"/>
      <c r="V13" s="407"/>
      <c r="W13" s="407"/>
      <c r="X13" s="86">
        <v>27360</v>
      </c>
      <c r="Y13" s="86">
        <v>24047.848000000002</v>
      </c>
      <c r="Z13" s="86">
        <v>15142.347</v>
      </c>
      <c r="AA13" s="86">
        <v>8761.7314000000006</v>
      </c>
      <c r="AB13" s="86">
        <v>6977</v>
      </c>
      <c r="AC13" s="86">
        <v>6819.2619999999997</v>
      </c>
      <c r="AD13" s="86">
        <v>11395.154</v>
      </c>
      <c r="AE13" s="86">
        <v>12589.544</v>
      </c>
      <c r="AF13" s="86">
        <v>44211.961000000003</v>
      </c>
      <c r="AG13" s="86">
        <v>17851.168000000001</v>
      </c>
      <c r="AH13" s="86">
        <v>48669.464999999997</v>
      </c>
      <c r="AI13" s="86">
        <v>43598.877</v>
      </c>
      <c r="AJ13" s="86">
        <v>80647.485000000001</v>
      </c>
      <c r="AK13" s="86">
        <v>29369.47</v>
      </c>
      <c r="AL13" s="86">
        <v>60722.088000000003</v>
      </c>
      <c r="AM13" s="86">
        <v>11153.698</v>
      </c>
      <c r="AN13" s="86">
        <v>64483.953000000001</v>
      </c>
      <c r="AO13" s="86">
        <v>15556.315000000001</v>
      </c>
      <c r="AP13" s="86">
        <v>14252.938</v>
      </c>
      <c r="AQ13" s="86">
        <v>10895.851000000001</v>
      </c>
      <c r="AR13" s="192">
        <v>17126.046999999999</v>
      </c>
      <c r="AS13" s="86">
        <v>16657.852999999999</v>
      </c>
      <c r="AT13" s="86">
        <v>14699.395</v>
      </c>
      <c r="AU13" s="86">
        <v>13411.118</v>
      </c>
      <c r="AV13" s="86">
        <v>13193.472</v>
      </c>
      <c r="AW13" s="86">
        <v>11335.368</v>
      </c>
      <c r="AX13" s="86">
        <v>3899.431</v>
      </c>
      <c r="AY13" s="86">
        <v>253.90700000000001</v>
      </c>
      <c r="AZ13" s="86">
        <v>205.42500000000001</v>
      </c>
      <c r="BA13" s="86">
        <v>8913.3070000000007</v>
      </c>
      <c r="BB13" s="86">
        <v>7889.5479999999998</v>
      </c>
      <c r="BC13" s="86">
        <v>11511.152</v>
      </c>
      <c r="BD13" s="86">
        <v>17592.637999999999</v>
      </c>
      <c r="BE13" s="86">
        <v>7436.6949999999997</v>
      </c>
      <c r="BF13" s="86">
        <v>16312.355</v>
      </c>
      <c r="BG13" s="86">
        <v>17353.724999999999</v>
      </c>
      <c r="BH13" s="86">
        <v>11463.053</v>
      </c>
      <c r="BI13" s="11">
        <v>31108.968000000001</v>
      </c>
      <c r="BJ13" s="11">
        <v>24523.323</v>
      </c>
      <c r="BK13" s="11">
        <v>14881.96</v>
      </c>
      <c r="BL13" s="11">
        <v>29043.655999999999</v>
      </c>
      <c r="BM13" s="11">
        <v>38257.546999999999</v>
      </c>
      <c r="BN13" s="11">
        <v>34606.504999999997</v>
      </c>
      <c r="BO13" s="11">
        <v>35394.211000000003</v>
      </c>
      <c r="BP13" s="11">
        <v>36524.627</v>
      </c>
      <c r="BQ13" s="11">
        <v>26547.006000000001</v>
      </c>
      <c r="BR13" s="11">
        <v>20333.273000000001</v>
      </c>
      <c r="BS13" s="11">
        <v>23102.542000000001</v>
      </c>
      <c r="BT13" s="11">
        <v>29075.842000000001</v>
      </c>
    </row>
    <row r="14" spans="1:72" ht="15" customHeight="1" x14ac:dyDescent="0.25">
      <c r="A14" s="74">
        <v>14</v>
      </c>
      <c r="B14" s="15" t="s">
        <v>254</v>
      </c>
      <c r="C14" s="93"/>
      <c r="D14" s="88"/>
      <c r="E14" s="94"/>
      <c r="F14" s="380"/>
      <c r="G14" s="380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407"/>
      <c r="V14" s="407"/>
      <c r="W14" s="407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>
        <v>66168.997000000003</v>
      </c>
      <c r="AL14" s="86">
        <v>81585.774000000005</v>
      </c>
      <c r="AM14" s="86">
        <v>91190.339000000007</v>
      </c>
      <c r="AN14" s="86"/>
      <c r="AO14" s="86">
        <v>71025.993000000002</v>
      </c>
      <c r="AP14" s="86">
        <v>80370.414999999994</v>
      </c>
      <c r="AQ14" s="86">
        <v>59449.915999999997</v>
      </c>
      <c r="AR14" s="192">
        <v>61800.245999999999</v>
      </c>
      <c r="AS14" s="86">
        <v>64447.411999999997</v>
      </c>
      <c r="AT14" s="86">
        <v>87560.535999999993</v>
      </c>
      <c r="AU14" s="86">
        <v>84711.741999999998</v>
      </c>
      <c r="AV14" s="86">
        <v>70314.051000000007</v>
      </c>
      <c r="AW14" s="86">
        <v>49262.296000000002</v>
      </c>
      <c r="AX14" s="86">
        <v>66268.562000000005</v>
      </c>
      <c r="AY14" s="86">
        <v>54239.923999999999</v>
      </c>
      <c r="AZ14" s="86">
        <v>39138.709000000003</v>
      </c>
      <c r="BA14" s="86">
        <v>56793.877</v>
      </c>
      <c r="BB14" s="86">
        <v>57404.89</v>
      </c>
      <c r="BC14" s="86">
        <v>56928.025999999998</v>
      </c>
      <c r="BD14" s="86">
        <v>51728.946000000004</v>
      </c>
      <c r="BE14" s="86">
        <v>46771.040999999997</v>
      </c>
      <c r="BF14" s="86">
        <v>37662.137999999999</v>
      </c>
      <c r="BG14" s="86">
        <v>36969.805</v>
      </c>
      <c r="BH14" s="86">
        <v>35291.038999999997</v>
      </c>
      <c r="BI14" s="11">
        <v>12002.912</v>
      </c>
      <c r="BJ14" s="11">
        <v>28930.399000000001</v>
      </c>
      <c r="BK14" s="11">
        <v>36458.724999999999</v>
      </c>
      <c r="BL14" s="11">
        <v>15134.382</v>
      </c>
      <c r="BM14" s="11">
        <v>7251.0360000000001</v>
      </c>
      <c r="BN14" s="11">
        <v>11678.09</v>
      </c>
      <c r="BO14" s="11">
        <v>6889.4390000000003</v>
      </c>
      <c r="BP14" s="11">
        <v>254.35599999999999</v>
      </c>
      <c r="BQ14" s="11">
        <v>3659.991</v>
      </c>
      <c r="BR14" s="11">
        <v>6946.799</v>
      </c>
      <c r="BS14" s="11">
        <v>8935.9490000000005</v>
      </c>
      <c r="BT14" s="11">
        <v>640.54</v>
      </c>
    </row>
    <row r="15" spans="1:72" ht="15" hidden="1" customHeight="1" x14ac:dyDescent="0.25">
      <c r="A15" s="74">
        <v>15</v>
      </c>
      <c r="B15" s="5" t="s">
        <v>22</v>
      </c>
      <c r="C15" s="93"/>
      <c r="D15" s="88"/>
      <c r="E15" s="94"/>
      <c r="F15" s="380"/>
      <c r="G15" s="380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407"/>
      <c r="V15" s="407"/>
      <c r="W15" s="407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192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>
        <v>622.80799999999999</v>
      </c>
      <c r="BH15" s="86">
        <v>608.56799999999998</v>
      </c>
      <c r="BI15" s="11">
        <v>619.36900000000003</v>
      </c>
      <c r="BJ15" s="11">
        <v>657.43200000000002</v>
      </c>
      <c r="BK15" s="11"/>
      <c r="BL15" s="11"/>
      <c r="BM15" s="11"/>
      <c r="BN15" s="11"/>
      <c r="BO15" s="11"/>
      <c r="BP15" s="11"/>
      <c r="BQ15" s="11"/>
      <c r="BR15" s="11"/>
      <c r="BS15" s="11"/>
      <c r="BT15" s="11"/>
    </row>
    <row r="16" spans="1:72" s="39" customFormat="1" ht="15" customHeight="1" x14ac:dyDescent="0.25">
      <c r="A16" s="74">
        <v>16</v>
      </c>
      <c r="B16" s="40" t="s">
        <v>23</v>
      </c>
      <c r="C16" s="93"/>
      <c r="D16" s="88"/>
      <c r="E16" s="94"/>
      <c r="F16" s="381">
        <v>105422</v>
      </c>
      <c r="G16" s="381">
        <v>107251</v>
      </c>
      <c r="H16" s="87">
        <v>91552</v>
      </c>
      <c r="I16" s="87">
        <v>133902</v>
      </c>
      <c r="J16" s="87">
        <v>188141</v>
      </c>
      <c r="K16" s="87">
        <v>92232</v>
      </c>
      <c r="L16" s="87">
        <v>118223</v>
      </c>
      <c r="M16" s="87">
        <v>109254</v>
      </c>
      <c r="N16" s="87">
        <v>115116</v>
      </c>
      <c r="O16" s="87">
        <v>38481</v>
      </c>
      <c r="P16" s="87">
        <v>123916</v>
      </c>
      <c r="Q16" s="87">
        <v>75115</v>
      </c>
      <c r="R16" s="87">
        <v>30191</v>
      </c>
      <c r="S16" s="87">
        <v>36509</v>
      </c>
      <c r="T16" s="87">
        <v>98106</v>
      </c>
      <c r="U16" s="409"/>
      <c r="V16" s="409"/>
      <c r="W16" s="409"/>
      <c r="X16" s="87">
        <v>134963</v>
      </c>
      <c r="Y16" s="87">
        <v>116570.629</v>
      </c>
      <c r="Z16" s="87">
        <v>98551.301000000007</v>
      </c>
      <c r="AA16" s="87">
        <v>94819.02</v>
      </c>
      <c r="AB16" s="87">
        <v>104272</v>
      </c>
      <c r="AC16" s="87">
        <v>102346.11</v>
      </c>
      <c r="AD16" s="87">
        <v>100286.467</v>
      </c>
      <c r="AE16" s="87">
        <v>69086.040999999997</v>
      </c>
      <c r="AF16" s="87">
        <v>95407.101999999999</v>
      </c>
      <c r="AG16" s="87">
        <v>80441.835999999996</v>
      </c>
      <c r="AH16" s="87">
        <v>87719.657999999996</v>
      </c>
      <c r="AI16" s="87">
        <v>89755.381999999998</v>
      </c>
      <c r="AJ16" s="87">
        <v>88118.487999999998</v>
      </c>
      <c r="AK16" s="87">
        <v>53761.457000000002</v>
      </c>
      <c r="AL16" s="87">
        <v>34063.660000000003</v>
      </c>
      <c r="AM16" s="87">
        <v>68195.78</v>
      </c>
      <c r="AN16" s="87">
        <v>67809.092999999993</v>
      </c>
      <c r="AO16" s="87">
        <v>58524.737999999998</v>
      </c>
      <c r="AP16" s="87">
        <v>42251.112000000001</v>
      </c>
      <c r="AQ16" s="87">
        <v>49545.095000000001</v>
      </c>
      <c r="AR16" s="194">
        <v>58499.451999999997</v>
      </c>
      <c r="AS16" s="87">
        <v>34134.595999999998</v>
      </c>
      <c r="AT16" s="87">
        <v>24089.831999999999</v>
      </c>
      <c r="AU16" s="87">
        <v>25982.003000000001</v>
      </c>
      <c r="AV16" s="87">
        <v>15220.59</v>
      </c>
      <c r="AW16" s="87">
        <v>27021.864000000001</v>
      </c>
      <c r="AX16" s="87">
        <v>33147.811000000002</v>
      </c>
      <c r="AY16" s="87">
        <v>33206.235999999997</v>
      </c>
      <c r="AZ16" s="87">
        <v>29511.109</v>
      </c>
      <c r="BA16" s="87">
        <v>32216.744999999999</v>
      </c>
      <c r="BB16" s="87">
        <v>21221.814999999999</v>
      </c>
      <c r="BC16" s="87">
        <v>20547.648000000001</v>
      </c>
      <c r="BD16" s="87">
        <v>14853.88</v>
      </c>
      <c r="BE16" s="87">
        <v>14833.155000000001</v>
      </c>
      <c r="BF16" s="87">
        <v>10518.468999999999</v>
      </c>
      <c r="BG16" s="87">
        <v>6258.9309999999996</v>
      </c>
      <c r="BH16" s="87">
        <v>9082.3979999999992</v>
      </c>
      <c r="BI16" s="45">
        <v>646.59</v>
      </c>
      <c r="BJ16" s="45">
        <v>2094.201</v>
      </c>
      <c r="BK16" s="45">
        <v>15339.691999999999</v>
      </c>
      <c r="BL16" s="45">
        <v>7849.0119999999997</v>
      </c>
      <c r="BM16" s="45">
        <v>6836.0749999999998</v>
      </c>
      <c r="BN16" s="45">
        <v>4727.9889999999996</v>
      </c>
      <c r="BO16" s="45">
        <v>5495.3670000000002</v>
      </c>
      <c r="BP16" s="45">
        <v>8423.5380000000005</v>
      </c>
      <c r="BQ16" s="45">
        <v>5486.4930000000004</v>
      </c>
      <c r="BR16" s="45">
        <v>7876.8729999999996</v>
      </c>
      <c r="BS16" s="45">
        <v>7056.6819999999998</v>
      </c>
      <c r="BT16" s="45">
        <v>3576.299</v>
      </c>
    </row>
    <row r="17" spans="1:72" s="39" customFormat="1" ht="15" customHeight="1" x14ac:dyDescent="0.25">
      <c r="A17" s="74">
        <v>17</v>
      </c>
      <c r="B17" s="40" t="s">
        <v>267</v>
      </c>
      <c r="C17" s="93"/>
      <c r="D17" s="88"/>
      <c r="E17" s="94"/>
      <c r="F17" s="381">
        <v>4860</v>
      </c>
      <c r="G17" s="381">
        <v>4579</v>
      </c>
      <c r="H17" s="87">
        <v>4618</v>
      </c>
      <c r="I17" s="87">
        <v>4732</v>
      </c>
      <c r="J17" s="87">
        <v>7883</v>
      </c>
      <c r="K17" s="87">
        <v>8441</v>
      </c>
      <c r="L17" s="87">
        <v>5589</v>
      </c>
      <c r="M17" s="87">
        <v>6951</v>
      </c>
      <c r="N17" s="87">
        <v>8387</v>
      </c>
      <c r="O17" s="87">
        <v>3488</v>
      </c>
      <c r="P17" s="87">
        <v>3394</v>
      </c>
      <c r="Q17" s="87">
        <v>3207</v>
      </c>
      <c r="R17" s="87">
        <v>2727</v>
      </c>
      <c r="S17" s="87">
        <v>1921</v>
      </c>
      <c r="T17" s="87">
        <v>4084</v>
      </c>
      <c r="U17" s="409"/>
      <c r="V17" s="409"/>
      <c r="W17" s="409"/>
      <c r="X17" s="87">
        <v>5543</v>
      </c>
      <c r="Y17" s="87">
        <v>4173.0479999999998</v>
      </c>
      <c r="Z17" s="87">
        <v>6056.4129999999996</v>
      </c>
      <c r="AA17" s="87">
        <v>6347.259</v>
      </c>
      <c r="AB17" s="87">
        <v>5048</v>
      </c>
      <c r="AC17" s="87">
        <v>8869.1659999999993</v>
      </c>
      <c r="AD17" s="87">
        <v>7085.1530000000002</v>
      </c>
      <c r="AE17" s="87">
        <v>10463.207</v>
      </c>
      <c r="AF17" s="87">
        <v>5350.8549999999996</v>
      </c>
      <c r="AG17" s="87">
        <v>6842.7479999999996</v>
      </c>
      <c r="AH17" s="87">
        <v>4331.7650000000003</v>
      </c>
      <c r="AI17" s="87">
        <v>5815.1480000000001</v>
      </c>
      <c r="AJ17" s="87">
        <v>6877.0950000000003</v>
      </c>
      <c r="AK17" s="87">
        <v>3074.0230000000001</v>
      </c>
      <c r="AL17" s="87">
        <v>2218.3960000000002</v>
      </c>
      <c r="AM17" s="87">
        <v>1313.7670000000001</v>
      </c>
      <c r="AN17" s="87">
        <v>1217.5340000000001</v>
      </c>
      <c r="AO17" s="87">
        <v>1324.422</v>
      </c>
      <c r="AP17" s="87">
        <v>702.62199999999996</v>
      </c>
      <c r="AQ17" s="87">
        <v>6291.4440000000004</v>
      </c>
      <c r="AR17" s="194">
        <v>5537.9750000000004</v>
      </c>
      <c r="AS17" s="87">
        <v>3946.4650000000001</v>
      </c>
      <c r="AT17" s="87">
        <v>4225.3159999999998</v>
      </c>
      <c r="AU17" s="87">
        <v>4530.5690000000004</v>
      </c>
      <c r="AV17" s="87">
        <v>4974.7950000000001</v>
      </c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</row>
    <row r="18" spans="1:72" s="39" customFormat="1" ht="15" customHeight="1" x14ac:dyDescent="0.25">
      <c r="A18" s="74">
        <v>18</v>
      </c>
      <c r="B18" s="40" t="s">
        <v>24</v>
      </c>
      <c r="C18" s="93">
        <f ca="1">OFFSET($E$7,$A18-$A$7,1,1,1)/OFFSET($E$7,$A18-$A$7,2,1,1)-1</f>
        <v>-1</v>
      </c>
      <c r="D18" s="88">
        <f ca="1">OFFSET($E$7,$A18-$A$7,1,1,1)/OFFSET($E$7,$A18-$A$7,5,1,1)-1</f>
        <v>-1</v>
      </c>
      <c r="E18" s="94">
        <f t="shared" ref="E18:E29" ca="1" si="0">OFFSET($E$7,$A18-$A$7,1,1,1)/OFFSET($E$7,$A18-$A$7,IF(MONTH(MAX($7:$7))=3,2,IF(MONTH(MAX($7:$7))=6,3,IF(MONTH(MAX($7:$7))=9,4,5)))*1,1)-1</f>
        <v>-1</v>
      </c>
      <c r="F18" s="381">
        <v>0</v>
      </c>
      <c r="G18" s="381">
        <v>10246</v>
      </c>
      <c r="H18" s="87">
        <v>3001</v>
      </c>
      <c r="I18" s="87">
        <v>43047</v>
      </c>
      <c r="J18" s="87">
        <v>11781</v>
      </c>
      <c r="K18" s="87">
        <v>37453</v>
      </c>
      <c r="L18" s="87">
        <v>73500</v>
      </c>
      <c r="M18" s="87">
        <v>15139</v>
      </c>
      <c r="N18" s="87">
        <v>23978</v>
      </c>
      <c r="O18" s="87">
        <v>39307</v>
      </c>
      <c r="P18" s="87">
        <v>43813</v>
      </c>
      <c r="Q18" s="87">
        <v>38089</v>
      </c>
      <c r="R18" s="87">
        <v>56681</v>
      </c>
      <c r="S18" s="87">
        <v>29105</v>
      </c>
      <c r="T18" s="87">
        <v>38312</v>
      </c>
      <c r="U18" s="409"/>
      <c r="V18" s="409"/>
      <c r="W18" s="409"/>
      <c r="X18" s="87">
        <v>27103</v>
      </c>
      <c r="Y18" s="87">
        <v>11072.734</v>
      </c>
      <c r="Z18" s="87">
        <v>24858.802</v>
      </c>
      <c r="AA18" s="87">
        <v>20294.686000000002</v>
      </c>
      <c r="AB18" s="87">
        <v>22460</v>
      </c>
      <c r="AC18" s="87">
        <v>14084.787</v>
      </c>
      <c r="AD18" s="87">
        <v>5922.6090000000004</v>
      </c>
      <c r="AE18" s="87">
        <v>25001.845000000001</v>
      </c>
      <c r="AF18" s="87">
        <v>28022.486000000001</v>
      </c>
      <c r="AG18" s="87">
        <v>46930.076000000001</v>
      </c>
      <c r="AH18" s="87">
        <v>20155.455000000002</v>
      </c>
      <c r="AI18" s="87">
        <v>47747.483999999997</v>
      </c>
      <c r="AJ18" s="87">
        <v>32368.148000000001</v>
      </c>
      <c r="AK18" s="87">
        <v>29017.672999999999</v>
      </c>
      <c r="AL18" s="87">
        <v>23974.952000000001</v>
      </c>
      <c r="AM18" s="87">
        <v>43757.226000000002</v>
      </c>
      <c r="AN18" s="87">
        <v>34939.256000000001</v>
      </c>
      <c r="AO18" s="87">
        <v>19507.591</v>
      </c>
      <c r="AP18" s="87">
        <v>11344.49</v>
      </c>
      <c r="AQ18" s="87">
        <v>3536.5120000000002</v>
      </c>
      <c r="AR18" s="194">
        <v>33371.758000000002</v>
      </c>
      <c r="AS18" s="87">
        <v>5062.2299999999996</v>
      </c>
      <c r="AT18" s="87">
        <v>4192.0529999999999</v>
      </c>
      <c r="AU18" s="87">
        <v>28384.887999999999</v>
      </c>
      <c r="AV18" s="87">
        <v>35122.584000000003</v>
      </c>
      <c r="AW18" s="87">
        <v>8088.5159999999996</v>
      </c>
      <c r="AX18" s="87">
        <v>24420.210999999999</v>
      </c>
      <c r="AY18" s="87">
        <v>26548.024000000001</v>
      </c>
      <c r="AZ18" s="87">
        <v>29264.47</v>
      </c>
      <c r="BA18" s="87">
        <v>1768.1369999999999</v>
      </c>
      <c r="BB18" s="87">
        <v>1393.046</v>
      </c>
      <c r="BC18" s="87">
        <v>3823.6770000000001</v>
      </c>
      <c r="BD18" s="87">
        <v>8617.2939999999999</v>
      </c>
      <c r="BE18" s="87">
        <v>2209.2950000000001</v>
      </c>
      <c r="BF18" s="87">
        <v>2007.903</v>
      </c>
      <c r="BG18" s="87">
        <v>3398.386</v>
      </c>
      <c r="BH18" s="87">
        <v>2899.1590000000001</v>
      </c>
      <c r="BI18" s="45">
        <v>1975.4179999999999</v>
      </c>
      <c r="BJ18" s="45">
        <v>3866.1149999999998</v>
      </c>
      <c r="BK18" s="45">
        <v>6727.5519999999997</v>
      </c>
      <c r="BL18" s="45">
        <v>2998.6529999999998</v>
      </c>
      <c r="BM18" s="45">
        <v>3105.6750000000002</v>
      </c>
      <c r="BN18" s="45">
        <v>3598.6790000000001</v>
      </c>
      <c r="BO18" s="45">
        <v>5250.69</v>
      </c>
      <c r="BP18" s="45">
        <v>12397.924999999999</v>
      </c>
      <c r="BQ18" s="45">
        <v>1003.69</v>
      </c>
      <c r="BR18" s="45">
        <v>1040.9690000000001</v>
      </c>
      <c r="BS18" s="45">
        <v>1256.2470000000001</v>
      </c>
      <c r="BT18" s="45">
        <v>5867.3549999999996</v>
      </c>
    </row>
    <row r="19" spans="1:72" s="39" customFormat="1" ht="15" customHeight="1" x14ac:dyDescent="0.25">
      <c r="A19" s="74">
        <v>19</v>
      </c>
      <c r="B19" s="250" t="s">
        <v>348</v>
      </c>
      <c r="C19" s="93">
        <f ca="1">OFFSET($E$7,$A19-$A$7,1,1,1)/OFFSET($E$7,$A19-$A$7,2,1,1)-1</f>
        <v>3.5948139284028846E-2</v>
      </c>
      <c r="D19" s="88">
        <f ca="1">OFFSET($E$7,$A19-$A$7,1,1,1)/OFFSET($E$7,$A19-$A$7,5,1,1)-1</f>
        <v>0.19663679449037819</v>
      </c>
      <c r="E19" s="94">
        <f t="shared" ca="1" si="0"/>
        <v>5.4001277527940594E-2</v>
      </c>
      <c r="F19" s="263">
        <f t="shared" ref="F19" si="1">F20+F21</f>
        <v>983438</v>
      </c>
      <c r="G19" s="263">
        <f t="shared" ref="G19:H19" si="2">G20+G21</f>
        <v>949312</v>
      </c>
      <c r="H19" s="263">
        <f t="shared" si="2"/>
        <v>933052</v>
      </c>
      <c r="I19" s="263">
        <f t="shared" ref="I19" si="3">I20+I21</f>
        <v>918271</v>
      </c>
      <c r="J19" s="263">
        <f t="shared" ref="J19:K19" si="4">J20+J21</f>
        <v>821835</v>
      </c>
      <c r="K19" s="263">
        <f t="shared" si="4"/>
        <v>729349</v>
      </c>
      <c r="L19" s="263">
        <f t="shared" ref="L19:AQ19" si="5">L20+L21</f>
        <v>717762</v>
      </c>
      <c r="M19" s="263">
        <f t="shared" si="5"/>
        <v>708783</v>
      </c>
      <c r="N19" s="263">
        <f t="shared" si="5"/>
        <v>686952</v>
      </c>
      <c r="O19" s="263">
        <f t="shared" si="5"/>
        <v>675607</v>
      </c>
      <c r="P19" s="263">
        <f t="shared" si="5"/>
        <v>651757</v>
      </c>
      <c r="Q19" s="263">
        <f t="shared" si="5"/>
        <v>623516</v>
      </c>
      <c r="R19" s="85">
        <f t="shared" si="5"/>
        <v>538589</v>
      </c>
      <c r="S19" s="85">
        <f t="shared" si="5"/>
        <v>561400</v>
      </c>
      <c r="T19" s="85">
        <f t="shared" si="5"/>
        <v>515269</v>
      </c>
      <c r="U19" s="410"/>
      <c r="V19" s="410"/>
      <c r="W19" s="410"/>
      <c r="X19" s="85">
        <f t="shared" si="5"/>
        <v>473799</v>
      </c>
      <c r="Y19" s="85">
        <f t="shared" si="5"/>
        <v>472663.63099999999</v>
      </c>
      <c r="Z19" s="85">
        <f t="shared" si="5"/>
        <v>464833.99599999998</v>
      </c>
      <c r="AA19" s="85">
        <f t="shared" si="5"/>
        <v>440448.87800000003</v>
      </c>
      <c r="AB19" s="85">
        <f t="shared" si="5"/>
        <v>419465</v>
      </c>
      <c r="AC19" s="85">
        <f t="shared" si="5"/>
        <v>427182.34500000003</v>
      </c>
      <c r="AD19" s="85">
        <f t="shared" si="5"/>
        <v>378472.17800000001</v>
      </c>
      <c r="AE19" s="85">
        <f t="shared" si="5"/>
        <v>396604.96400000004</v>
      </c>
      <c r="AF19" s="85">
        <f t="shared" si="5"/>
        <v>368069.65399999998</v>
      </c>
      <c r="AG19" s="85">
        <f t="shared" si="5"/>
        <v>354946.16200000001</v>
      </c>
      <c r="AH19" s="85">
        <f t="shared" si="5"/>
        <v>329403.24</v>
      </c>
      <c r="AI19" s="85">
        <f t="shared" si="5"/>
        <v>335272.59299999999</v>
      </c>
      <c r="AJ19" s="85">
        <f t="shared" si="5"/>
        <v>338783.58600000001</v>
      </c>
      <c r="AK19" s="85">
        <f t="shared" si="5"/>
        <v>338548.39299999998</v>
      </c>
      <c r="AL19" s="85">
        <f t="shared" si="5"/>
        <v>318159.95399999997</v>
      </c>
      <c r="AM19" s="85">
        <f t="shared" si="5"/>
        <v>309997.75800000003</v>
      </c>
      <c r="AN19" s="85">
        <f t="shared" si="5"/>
        <v>318215.91000000003</v>
      </c>
      <c r="AO19" s="85">
        <f t="shared" si="5"/>
        <v>305496.41500000004</v>
      </c>
      <c r="AP19" s="85">
        <f t="shared" si="5"/>
        <v>311091.27799999999</v>
      </c>
      <c r="AQ19" s="45">
        <f t="shared" si="5"/>
        <v>305491.63299999997</v>
      </c>
      <c r="AR19" s="45">
        <f t="shared" ref="AR19:BS19" si="6">AR20+AR21</f>
        <v>314711.06500000006</v>
      </c>
      <c r="AS19" s="45">
        <f t="shared" si="6"/>
        <v>314482.96699999995</v>
      </c>
      <c r="AT19" s="45">
        <f t="shared" si="6"/>
        <v>327948.17099999997</v>
      </c>
      <c r="AU19" s="45">
        <f t="shared" si="6"/>
        <v>329370.26199999999</v>
      </c>
      <c r="AV19" s="45">
        <f t="shared" si="6"/>
        <v>335302.09999999998</v>
      </c>
      <c r="AW19" s="45">
        <f t="shared" si="6"/>
        <v>321018.46799999999</v>
      </c>
      <c r="AX19" s="45">
        <f t="shared" si="6"/>
        <v>305911.40800000005</v>
      </c>
      <c r="AY19" s="45">
        <f t="shared" si="6"/>
        <v>309699.092</v>
      </c>
      <c r="AZ19" s="45">
        <f t="shared" si="6"/>
        <v>315338.995</v>
      </c>
      <c r="BA19" s="45">
        <f t="shared" si="6"/>
        <v>277011.31199999998</v>
      </c>
      <c r="BB19" s="45">
        <f t="shared" si="6"/>
        <v>261582.36499999999</v>
      </c>
      <c r="BC19" s="45">
        <f t="shared" si="6"/>
        <v>264624.78200000001</v>
      </c>
      <c r="BD19" s="45">
        <f t="shared" si="6"/>
        <v>250884.103</v>
      </c>
      <c r="BE19" s="45">
        <f t="shared" si="6"/>
        <v>257483.16200000001</v>
      </c>
      <c r="BF19" s="45">
        <f t="shared" si="6"/>
        <v>243726.72499999998</v>
      </c>
      <c r="BG19" s="45">
        <f t="shared" si="6"/>
        <v>230969.25199999998</v>
      </c>
      <c r="BH19" s="45">
        <f t="shared" si="6"/>
        <v>222378.92</v>
      </c>
      <c r="BI19" s="45">
        <f t="shared" si="6"/>
        <v>223011.924</v>
      </c>
      <c r="BJ19" s="45">
        <f t="shared" si="6"/>
        <v>221735.77499999997</v>
      </c>
      <c r="BK19" s="45">
        <f t="shared" si="6"/>
        <v>208992.378</v>
      </c>
      <c r="BL19" s="45">
        <f t="shared" si="6"/>
        <v>209907.068</v>
      </c>
      <c r="BM19" s="45">
        <f t="shared" si="6"/>
        <v>203365.94899999999</v>
      </c>
      <c r="BN19" s="45">
        <f t="shared" si="6"/>
        <v>198346.72900000002</v>
      </c>
      <c r="BO19" s="45">
        <f t="shared" si="6"/>
        <v>192575.166</v>
      </c>
      <c r="BP19" s="45">
        <f t="shared" si="6"/>
        <v>182818.33899999998</v>
      </c>
      <c r="BQ19" s="45">
        <f t="shared" si="6"/>
        <v>176249.37</v>
      </c>
      <c r="BR19" s="45">
        <f t="shared" si="6"/>
        <v>157624.59099999999</v>
      </c>
      <c r="BS19" s="45">
        <f t="shared" si="6"/>
        <v>159606.44400000002</v>
      </c>
      <c r="BT19" s="45">
        <f>BT20+BT21</f>
        <v>158200.489</v>
      </c>
    </row>
    <row r="20" spans="1:72" s="39" customFormat="1" ht="15" customHeight="1" x14ac:dyDescent="0.25">
      <c r="A20" s="74">
        <v>20</v>
      </c>
      <c r="B20" s="181" t="s">
        <v>279</v>
      </c>
      <c r="C20" s="179">
        <f t="shared" ref="C20:C29" ca="1" si="7">OFFSET($E$7,$A20-$A$7,1,1,1)/OFFSET($E$7,$A20-$A$7,2,1,1)-1</f>
        <v>3.680753683225868E-2</v>
      </c>
      <c r="D20" s="275">
        <f t="shared" ref="D20:D29" ca="1" si="8">OFFSET($E$7,$A20-$A$7,1,1,1)/OFFSET($E$7,$A20-$A$7,5,1,1)-1</f>
        <v>0.19128952762615437</v>
      </c>
      <c r="E20" s="180">
        <f t="shared" ca="1" si="0"/>
        <v>5.3562893115922439E-2</v>
      </c>
      <c r="F20" s="182">
        <v>775869</v>
      </c>
      <c r="G20" s="182">
        <v>748325</v>
      </c>
      <c r="H20" s="182">
        <v>736424</v>
      </c>
      <c r="I20" s="182">
        <v>737324</v>
      </c>
      <c r="J20" s="182">
        <v>651285</v>
      </c>
      <c r="K20" s="182">
        <v>563140</v>
      </c>
      <c r="L20" s="182">
        <v>559717</v>
      </c>
      <c r="M20" s="182">
        <v>554308</v>
      </c>
      <c r="N20" s="182">
        <f>523829+8805</f>
        <v>532634</v>
      </c>
      <c r="O20" s="182">
        <v>523409</v>
      </c>
      <c r="P20" s="182">
        <v>497957</v>
      </c>
      <c r="Q20" s="182">
        <v>470751</v>
      </c>
      <c r="R20" s="182">
        <v>392319</v>
      </c>
      <c r="S20" s="182">
        <v>420195</v>
      </c>
      <c r="T20" s="182">
        <v>378373</v>
      </c>
      <c r="U20" s="411"/>
      <c r="V20" s="411"/>
      <c r="W20" s="411"/>
      <c r="X20" s="182">
        <v>342762</v>
      </c>
      <c r="Y20" s="182">
        <v>347457.413</v>
      </c>
      <c r="Z20" s="182">
        <v>342419.402</v>
      </c>
      <c r="AA20" s="182">
        <v>327120.86800000002</v>
      </c>
      <c r="AB20" s="182">
        <v>309647</v>
      </c>
      <c r="AC20" s="182">
        <v>321072.82400000002</v>
      </c>
      <c r="AD20" s="182">
        <v>278080.90600000002</v>
      </c>
      <c r="AE20" s="182">
        <v>295972.53600000002</v>
      </c>
      <c r="AF20" s="182">
        <v>269108.45600000001</v>
      </c>
      <c r="AG20" s="182">
        <v>256369.49799999999</v>
      </c>
      <c r="AH20" s="182">
        <v>234258.989</v>
      </c>
      <c r="AI20" s="182">
        <v>246054.823</v>
      </c>
      <c r="AJ20" s="182">
        <v>252761.43700000001</v>
      </c>
      <c r="AK20" s="182">
        <v>256350.72399999999</v>
      </c>
      <c r="AL20" s="182">
        <v>239817.49299999999</v>
      </c>
      <c r="AM20" s="182">
        <f>234601.104+905.798</f>
        <v>235506.902</v>
      </c>
      <c r="AN20" s="182">
        <v>245238.842</v>
      </c>
      <c r="AO20" s="182">
        <v>237126.77100000001</v>
      </c>
      <c r="AP20" s="182">
        <v>247484.36900000001</v>
      </c>
      <c r="AQ20" s="182">
        <v>246755.89799999999</v>
      </c>
      <c r="AR20" s="195">
        <f>'Loan Portfolio IAS 39'!I73</f>
        <v>256602.22000000003</v>
      </c>
      <c r="AS20" s="182">
        <f>'Loan Portfolio IAS 39'!J73</f>
        <v>257745.21299999996</v>
      </c>
      <c r="AT20" s="182">
        <f>'Loan Portfolio IAS 39'!K73</f>
        <v>272697.89899999998</v>
      </c>
      <c r="AU20" s="182">
        <f>'Loan Portfolio IAS 39'!L73</f>
        <v>275254.136</v>
      </c>
      <c r="AV20" s="182">
        <f>'Loan Portfolio IAS 39'!M73</f>
        <v>283556.95299999998</v>
      </c>
      <c r="AW20" s="182">
        <f>'Loan Portfolio IAS 39'!N73</f>
        <v>269601.91599999997</v>
      </c>
      <c r="AX20" s="182">
        <f>'Loan Portfolio IAS 39'!O73</f>
        <v>257839.13500000004</v>
      </c>
      <c r="AY20" s="182">
        <f>'Loan Portfolio IAS 39'!P73</f>
        <v>261211.13699999999</v>
      </c>
      <c r="AZ20" s="182">
        <f>'Loan Portfolio IAS 39'!Q73</f>
        <v>264745.63099999999</v>
      </c>
      <c r="BA20" s="182">
        <f>'Loan Portfolio IAS 39'!R73</f>
        <v>229349.11</v>
      </c>
      <c r="BB20" s="182">
        <f>'Loan Portfolio IAS 39'!S73</f>
        <v>217880.39799999999</v>
      </c>
      <c r="BC20" s="182">
        <f>'Loan Portfolio IAS 39'!T73</f>
        <v>224264.109</v>
      </c>
      <c r="BD20" s="182">
        <f>'Loan Portfolio IAS 39'!U73</f>
        <v>213954.416</v>
      </c>
      <c r="BE20" s="182">
        <f>'Loan Portfolio IAS 39'!V73</f>
        <v>223423.712</v>
      </c>
      <c r="BF20" s="182">
        <f>'Loan Portfolio IAS 39'!W73</f>
        <v>213536.56399999998</v>
      </c>
      <c r="BG20" s="182">
        <f>'Loan Portfolio IAS 39'!X73</f>
        <v>205158.20699999999</v>
      </c>
      <c r="BH20" s="182">
        <f>'Loan Portfolio IAS 39'!Y73</f>
        <v>200235.948</v>
      </c>
      <c r="BI20" s="182">
        <f>'Loan Portfolio IAS 39'!Z73</f>
        <v>204500.56399999998</v>
      </c>
      <c r="BJ20" s="182">
        <f>'Loan Portfolio IAS 39'!AA73</f>
        <v>205032.54599999997</v>
      </c>
      <c r="BK20" s="182">
        <f>'Loan Portfolio IAS 39'!AB73</f>
        <v>193463.26800000001</v>
      </c>
      <c r="BL20" s="182">
        <f>'Loan Portfolio IAS 39'!AC73</f>
        <v>194786.03899999999</v>
      </c>
      <c r="BM20" s="182">
        <f>'Loan Portfolio IAS 39'!AD73</f>
        <v>188635.18</v>
      </c>
      <c r="BN20" s="182">
        <f>'Loan Portfolio IAS 39'!AE73</f>
        <v>185161.09700000001</v>
      </c>
      <c r="BO20" s="182">
        <f>'Loan Portfolio IAS 39'!AF73</f>
        <v>179364.76499999998</v>
      </c>
      <c r="BP20" s="182">
        <f>'Loan Portfolio IAS 39'!AG73</f>
        <v>169990.90099999998</v>
      </c>
      <c r="BQ20" s="182">
        <f>'Loan Portfolio IAS 39'!AH73</f>
        <v>163340.772</v>
      </c>
      <c r="BR20" s="182">
        <f>'Loan Portfolio IAS 39'!AI73</f>
        <v>144384.75699999998</v>
      </c>
      <c r="BS20" s="182">
        <f>'Loan Portfolio IAS 39'!AJ73</f>
        <v>146508.92200000002</v>
      </c>
      <c r="BT20" s="182">
        <f>'Loan Portfolio IAS 39'!AK73</f>
        <v>144551.01699999999</v>
      </c>
    </row>
    <row r="21" spans="1:72" s="39" customFormat="1" ht="15" customHeight="1" x14ac:dyDescent="0.25">
      <c r="A21" s="74">
        <v>21</v>
      </c>
      <c r="B21" s="181" t="s">
        <v>280</v>
      </c>
      <c r="C21" s="179">
        <f t="shared" ca="1" si="7"/>
        <v>3.2748386711578314E-2</v>
      </c>
      <c r="D21" s="275">
        <f t="shared" ca="1" si="8"/>
        <v>0.21705658164761066</v>
      </c>
      <c r="E21" s="180">
        <f t="shared" ca="1" si="0"/>
        <v>5.5643143397684947E-2</v>
      </c>
      <c r="F21" s="182">
        <v>207569</v>
      </c>
      <c r="G21" s="182">
        <v>200987</v>
      </c>
      <c r="H21" s="182">
        <v>196628</v>
      </c>
      <c r="I21" s="182">
        <v>180947</v>
      </c>
      <c r="J21" s="182">
        <v>170550</v>
      </c>
      <c r="K21" s="182">
        <v>166209</v>
      </c>
      <c r="L21" s="182">
        <v>158045</v>
      </c>
      <c r="M21" s="182">
        <v>154475</v>
      </c>
      <c r="N21" s="182">
        <v>154318</v>
      </c>
      <c r="O21" s="182">
        <v>152198</v>
      </c>
      <c r="P21" s="182">
        <v>153800</v>
      </c>
      <c r="Q21" s="182">
        <v>152765</v>
      </c>
      <c r="R21" s="182">
        <v>146270</v>
      </c>
      <c r="S21" s="182">
        <v>141205</v>
      </c>
      <c r="T21" s="182">
        <v>136896</v>
      </c>
      <c r="U21" s="411"/>
      <c r="V21" s="411"/>
      <c r="W21" s="411"/>
      <c r="X21" s="182">
        <v>131037</v>
      </c>
      <c r="Y21" s="182">
        <v>125206.21799999999</v>
      </c>
      <c r="Z21" s="182">
        <v>122414.594</v>
      </c>
      <c r="AA21" s="182">
        <v>113328.01</v>
      </c>
      <c r="AB21" s="182">
        <v>109818</v>
      </c>
      <c r="AC21" s="182">
        <v>106109.52099999999</v>
      </c>
      <c r="AD21" s="182">
        <v>100391.272</v>
      </c>
      <c r="AE21" s="182">
        <v>100632.428</v>
      </c>
      <c r="AF21" s="182">
        <v>98961.198000000004</v>
      </c>
      <c r="AG21" s="182">
        <v>98576.664000000004</v>
      </c>
      <c r="AH21" s="182">
        <v>95144.251000000004</v>
      </c>
      <c r="AI21" s="182">
        <v>89217.77</v>
      </c>
      <c r="AJ21" s="182">
        <v>86022.149000000005</v>
      </c>
      <c r="AK21" s="182">
        <v>82197.668999999994</v>
      </c>
      <c r="AL21" s="182">
        <v>78342.460999999996</v>
      </c>
      <c r="AM21" s="182">
        <v>74490.856</v>
      </c>
      <c r="AN21" s="182">
        <v>72977.067999999999</v>
      </c>
      <c r="AO21" s="182">
        <v>68369.644</v>
      </c>
      <c r="AP21" s="182">
        <v>63606.909</v>
      </c>
      <c r="AQ21" s="182">
        <v>58735.735000000001</v>
      </c>
      <c r="AR21" s="195">
        <f>'Loan Portfolio IAS 39'!I92</f>
        <v>58108.845000000001</v>
      </c>
      <c r="AS21" s="182">
        <f>'Loan Portfolio IAS 39'!J92</f>
        <v>56737.754000000001</v>
      </c>
      <c r="AT21" s="182">
        <f>'Loan Portfolio IAS 39'!K92</f>
        <v>55250.271999999997</v>
      </c>
      <c r="AU21" s="182">
        <f>'Loan Portfolio IAS 39'!L92</f>
        <v>54116.126000000004</v>
      </c>
      <c r="AV21" s="182">
        <f>'Loan Portfolio IAS 39'!M92</f>
        <v>51745.146999999997</v>
      </c>
      <c r="AW21" s="182">
        <f>'Loan Portfolio IAS 39'!N92</f>
        <v>51416.552000000003</v>
      </c>
      <c r="AX21" s="182">
        <f>'Loan Portfolio IAS 39'!O92</f>
        <v>48072.273000000001</v>
      </c>
      <c r="AY21" s="182">
        <f>'Loan Portfolio IAS 39'!P92</f>
        <v>48487.954999999994</v>
      </c>
      <c r="AZ21" s="182">
        <f>'Loan Portfolio IAS 39'!Q92</f>
        <v>50593.364000000001</v>
      </c>
      <c r="BA21" s="182">
        <f>'Loan Portfolio IAS 39'!R92</f>
        <v>47662.202000000005</v>
      </c>
      <c r="BB21" s="182">
        <f>'Loan Portfolio IAS 39'!S92</f>
        <v>43701.967000000004</v>
      </c>
      <c r="BC21" s="182">
        <f>'Loan Portfolio IAS 39'!T92</f>
        <v>40360.673000000003</v>
      </c>
      <c r="BD21" s="182">
        <f>'Loan Portfolio IAS 39'!U92</f>
        <v>36929.686999999998</v>
      </c>
      <c r="BE21" s="182">
        <f>'Loan Portfolio IAS 39'!V92</f>
        <v>34059.449999999997</v>
      </c>
      <c r="BF21" s="182">
        <f>'Loan Portfolio IAS 39'!W92</f>
        <v>30190.161</v>
      </c>
      <c r="BG21" s="182">
        <f>'Loan Portfolio IAS 39'!X92</f>
        <v>25811.044999999998</v>
      </c>
      <c r="BH21" s="182">
        <f>'Loan Portfolio IAS 39'!Y92</f>
        <v>22142.971999999998</v>
      </c>
      <c r="BI21" s="182">
        <f>'Loan Portfolio IAS 39'!Z92</f>
        <v>18511.36</v>
      </c>
      <c r="BJ21" s="182">
        <f>'Loan Portfolio IAS 39'!AA92</f>
        <v>16703.229000000003</v>
      </c>
      <c r="BK21" s="182">
        <f>'Loan Portfolio IAS 39'!AB92</f>
        <v>15529.109999999999</v>
      </c>
      <c r="BL21" s="182">
        <f>'Loan Portfolio IAS 39'!AC92</f>
        <v>15121.029</v>
      </c>
      <c r="BM21" s="182">
        <f>'Loan Portfolio IAS 39'!AD92</f>
        <v>14730.769</v>
      </c>
      <c r="BN21" s="182">
        <f>'Loan Portfolio IAS 39'!AE92</f>
        <v>13185.632</v>
      </c>
      <c r="BO21" s="182">
        <f>'Loan Portfolio IAS 39'!AF92</f>
        <v>13210.401</v>
      </c>
      <c r="BP21" s="182">
        <f>'Loan Portfolio IAS 39'!AG92</f>
        <v>12827.438000000002</v>
      </c>
      <c r="BQ21" s="182">
        <f>'Loan Portfolio IAS 39'!AH92</f>
        <v>12908.597999999998</v>
      </c>
      <c r="BR21" s="182">
        <f>'Loan Portfolio IAS 39'!AI92</f>
        <v>13239.834000000001</v>
      </c>
      <c r="BS21" s="182">
        <f>'Loan Portfolio IAS 39'!AJ92</f>
        <v>13097.522000000001</v>
      </c>
      <c r="BT21" s="182">
        <f>'Loan Portfolio IAS 39'!AK92</f>
        <v>13649.472</v>
      </c>
    </row>
    <row r="22" spans="1:72" s="39" customFormat="1" ht="29.25" customHeight="1" x14ac:dyDescent="0.25">
      <c r="A22" s="74">
        <v>22</v>
      </c>
      <c r="B22" s="264" t="s">
        <v>378</v>
      </c>
      <c r="C22" s="93">
        <f t="shared" ca="1" si="7"/>
        <v>0.1773434309971571</v>
      </c>
      <c r="D22" s="88">
        <f t="shared" ca="1" si="8"/>
        <v>0.41294056732867346</v>
      </c>
      <c r="E22" s="94">
        <f t="shared" ca="1" si="0"/>
        <v>0.2764190972570244</v>
      </c>
      <c r="F22" s="381">
        <f>70822+81996</f>
        <v>152818</v>
      </c>
      <c r="G22" s="381">
        <f>42220+87579</f>
        <v>129799</v>
      </c>
      <c r="H22" s="87">
        <f>38635+81089</f>
        <v>119724</v>
      </c>
      <c r="I22" s="87">
        <f>19928+93057</f>
        <v>112985</v>
      </c>
      <c r="J22" s="87">
        <f>13898+94258</f>
        <v>108156</v>
      </c>
      <c r="K22" s="87">
        <f>25903+81297</f>
        <v>107200</v>
      </c>
      <c r="L22" s="87">
        <f>16762+100169</f>
        <v>116931</v>
      </c>
      <c r="M22" s="87">
        <v>85818</v>
      </c>
      <c r="N22" s="87">
        <f>23836+72115</f>
        <v>95951</v>
      </c>
      <c r="O22" s="87">
        <v>97383</v>
      </c>
      <c r="P22" s="87">
        <v>102359</v>
      </c>
      <c r="Q22" s="87">
        <v>119736</v>
      </c>
      <c r="R22" s="87">
        <v>114701</v>
      </c>
      <c r="S22" s="87">
        <v>116488</v>
      </c>
      <c r="T22" s="87">
        <v>71099</v>
      </c>
      <c r="U22" s="409"/>
      <c r="V22" s="409"/>
      <c r="W22" s="409"/>
      <c r="X22" s="87">
        <v>61257</v>
      </c>
      <c r="Y22" s="87">
        <v>59133.968000000001</v>
      </c>
      <c r="Z22" s="87">
        <v>65572.58</v>
      </c>
      <c r="AA22" s="87">
        <v>75388.108999999997</v>
      </c>
      <c r="AB22" s="87">
        <v>75091</v>
      </c>
      <c r="AC22" s="87">
        <v>78911.267999999996</v>
      </c>
      <c r="AD22" s="87">
        <v>70503.854999999996</v>
      </c>
      <c r="AE22" s="87">
        <v>74124.25</v>
      </c>
      <c r="AF22" s="87">
        <v>54499.667999999998</v>
      </c>
      <c r="AG22" s="87">
        <v>57474.216999999997</v>
      </c>
      <c r="AH22" s="87">
        <v>76173.462</v>
      </c>
      <c r="AI22" s="87">
        <v>54355.107000000004</v>
      </c>
      <c r="AJ22" s="87">
        <v>56772.409</v>
      </c>
      <c r="AK22" s="87">
        <v>20977.355</v>
      </c>
      <c r="AL22" s="87">
        <v>9926.9269999999997</v>
      </c>
      <c r="AM22" s="87">
        <v>13036.44</v>
      </c>
      <c r="AN22" s="87">
        <v>48950.718999999997</v>
      </c>
      <c r="AO22" s="87">
        <v>13591.182000000001</v>
      </c>
      <c r="AP22" s="87">
        <v>11266.994000000001</v>
      </c>
      <c r="AQ22" s="87">
        <v>25379.603999999999</v>
      </c>
      <c r="AR22" s="194">
        <v>26477.508000000002</v>
      </c>
      <c r="AS22" s="87">
        <v>33639.097000000002</v>
      </c>
      <c r="AT22" s="87">
        <v>24116.827000000001</v>
      </c>
      <c r="AU22" s="87">
        <v>24512.237000000001</v>
      </c>
      <c r="AV22" s="87">
        <v>27849.191999999999</v>
      </c>
      <c r="AW22" s="87">
        <v>31707.698</v>
      </c>
      <c r="AX22" s="87">
        <v>9841.76</v>
      </c>
      <c r="AY22" s="87">
        <v>18227.364000000001</v>
      </c>
      <c r="AZ22" s="87">
        <v>9259.393</v>
      </c>
      <c r="BA22" s="87">
        <v>2332.4679999999998</v>
      </c>
      <c r="BB22" s="87">
        <v>2312.21</v>
      </c>
      <c r="BC22" s="87">
        <v>2815.502</v>
      </c>
      <c r="BD22" s="87">
        <v>3324.7579999999998</v>
      </c>
      <c r="BE22" s="87">
        <v>3403.413</v>
      </c>
      <c r="BF22" s="87">
        <v>3436.6179999999999</v>
      </c>
      <c r="BG22" s="87">
        <v>3205.7339999999999</v>
      </c>
      <c r="BH22" s="87">
        <v>3521.259</v>
      </c>
      <c r="BI22" s="45">
        <v>4101.7280000000001</v>
      </c>
      <c r="BJ22" s="45">
        <v>7053.83</v>
      </c>
      <c r="BK22" s="45">
        <v>6640.0230000000001</v>
      </c>
      <c r="BL22" s="45">
        <v>6875.174</v>
      </c>
      <c r="BM22" s="45">
        <v>4437.6930000000002</v>
      </c>
      <c r="BN22" s="45">
        <v>3768.107</v>
      </c>
      <c r="BO22" s="45">
        <v>2837.5219999999999</v>
      </c>
      <c r="BP22" s="45">
        <v>280.49099999999999</v>
      </c>
      <c r="BQ22" s="45">
        <v>82.295000000000002</v>
      </c>
      <c r="BR22" s="45">
        <v>81.55</v>
      </c>
      <c r="BS22" s="45">
        <v>88.745999999999995</v>
      </c>
      <c r="BT22" s="45">
        <v>88.245000000000005</v>
      </c>
    </row>
    <row r="23" spans="1:72" s="39" customFormat="1" ht="15" hidden="1" customHeight="1" x14ac:dyDescent="0.25">
      <c r="A23" s="74">
        <v>23</v>
      </c>
      <c r="B23" s="40" t="s">
        <v>26</v>
      </c>
      <c r="C23" s="93" t="e">
        <f t="shared" ca="1" si="7"/>
        <v>#DIV/0!</v>
      </c>
      <c r="D23" s="88" t="e">
        <f t="shared" ca="1" si="8"/>
        <v>#DIV/0!</v>
      </c>
      <c r="E23" s="94" t="e">
        <f t="shared" ca="1" si="0"/>
        <v>#DIV/0!</v>
      </c>
      <c r="F23" s="381"/>
      <c r="G23" s="381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409"/>
      <c r="V23" s="409"/>
      <c r="W23" s="409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>
        <v>0</v>
      </c>
      <c r="AK23" s="87">
        <v>0</v>
      </c>
      <c r="AL23" s="87"/>
      <c r="AM23" s="87"/>
      <c r="AN23" s="87"/>
      <c r="AO23" s="87"/>
      <c r="AP23" s="87"/>
      <c r="AQ23" s="87"/>
      <c r="AR23" s="194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>
        <v>13.067</v>
      </c>
      <c r="BF23" s="87">
        <v>26.134</v>
      </c>
      <c r="BG23" s="87">
        <v>26.134</v>
      </c>
      <c r="BH23" s="87">
        <v>31.361000000000001</v>
      </c>
      <c r="BI23" s="45">
        <v>31.361000000000001</v>
      </c>
      <c r="BJ23" s="45">
        <v>31.361000000000001</v>
      </c>
      <c r="BK23" s="45">
        <v>31.361000000000001</v>
      </c>
      <c r="BL23" s="45">
        <v>31.361000000000001</v>
      </c>
      <c r="BM23" s="45">
        <v>41.676000000000002</v>
      </c>
      <c r="BN23" s="45">
        <v>169.60499999999999</v>
      </c>
      <c r="BO23" s="45">
        <v>166.25</v>
      </c>
      <c r="BP23" s="45">
        <v>169.63800000000001</v>
      </c>
      <c r="BQ23" s="45">
        <v>166.239</v>
      </c>
      <c r="BR23" s="45">
        <v>169.53899999999999</v>
      </c>
      <c r="BS23" s="45">
        <v>173.63300000000001</v>
      </c>
      <c r="BT23" s="45">
        <v>180.90799999999999</v>
      </c>
    </row>
    <row r="24" spans="1:72" s="39" customFormat="1" ht="15" hidden="1" customHeight="1" x14ac:dyDescent="0.25">
      <c r="A24" s="74">
        <v>24</v>
      </c>
      <c r="B24" s="40" t="s">
        <v>27</v>
      </c>
      <c r="C24" s="93" t="e">
        <f t="shared" ca="1" si="7"/>
        <v>#DIV/0!</v>
      </c>
      <c r="D24" s="88" t="e">
        <f t="shared" ca="1" si="8"/>
        <v>#DIV/0!</v>
      </c>
      <c r="E24" s="94" t="e">
        <f t="shared" ca="1" si="0"/>
        <v>#DIV/0!</v>
      </c>
      <c r="F24" s="381"/>
      <c r="G24" s="381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409"/>
      <c r="V24" s="409"/>
      <c r="W24" s="409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>
        <v>0</v>
      </c>
      <c r="AK24" s="87">
        <v>0</v>
      </c>
      <c r="AL24" s="87"/>
      <c r="AM24" s="87"/>
      <c r="AN24" s="87"/>
      <c r="AO24" s="87"/>
      <c r="AP24" s="87"/>
      <c r="AQ24" s="87"/>
      <c r="AR24" s="194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45">
        <v>1330.6679999999999</v>
      </c>
      <c r="BJ24" s="45">
        <v>1566.5170000000001</v>
      </c>
      <c r="BK24" s="45">
        <v>1285.8510000000001</v>
      </c>
      <c r="BL24" s="45">
        <v>1194.021</v>
      </c>
      <c r="BM24" s="45">
        <v>955.45799999999997</v>
      </c>
      <c r="BN24" s="45">
        <v>801.27499999999998</v>
      </c>
      <c r="BO24" s="45">
        <v>1065.2329999999999</v>
      </c>
      <c r="BP24" s="45">
        <v>305.78500000000003</v>
      </c>
      <c r="BQ24" s="45">
        <v>133.892</v>
      </c>
      <c r="BR24" s="45">
        <v>89.741</v>
      </c>
      <c r="BS24" s="45">
        <v>75.399000000000001</v>
      </c>
      <c r="BT24" s="45">
        <v>149.01400000000001</v>
      </c>
    </row>
    <row r="25" spans="1:72" s="39" customFormat="1" ht="15" customHeight="1" x14ac:dyDescent="0.25">
      <c r="A25" s="74">
        <v>25</v>
      </c>
      <c r="B25" s="40" t="s">
        <v>28</v>
      </c>
      <c r="C25" s="93">
        <f t="shared" ca="1" si="7"/>
        <v>0</v>
      </c>
      <c r="D25" s="88">
        <f t="shared" ca="1" si="8"/>
        <v>-3.4220005541701348E-2</v>
      </c>
      <c r="E25" s="94">
        <f t="shared" ca="1" si="0"/>
        <v>0</v>
      </c>
      <c r="F25" s="381">
        <v>6971</v>
      </c>
      <c r="G25" s="381">
        <v>6971</v>
      </c>
      <c r="H25" s="87">
        <v>6971</v>
      </c>
      <c r="I25" s="87">
        <v>7115</v>
      </c>
      <c r="J25" s="87">
        <v>7218</v>
      </c>
      <c r="K25" s="87">
        <v>7218</v>
      </c>
      <c r="L25" s="87">
        <v>1723</v>
      </c>
      <c r="M25" s="87">
        <v>1629</v>
      </c>
      <c r="N25" s="87">
        <v>1629</v>
      </c>
      <c r="O25" s="87">
        <v>1629</v>
      </c>
      <c r="P25" s="87">
        <v>1629</v>
      </c>
      <c r="Q25" s="87">
        <v>1292</v>
      </c>
      <c r="R25" s="87">
        <v>5934</v>
      </c>
      <c r="S25" s="87">
        <v>5133</v>
      </c>
      <c r="T25" s="87">
        <v>4274</v>
      </c>
      <c r="U25" s="409"/>
      <c r="V25" s="409"/>
      <c r="W25" s="409"/>
      <c r="X25" s="87">
        <v>3062</v>
      </c>
      <c r="Y25" s="87">
        <v>3269.6170000000002</v>
      </c>
      <c r="Z25" s="87">
        <v>4247.6189999999997</v>
      </c>
      <c r="AA25" s="87">
        <v>4492.6109999999999</v>
      </c>
      <c r="AB25" s="87">
        <v>4411</v>
      </c>
      <c r="AC25" s="87">
        <v>6363.41</v>
      </c>
      <c r="AD25" s="87">
        <v>6801.1149999999998</v>
      </c>
      <c r="AE25" s="87">
        <v>7016.4579999999996</v>
      </c>
      <c r="AF25" s="87">
        <v>7028.5020000000004</v>
      </c>
      <c r="AG25" s="87">
        <v>7420.6149999999998</v>
      </c>
      <c r="AH25" s="87">
        <v>7408.2740000000003</v>
      </c>
      <c r="AI25" s="87">
        <v>7365.107</v>
      </c>
      <c r="AJ25" s="87">
        <v>7311.9319999999998</v>
      </c>
      <c r="AK25" s="87">
        <v>8845.4840000000004</v>
      </c>
      <c r="AL25" s="87">
        <v>7371.94</v>
      </c>
      <c r="AM25" s="87">
        <v>8141.2330000000002</v>
      </c>
      <c r="AN25" s="87">
        <v>8102.9970000000003</v>
      </c>
      <c r="AO25" s="87">
        <v>8030.8450000000003</v>
      </c>
      <c r="AP25" s="87">
        <v>5582.0010000000002</v>
      </c>
      <c r="AQ25" s="87">
        <v>5711.21</v>
      </c>
      <c r="AR25" s="194">
        <v>5726.2250000000004</v>
      </c>
      <c r="AS25" s="87">
        <v>5607.4229999999998</v>
      </c>
      <c r="AT25" s="87">
        <v>5635.7790000000005</v>
      </c>
      <c r="AU25" s="87">
        <v>1951.393</v>
      </c>
      <c r="AV25" s="87">
        <v>3162.5320000000002</v>
      </c>
      <c r="AW25" s="87">
        <v>3163.3939999999998</v>
      </c>
      <c r="AX25" s="87">
        <v>3185.7089999999998</v>
      </c>
      <c r="AY25" s="87">
        <v>1581.4380000000001</v>
      </c>
      <c r="AZ25" s="87">
        <v>1591.433</v>
      </c>
      <c r="BA25" s="87">
        <v>1649.511</v>
      </c>
      <c r="BB25" s="87">
        <v>1652.011</v>
      </c>
      <c r="BC25" s="87">
        <v>1652.011</v>
      </c>
      <c r="BD25" s="87">
        <v>1653.115</v>
      </c>
      <c r="BE25" s="87">
        <v>4289.4030000000002</v>
      </c>
      <c r="BF25" s="87">
        <v>2860.953</v>
      </c>
      <c r="BG25" s="87">
        <v>2862.04</v>
      </c>
      <c r="BH25" s="87">
        <v>2855.7559999999999</v>
      </c>
      <c r="BI25" s="45">
        <v>2856.8670000000002</v>
      </c>
      <c r="BJ25" s="45">
        <v>4724.4920000000002</v>
      </c>
      <c r="BK25" s="45">
        <v>4514.7389999999996</v>
      </c>
      <c r="BL25" s="45">
        <v>4524.3329999999996</v>
      </c>
      <c r="BM25" s="45">
        <v>4566.1710000000003</v>
      </c>
      <c r="BN25" s="45">
        <v>4576.0349999999999</v>
      </c>
      <c r="BO25" s="45">
        <v>3960.3040000000001</v>
      </c>
      <c r="BP25" s="45">
        <v>3956.82</v>
      </c>
      <c r="BQ25" s="45">
        <v>2000.008</v>
      </c>
      <c r="BR25" s="45">
        <v>2000.008</v>
      </c>
      <c r="BS25" s="45">
        <v>2000.008</v>
      </c>
      <c r="BT25" s="45">
        <v>2000.008</v>
      </c>
    </row>
    <row r="26" spans="1:72" ht="15" customHeight="1" x14ac:dyDescent="0.25">
      <c r="A26" s="74">
        <v>26</v>
      </c>
      <c r="B26" s="5" t="s">
        <v>29</v>
      </c>
      <c r="C26" s="93">
        <f t="shared" ca="1" si="7"/>
        <v>2.1348837209302252E-2</v>
      </c>
      <c r="D26" s="88">
        <f t="shared" ca="1" si="8"/>
        <v>9.0859413810233436E-2</v>
      </c>
      <c r="E26" s="94">
        <f t="shared" ca="1" si="0"/>
        <v>2.7081384471468573E-2</v>
      </c>
      <c r="F26" s="380">
        <v>21959</v>
      </c>
      <c r="G26" s="380">
        <v>21500</v>
      </c>
      <c r="H26" s="86">
        <v>21380</v>
      </c>
      <c r="I26" s="86">
        <v>20488</v>
      </c>
      <c r="J26" s="86">
        <v>20130</v>
      </c>
      <c r="K26" s="86">
        <v>19336</v>
      </c>
      <c r="L26" s="86">
        <v>19505</v>
      </c>
      <c r="M26" s="86">
        <v>18652</v>
      </c>
      <c r="N26" s="86">
        <v>18434</v>
      </c>
      <c r="O26" s="86">
        <v>18025</v>
      </c>
      <c r="P26" s="86">
        <v>17376</v>
      </c>
      <c r="Q26" s="86">
        <v>15763</v>
      </c>
      <c r="R26" s="86">
        <v>15471</v>
      </c>
      <c r="S26" s="86">
        <v>15615</v>
      </c>
      <c r="T26" s="86">
        <v>15705</v>
      </c>
      <c r="U26" s="407"/>
      <c r="V26" s="407"/>
      <c r="W26" s="407"/>
      <c r="X26" s="86">
        <v>14405</v>
      </c>
      <c r="Y26" s="86">
        <v>13919.635</v>
      </c>
      <c r="Z26" s="86">
        <v>14167.415999999999</v>
      </c>
      <c r="AA26" s="86">
        <v>14266.281999999999</v>
      </c>
      <c r="AB26" s="86">
        <v>14443</v>
      </c>
      <c r="AC26" s="86">
        <v>14290.245999999999</v>
      </c>
      <c r="AD26" s="86">
        <v>14267.593000000001</v>
      </c>
      <c r="AE26" s="86">
        <v>14223.603999999999</v>
      </c>
      <c r="AF26" s="86">
        <v>14798.047</v>
      </c>
      <c r="AG26" s="86">
        <v>14448.04</v>
      </c>
      <c r="AH26" s="86">
        <v>14504.392</v>
      </c>
      <c r="AI26" s="86">
        <v>13863.374</v>
      </c>
      <c r="AJ26" s="86">
        <v>14182.855</v>
      </c>
      <c r="AK26" s="86">
        <v>14268.815000000001</v>
      </c>
      <c r="AL26" s="86">
        <v>14407.281999999999</v>
      </c>
      <c r="AM26" s="86">
        <v>14568.254999999999</v>
      </c>
      <c r="AN26" s="86">
        <v>14670.596</v>
      </c>
      <c r="AO26" s="86">
        <v>14909.637000000001</v>
      </c>
      <c r="AP26" s="86">
        <v>14888.95</v>
      </c>
      <c r="AQ26" s="86">
        <v>14186.588</v>
      </c>
      <c r="AR26" s="192">
        <v>14304.98</v>
      </c>
      <c r="AS26" s="86">
        <v>14408.606</v>
      </c>
      <c r="AT26" s="86">
        <v>14445.998</v>
      </c>
      <c r="AU26" s="86">
        <v>14356.790999999999</v>
      </c>
      <c r="AV26" s="86">
        <v>14476.946</v>
      </c>
      <c r="AW26" s="86">
        <v>14295.665999999999</v>
      </c>
      <c r="AX26" s="86">
        <v>14302.787</v>
      </c>
      <c r="AY26" s="86">
        <v>14330.807000000001</v>
      </c>
      <c r="AZ26" s="86">
        <v>14535.188</v>
      </c>
      <c r="BA26" s="86">
        <v>13785.134</v>
      </c>
      <c r="BB26" s="86">
        <v>13889.107</v>
      </c>
      <c r="BC26" s="86">
        <v>13841.368</v>
      </c>
      <c r="BD26" s="86">
        <v>13806.328</v>
      </c>
      <c r="BE26" s="86">
        <v>13728.429</v>
      </c>
      <c r="BF26" s="86">
        <v>13819.672</v>
      </c>
      <c r="BG26" s="86">
        <v>13905.541999999999</v>
      </c>
      <c r="BH26" s="86">
        <v>13971.681</v>
      </c>
      <c r="BI26" s="11">
        <v>13755.664000000001</v>
      </c>
      <c r="BJ26" s="11">
        <v>13673.254000000001</v>
      </c>
      <c r="BK26" s="11">
        <v>13935.485000000001</v>
      </c>
      <c r="BL26" s="11">
        <v>14134.509</v>
      </c>
      <c r="BM26" s="11">
        <v>12312.039000000001</v>
      </c>
      <c r="BN26" s="11">
        <v>11743.331</v>
      </c>
      <c r="BO26" s="11">
        <v>11716.114</v>
      </c>
      <c r="BP26" s="11">
        <v>11762.753000000001</v>
      </c>
      <c r="BQ26" s="11">
        <f>11230.3+0.563</f>
        <v>11230.862999999999</v>
      </c>
      <c r="BR26" s="11">
        <f>11220.744+0.635</f>
        <v>11221.379000000001</v>
      </c>
      <c r="BS26" s="11">
        <f>10587.438+0.699</f>
        <v>10588.137000000001</v>
      </c>
      <c r="BT26" s="11">
        <v>10112.709999999999</v>
      </c>
    </row>
    <row r="27" spans="1:72" ht="15" customHeight="1" x14ac:dyDescent="0.25">
      <c r="A27" s="74">
        <v>27</v>
      </c>
      <c r="B27" s="5" t="s">
        <v>30</v>
      </c>
      <c r="C27" s="93">
        <f t="shared" ca="1" si="7"/>
        <v>0.23279816513761475</v>
      </c>
      <c r="D27" s="88">
        <f t="shared" ca="1" si="8"/>
        <v>-8.8828615019494794E-2</v>
      </c>
      <c r="E27" s="94">
        <f t="shared" ca="1" si="0"/>
        <v>3.6844135802469147E-2</v>
      </c>
      <c r="F27" s="380">
        <v>10750</v>
      </c>
      <c r="G27" s="380">
        <v>8720</v>
      </c>
      <c r="H27" s="86">
        <v>10368</v>
      </c>
      <c r="I27" s="86">
        <v>9646</v>
      </c>
      <c r="J27" s="86">
        <v>11798</v>
      </c>
      <c r="K27" s="86">
        <v>20317</v>
      </c>
      <c r="L27" s="86">
        <v>16329</v>
      </c>
      <c r="M27" s="86">
        <v>16470</v>
      </c>
      <c r="N27" s="86">
        <v>19760</v>
      </c>
      <c r="O27" s="86">
        <v>15982</v>
      </c>
      <c r="P27" s="86">
        <v>12899</v>
      </c>
      <c r="Q27" s="86">
        <v>21614</v>
      </c>
      <c r="R27" s="86">
        <v>20514</v>
      </c>
      <c r="S27" s="86">
        <v>14546</v>
      </c>
      <c r="T27" s="86">
        <v>13715</v>
      </c>
      <c r="U27" s="407"/>
      <c r="V27" s="407"/>
      <c r="W27" s="407"/>
      <c r="X27" s="86">
        <f>308+2+9307</f>
        <v>9617</v>
      </c>
      <c r="Y27" s="86">
        <v>9434.9490000000005</v>
      </c>
      <c r="Z27" s="86">
        <v>7732.2030000000004</v>
      </c>
      <c r="AA27" s="86">
        <v>6849.9210000000003</v>
      </c>
      <c r="AB27" s="86">
        <f>261+1666+10449</f>
        <v>12376</v>
      </c>
      <c r="AC27" s="86">
        <v>11511.384</v>
      </c>
      <c r="AD27" s="86">
        <v>10409.823</v>
      </c>
      <c r="AE27" s="86">
        <v>5653.393</v>
      </c>
      <c r="AF27" s="86">
        <v>7675.9539999999997</v>
      </c>
      <c r="AG27" s="86">
        <v>5897.8149999999996</v>
      </c>
      <c r="AH27" s="86">
        <v>4541.8940000000002</v>
      </c>
      <c r="AI27" s="86">
        <f>5380.413+763.96</f>
        <v>6144.3729999999996</v>
      </c>
      <c r="AJ27" s="86">
        <v>7036.4470000000001</v>
      </c>
      <c r="AK27" s="86">
        <v>4400.4340000000002</v>
      </c>
      <c r="AL27" s="86">
        <v>5136.2030000000004</v>
      </c>
      <c r="AM27" s="86">
        <v>4300.5</v>
      </c>
      <c r="AN27" s="86">
        <v>5704.3050000000003</v>
      </c>
      <c r="AO27" s="86">
        <v>5365.8370000000004</v>
      </c>
      <c r="AP27" s="86">
        <v>3691.8110000000001</v>
      </c>
      <c r="AQ27" s="86">
        <v>3330.3870000000002</v>
      </c>
      <c r="AR27" s="192">
        <v>4553.2719999999999</v>
      </c>
      <c r="AS27" s="86">
        <v>3658.2599999999998</v>
      </c>
      <c r="AT27" s="86">
        <v>2030.1790000000001</v>
      </c>
      <c r="AU27" s="86">
        <v>3109.8710000000001</v>
      </c>
      <c r="AV27" s="86">
        <v>2978.4</v>
      </c>
      <c r="AW27" s="86">
        <v>10980.653</v>
      </c>
      <c r="AX27" s="86">
        <v>8184.4390000000003</v>
      </c>
      <c r="AY27" s="86">
        <v>15185.194</v>
      </c>
      <c r="AZ27" s="86">
        <v>20897.694</v>
      </c>
      <c r="BA27" s="86">
        <v>5627.338999999999</v>
      </c>
      <c r="BB27" s="86">
        <v>5170.9229999999998</v>
      </c>
      <c r="BC27" s="86">
        <v>2537.8120000000004</v>
      </c>
      <c r="BD27" s="86">
        <v>2691.2449999999999</v>
      </c>
      <c r="BE27" s="86">
        <v>3007.866</v>
      </c>
      <c r="BF27" s="86">
        <v>2335.8589999999999</v>
      </c>
      <c r="BG27" s="86">
        <v>2504.6089999999999</v>
      </c>
      <c r="BH27" s="86">
        <v>2199.386</v>
      </c>
      <c r="BI27" s="11">
        <v>1763.835</v>
      </c>
      <c r="BJ27" s="11">
        <v>1974.6479999999999</v>
      </c>
      <c r="BK27" s="11">
        <v>2267.623</v>
      </c>
      <c r="BL27" s="11">
        <v>2587.6859999999997</v>
      </c>
      <c r="BM27" s="11">
        <v>2138.0110000000004</v>
      </c>
      <c r="BN27" s="11">
        <v>1228.337</v>
      </c>
      <c r="BO27" s="11">
        <v>884.89499999999998</v>
      </c>
      <c r="BP27" s="11">
        <v>863.53099999999995</v>
      </c>
      <c r="BQ27" s="11">
        <v>2828.384</v>
      </c>
      <c r="BR27" s="11">
        <v>2632.4059999999999</v>
      </c>
      <c r="BS27" s="11">
        <v>2815.047</v>
      </c>
      <c r="BT27" s="11">
        <v>2921.6420000000003</v>
      </c>
    </row>
    <row r="28" spans="1:72" ht="15" customHeight="1" x14ac:dyDescent="0.25">
      <c r="A28" s="74">
        <v>28</v>
      </c>
      <c r="B28" s="5" t="s">
        <v>223</v>
      </c>
      <c r="C28" s="93">
        <f t="shared" ca="1" si="7"/>
        <v>-0.33333333333333337</v>
      </c>
      <c r="D28" s="88">
        <f t="shared" ca="1" si="8"/>
        <v>-0.60879120879120885</v>
      </c>
      <c r="E28" s="94">
        <f t="shared" ca="1" si="0"/>
        <v>-0.40863787375415284</v>
      </c>
      <c r="F28" s="380">
        <v>356</v>
      </c>
      <c r="G28" s="380">
        <v>534</v>
      </c>
      <c r="H28" s="86">
        <v>602</v>
      </c>
      <c r="I28" s="86">
        <v>797</v>
      </c>
      <c r="J28" s="86">
        <v>910</v>
      </c>
      <c r="K28" s="86">
        <v>961</v>
      </c>
      <c r="L28" s="86">
        <v>1028</v>
      </c>
      <c r="M28" s="86">
        <v>1156</v>
      </c>
      <c r="N28" s="86">
        <v>1201</v>
      </c>
      <c r="O28" s="86">
        <v>1281</v>
      </c>
      <c r="P28" s="86">
        <v>1310</v>
      </c>
      <c r="Q28" s="86">
        <v>1707</v>
      </c>
      <c r="R28" s="86">
        <v>1841</v>
      </c>
      <c r="S28" s="86">
        <v>2026</v>
      </c>
      <c r="T28" s="86">
        <v>173</v>
      </c>
      <c r="U28" s="407"/>
      <c r="V28" s="407"/>
      <c r="W28" s="407"/>
      <c r="X28" s="86">
        <v>784</v>
      </c>
      <c r="Y28" s="86">
        <v>839.14300000000003</v>
      </c>
      <c r="Z28" s="86">
        <v>353.96</v>
      </c>
      <c r="AA28" s="86">
        <v>479.291</v>
      </c>
      <c r="AB28" s="86">
        <v>825</v>
      </c>
      <c r="AC28" s="86">
        <v>1411.9649999999999</v>
      </c>
      <c r="AD28" s="86">
        <v>1669.749</v>
      </c>
      <c r="AE28" s="86">
        <v>1868.1010000000001</v>
      </c>
      <c r="AF28" s="86">
        <v>2144.8290000000002</v>
      </c>
      <c r="AG28" s="86">
        <v>1159.086</v>
      </c>
      <c r="AH28" s="86">
        <v>1045.4469999999999</v>
      </c>
      <c r="AI28" s="86">
        <v>1086.212</v>
      </c>
      <c r="AJ28" s="86">
        <v>410.40199999999999</v>
      </c>
      <c r="AK28" s="86">
        <v>562.83100000000002</v>
      </c>
      <c r="AL28" s="86">
        <v>612.24400000000003</v>
      </c>
      <c r="AM28" s="86">
        <v>603.04200000000003</v>
      </c>
      <c r="AN28" s="86">
        <v>546.01300000000003</v>
      </c>
      <c r="AO28" s="86">
        <v>933.06100000000004</v>
      </c>
      <c r="AP28" s="86">
        <v>1071.7380000000001</v>
      </c>
      <c r="AQ28" s="86">
        <v>1187.2829999999999</v>
      </c>
      <c r="AR28" s="192">
        <v>1076.9849999999999</v>
      </c>
      <c r="AS28" s="86">
        <v>1951.893</v>
      </c>
      <c r="AT28" s="86">
        <v>2118.1790000000001</v>
      </c>
      <c r="AU28" s="86">
        <v>998.82899999999995</v>
      </c>
      <c r="AV28" s="86">
        <v>992.85900000000004</v>
      </c>
      <c r="AW28" s="86">
        <v>992.28599999999994</v>
      </c>
      <c r="AX28" s="86">
        <v>1369.088</v>
      </c>
      <c r="AY28" s="86">
        <v>1327.028</v>
      </c>
      <c r="AZ28" s="86">
        <v>1327.028</v>
      </c>
      <c r="BA28" s="86">
        <v>1315.1479999999999</v>
      </c>
      <c r="BB28" s="86">
        <v>1416.33</v>
      </c>
      <c r="BC28" s="86">
        <v>1409.491</v>
      </c>
      <c r="BD28" s="86">
        <v>1409.491</v>
      </c>
      <c r="BE28" s="86">
        <v>791.86</v>
      </c>
      <c r="BF28" s="86"/>
      <c r="BG28" s="86"/>
      <c r="BH28" s="86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</row>
    <row r="29" spans="1:72" s="19" customFormat="1" ht="26.1" customHeight="1" x14ac:dyDescent="0.25">
      <c r="A29" s="74">
        <v>29</v>
      </c>
      <c r="B29" s="19" t="s">
        <v>7</v>
      </c>
      <c r="C29" s="95">
        <f t="shared" ca="1" si="7"/>
        <v>-2.8039470084745943E-2</v>
      </c>
      <c r="D29" s="125">
        <f t="shared" ca="1" si="8"/>
        <v>8.067594785736687E-2</v>
      </c>
      <c r="E29" s="96">
        <f t="shared" ca="1" si="0"/>
        <v>3.6714278821742719E-2</v>
      </c>
      <c r="F29" s="271">
        <f t="shared" ref="F29:G29" si="9">SUM(F11:F19)+SUM(F22:F28)</f>
        <v>1353699</v>
      </c>
      <c r="G29" s="271">
        <f t="shared" si="9"/>
        <v>1392751</v>
      </c>
      <c r="H29" s="66">
        <f t="shared" ref="H29" si="10">SUM(H11:H19)+SUM(H22:H28)</f>
        <v>1305759</v>
      </c>
      <c r="I29" s="66">
        <f t="shared" ref="I29" si="11">SUM(I11:I19)+SUM(I22:I28)</f>
        <v>1353333</v>
      </c>
      <c r="J29" s="66">
        <f t="shared" ref="J29:K29" si="12">SUM(J11:J19)+SUM(J22:J28)</f>
        <v>1252641</v>
      </c>
      <c r="K29" s="66">
        <f t="shared" si="12"/>
        <v>1143318</v>
      </c>
      <c r="L29" s="66">
        <f t="shared" ref="L29:AD29" si="13">SUM(L11:L19)+SUM(L22:L28)</f>
        <v>1137432</v>
      </c>
      <c r="M29" s="66">
        <f t="shared" si="13"/>
        <v>1037777</v>
      </c>
      <c r="N29" s="66">
        <f t="shared" si="13"/>
        <v>1074800</v>
      </c>
      <c r="O29" s="66">
        <f t="shared" si="13"/>
        <v>1012528</v>
      </c>
      <c r="P29" s="66">
        <f t="shared" si="13"/>
        <v>1057302</v>
      </c>
      <c r="Q29" s="66">
        <f t="shared" si="13"/>
        <v>965981</v>
      </c>
      <c r="R29" s="66">
        <f t="shared" si="13"/>
        <v>861288</v>
      </c>
      <c r="S29" s="66">
        <f t="shared" si="13"/>
        <v>836670</v>
      </c>
      <c r="T29" s="66">
        <f t="shared" si="13"/>
        <v>839329</v>
      </c>
      <c r="U29" s="412"/>
      <c r="V29" s="412"/>
      <c r="W29" s="412"/>
      <c r="X29" s="66">
        <f t="shared" si="13"/>
        <v>796557</v>
      </c>
      <c r="Y29" s="66">
        <f t="shared" si="13"/>
        <v>770884.478</v>
      </c>
      <c r="Z29" s="66">
        <f t="shared" si="13"/>
        <v>737761.13600000006</v>
      </c>
      <c r="AA29" s="66">
        <f t="shared" si="13"/>
        <v>731005.51740000013</v>
      </c>
      <c r="AB29" s="66">
        <f t="shared" si="13"/>
        <v>730227</v>
      </c>
      <c r="AC29" s="66">
        <f t="shared" si="13"/>
        <v>720766.84900000005</v>
      </c>
      <c r="AD29" s="66">
        <f t="shared" si="13"/>
        <v>671365.85800000001</v>
      </c>
      <c r="AE29" s="66">
        <f t="shared" ref="AE29:BT29" si="14">SUM(AE11:AE19)+SUM(AE22:AE28)</f>
        <v>668651.06799999997</v>
      </c>
      <c r="AF29" s="66">
        <f t="shared" si="14"/>
        <v>673651.27899999998</v>
      </c>
      <c r="AG29" s="66">
        <f t="shared" si="14"/>
        <v>655945.679</v>
      </c>
      <c r="AH29" s="66">
        <f t="shared" si="14"/>
        <v>657547.55000000005</v>
      </c>
      <c r="AI29" s="66">
        <f t="shared" si="14"/>
        <v>650846.60100000002</v>
      </c>
      <c r="AJ29" s="66">
        <f t="shared" si="14"/>
        <v>673403.48900000006</v>
      </c>
      <c r="AK29" s="66">
        <f t="shared" si="14"/>
        <v>613049.67500000005</v>
      </c>
      <c r="AL29" s="66">
        <f t="shared" si="14"/>
        <v>602133.397</v>
      </c>
      <c r="AM29" s="66">
        <f t="shared" si="14"/>
        <v>602696.70400000003</v>
      </c>
      <c r="AN29" s="66">
        <f t="shared" si="14"/>
        <v>606859.37100000004</v>
      </c>
      <c r="AO29" s="66">
        <f t="shared" si="14"/>
        <v>572773.25199999998</v>
      </c>
      <c r="AP29" s="66">
        <f t="shared" si="14"/>
        <v>559683.57099999988</v>
      </c>
      <c r="AQ29" s="20">
        <f t="shared" si="14"/>
        <v>552980.63899999997</v>
      </c>
      <c r="AR29" s="20">
        <f t="shared" si="14"/>
        <v>580287.52</v>
      </c>
      <c r="AS29" s="20">
        <f t="shared" si="14"/>
        <v>546706.45799999998</v>
      </c>
      <c r="AT29" s="20">
        <f t="shared" si="14"/>
        <v>574574.98600000003</v>
      </c>
      <c r="AU29" s="20">
        <f t="shared" si="14"/>
        <v>561533.91800000006</v>
      </c>
      <c r="AV29" s="20">
        <f t="shared" si="14"/>
        <v>562534.576</v>
      </c>
      <c r="AW29" s="20">
        <f t="shared" si="14"/>
        <v>527570.96000000008</v>
      </c>
      <c r="AX29" s="20">
        <f t="shared" si="14"/>
        <v>520263.59100000007</v>
      </c>
      <c r="AY29" s="20">
        <f t="shared" si="14"/>
        <v>521222.40100000001</v>
      </c>
      <c r="AZ29" s="20">
        <f t="shared" si="14"/>
        <v>521600.14999999997</v>
      </c>
      <c r="BA29" s="20">
        <f t="shared" si="14"/>
        <v>448289.68799999997</v>
      </c>
      <c r="BB29" s="20">
        <f t="shared" si="14"/>
        <v>439698.37300000002</v>
      </c>
      <c r="BC29" s="20">
        <f t="shared" si="14"/>
        <v>428854.10400000005</v>
      </c>
      <c r="BD29" s="20">
        <f t="shared" si="14"/>
        <v>409422.31899999996</v>
      </c>
      <c r="BE29" s="20">
        <f t="shared" si="14"/>
        <v>403356.91200000001</v>
      </c>
      <c r="BF29" s="20">
        <f t="shared" si="14"/>
        <v>374246.96799999994</v>
      </c>
      <c r="BG29" s="20">
        <f t="shared" si="14"/>
        <v>348855.56900000002</v>
      </c>
      <c r="BH29" s="20">
        <f t="shared" si="14"/>
        <v>351366.23300000001</v>
      </c>
      <c r="BI29" s="20">
        <f t="shared" si="14"/>
        <v>317240.46300000005</v>
      </c>
      <c r="BJ29" s="20">
        <f t="shared" si="14"/>
        <v>340587.62</v>
      </c>
      <c r="BK29" s="20">
        <f t="shared" si="14"/>
        <v>340696.03499999997</v>
      </c>
      <c r="BL29" s="20">
        <f t="shared" si="14"/>
        <v>330033.45799999998</v>
      </c>
      <c r="BM29" s="20">
        <f t="shared" si="14"/>
        <v>305819.033</v>
      </c>
      <c r="BN29" s="20">
        <f t="shared" si="14"/>
        <v>292056.04000000004</v>
      </c>
      <c r="BO29" s="20">
        <f t="shared" si="14"/>
        <v>282434.43599999999</v>
      </c>
      <c r="BP29" s="20">
        <f t="shared" si="14"/>
        <v>272608.69899999996</v>
      </c>
      <c r="BQ29" s="20">
        <f t="shared" si="14"/>
        <v>247427.11699999997</v>
      </c>
      <c r="BR29" s="20">
        <f t="shared" si="14"/>
        <v>239460.12499999997</v>
      </c>
      <c r="BS29" s="20">
        <f t="shared" si="14"/>
        <v>232076.37600000002</v>
      </c>
      <c r="BT29" s="20">
        <f t="shared" si="14"/>
        <v>235606.34000000003</v>
      </c>
    </row>
    <row r="30" spans="1:72" s="19" customFormat="1" ht="15" customHeight="1" x14ac:dyDescent="0.25">
      <c r="A30" s="74">
        <v>30</v>
      </c>
      <c r="D30" s="261"/>
      <c r="E30" s="261"/>
      <c r="F30" s="271"/>
      <c r="G30" s="271"/>
      <c r="H30" s="66"/>
      <c r="I30" s="66"/>
      <c r="J30" s="66"/>
      <c r="K30" s="66"/>
      <c r="L30" s="66"/>
      <c r="M30" s="261"/>
      <c r="N30" s="261"/>
      <c r="O30" s="261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261"/>
      <c r="AA30" s="261"/>
      <c r="AB30" s="261"/>
      <c r="AC30" s="261"/>
      <c r="AD30" s="261"/>
      <c r="AE30" s="261"/>
      <c r="AF30" s="261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</row>
    <row r="31" spans="1:72" s="19" customFormat="1" ht="15" customHeight="1" x14ac:dyDescent="0.25">
      <c r="A31" s="74">
        <v>31</v>
      </c>
      <c r="F31" s="382"/>
      <c r="G31" s="382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</row>
    <row r="32" spans="1:72" ht="15.75" customHeight="1" x14ac:dyDescent="0.25">
      <c r="A32" s="74">
        <v>32</v>
      </c>
      <c r="B32" s="453" t="s">
        <v>156</v>
      </c>
      <c r="C32" s="470" t="s">
        <v>201</v>
      </c>
      <c r="D32" s="472" t="s">
        <v>202</v>
      </c>
      <c r="E32" s="468" t="s">
        <v>297</v>
      </c>
      <c r="F32" s="479">
        <v>46203</v>
      </c>
      <c r="G32" s="479">
        <v>46112</v>
      </c>
      <c r="H32" s="446">
        <v>46022</v>
      </c>
      <c r="I32" s="446">
        <v>45930</v>
      </c>
      <c r="J32" s="446">
        <v>45838</v>
      </c>
      <c r="K32" s="446">
        <v>45747</v>
      </c>
      <c r="L32" s="446">
        <v>45657</v>
      </c>
      <c r="M32" s="446">
        <v>45565</v>
      </c>
      <c r="N32" s="446">
        <v>45473</v>
      </c>
      <c r="O32" s="446">
        <v>45382</v>
      </c>
      <c r="P32" s="446">
        <v>45291</v>
      </c>
      <c r="Q32" s="446">
        <v>45199</v>
      </c>
      <c r="R32" s="446">
        <v>45107</v>
      </c>
      <c r="S32" s="446">
        <v>45016</v>
      </c>
      <c r="T32" s="446">
        <v>44926</v>
      </c>
      <c r="U32" s="446">
        <v>44834</v>
      </c>
      <c r="V32" s="446">
        <v>44742</v>
      </c>
      <c r="W32" s="446">
        <v>44651</v>
      </c>
      <c r="X32" s="446">
        <v>44561</v>
      </c>
      <c r="Y32" s="446">
        <v>44469</v>
      </c>
      <c r="Z32" s="446">
        <v>44377</v>
      </c>
      <c r="AA32" s="446">
        <v>44286</v>
      </c>
      <c r="AB32" s="446">
        <v>44196</v>
      </c>
      <c r="AC32" s="446">
        <v>44104</v>
      </c>
      <c r="AD32" s="446">
        <v>44012</v>
      </c>
      <c r="AE32" s="446">
        <v>43921</v>
      </c>
      <c r="AF32" s="446">
        <v>43830</v>
      </c>
      <c r="AG32" s="446">
        <v>43738</v>
      </c>
      <c r="AH32" s="446">
        <v>43646</v>
      </c>
      <c r="AI32" s="446">
        <v>43555</v>
      </c>
      <c r="AJ32" s="446">
        <v>43465</v>
      </c>
      <c r="AK32" s="446">
        <v>43373</v>
      </c>
      <c r="AL32" s="446">
        <v>43281</v>
      </c>
      <c r="AM32" s="446">
        <v>43190</v>
      </c>
      <c r="AN32" s="446">
        <v>43100</v>
      </c>
      <c r="AO32" s="446">
        <v>43008</v>
      </c>
      <c r="AP32" s="446">
        <v>42916</v>
      </c>
      <c r="AQ32" s="446">
        <v>42825</v>
      </c>
      <c r="AR32" s="446">
        <v>42735</v>
      </c>
      <c r="AS32" s="446">
        <v>42643</v>
      </c>
      <c r="AT32" s="446">
        <v>42551</v>
      </c>
      <c r="AU32" s="446">
        <v>42460</v>
      </c>
      <c r="AV32" s="446">
        <v>42369</v>
      </c>
      <c r="AW32" s="446">
        <v>42277</v>
      </c>
      <c r="AX32" s="446">
        <v>42185</v>
      </c>
      <c r="AY32" s="446">
        <v>42094</v>
      </c>
      <c r="AZ32" s="446">
        <v>42004</v>
      </c>
      <c r="BA32" s="446">
        <v>41912</v>
      </c>
      <c r="BB32" s="446">
        <v>41820</v>
      </c>
      <c r="BC32" s="446">
        <v>41729</v>
      </c>
      <c r="BD32" s="446">
        <v>41639</v>
      </c>
      <c r="BE32" s="446">
        <v>41547</v>
      </c>
      <c r="BF32" s="446">
        <v>41455</v>
      </c>
      <c r="BG32" s="446">
        <v>41364</v>
      </c>
      <c r="BH32" s="446">
        <v>41274</v>
      </c>
      <c r="BI32" s="446">
        <v>41182</v>
      </c>
      <c r="BJ32" s="446">
        <v>41090</v>
      </c>
      <c r="BK32" s="446">
        <v>40999</v>
      </c>
      <c r="BL32" s="446">
        <v>40908</v>
      </c>
      <c r="BM32" s="446">
        <v>40816</v>
      </c>
      <c r="BN32" s="446">
        <v>40724</v>
      </c>
      <c r="BO32" s="446">
        <v>40633</v>
      </c>
      <c r="BP32" s="446">
        <v>40543</v>
      </c>
      <c r="BQ32" s="446">
        <v>40451</v>
      </c>
      <c r="BR32" s="446">
        <v>40359</v>
      </c>
      <c r="BS32" s="446">
        <v>40268</v>
      </c>
      <c r="BT32" s="446">
        <v>40178</v>
      </c>
    </row>
    <row r="33" spans="1:72" x14ac:dyDescent="0.25">
      <c r="A33" s="74">
        <v>33</v>
      </c>
      <c r="B33" s="454"/>
      <c r="C33" s="471"/>
      <c r="D33" s="473"/>
      <c r="E33" s="478"/>
      <c r="F33" s="480"/>
      <c r="G33" s="480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447"/>
      <c r="S33" s="447"/>
      <c r="T33" s="447"/>
      <c r="U33" s="447"/>
      <c r="V33" s="447"/>
      <c r="W33" s="447"/>
      <c r="X33" s="447"/>
      <c r="Y33" s="447"/>
      <c r="Z33" s="447"/>
      <c r="AA33" s="447"/>
      <c r="AB33" s="447"/>
      <c r="AC33" s="448"/>
      <c r="AD33" s="447"/>
      <c r="AE33" s="448"/>
      <c r="AF33" s="447"/>
      <c r="AG33" s="447"/>
      <c r="AH33" s="447"/>
      <c r="AI33" s="447"/>
      <c r="AJ33" s="447"/>
      <c r="AK33" s="447"/>
      <c r="AL33" s="447"/>
      <c r="AM33" s="447"/>
      <c r="AN33" s="447"/>
      <c r="AO33" s="447"/>
      <c r="AP33" s="447"/>
      <c r="AQ33" s="447"/>
      <c r="AR33" s="447"/>
      <c r="AS33" s="447"/>
      <c r="AT33" s="447"/>
      <c r="AU33" s="447"/>
      <c r="AV33" s="447"/>
      <c r="AW33" s="447"/>
      <c r="AX33" s="447"/>
      <c r="AY33" s="447"/>
      <c r="AZ33" s="447"/>
      <c r="BA33" s="447"/>
      <c r="BB33" s="447"/>
      <c r="BC33" s="447"/>
      <c r="BD33" s="447"/>
      <c r="BE33" s="447"/>
      <c r="BF33" s="447"/>
      <c r="BG33" s="447"/>
      <c r="BH33" s="447"/>
      <c r="BI33" s="447"/>
      <c r="BJ33" s="447"/>
      <c r="BK33" s="447"/>
      <c r="BL33" s="447"/>
      <c r="BM33" s="447"/>
      <c r="BN33" s="447"/>
      <c r="BO33" s="447"/>
      <c r="BP33" s="447"/>
      <c r="BQ33" s="447"/>
      <c r="BR33" s="447"/>
      <c r="BS33" s="447"/>
      <c r="BT33" s="447"/>
    </row>
    <row r="34" spans="1:72" ht="9.75" customHeight="1" x14ac:dyDescent="0.25">
      <c r="A34" s="74">
        <v>34</v>
      </c>
      <c r="B34" s="8" t="s">
        <v>8</v>
      </c>
      <c r="C34" s="89"/>
      <c r="D34" s="57"/>
      <c r="E34" s="90"/>
      <c r="F34" s="303"/>
      <c r="G34" s="303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8"/>
    </row>
    <row r="35" spans="1:72" ht="15" customHeight="1" x14ac:dyDescent="0.25">
      <c r="A35" s="74">
        <v>35</v>
      </c>
      <c r="B35" s="19" t="s">
        <v>31</v>
      </c>
      <c r="C35" s="93"/>
      <c r="D35" s="88"/>
      <c r="E35" s="94"/>
      <c r="F35" s="291"/>
      <c r="G35" s="291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9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</row>
    <row r="36" spans="1:72" ht="15" customHeight="1" x14ac:dyDescent="0.25">
      <c r="A36" s="74">
        <v>36</v>
      </c>
      <c r="B36" s="189" t="s">
        <v>32</v>
      </c>
      <c r="C36" s="93">
        <f ca="1">OFFSET($E$7,$A36-$A$7,1,1,1)/OFFSET($E$7,$A36-$A$7,2,1,1)-1</f>
        <v>-0.17116798612777095</v>
      </c>
      <c r="D36" s="88">
        <f ca="1">OFFSET($E$7,$A36-$A$7,1,1,1)/OFFSET($E$7,$A36-$A$7,5,1,1)-1</f>
        <v>-0.23151248370757138</v>
      </c>
      <c r="E36" s="94">
        <f ca="1">OFFSET($E$7,$A36-$A$7,1,1,1)/OFFSET($E$7,$A36-$A$7,IF(MONTH(MAX($7:$7))=3,2,IF(MONTH(MAX($7:$7))=6,3,IF(MONTH(MAX($7:$7))=9,4,5)))*1,1)-1</f>
        <v>0.13239488453399573</v>
      </c>
      <c r="F36" s="270">
        <v>196928</v>
      </c>
      <c r="G36" s="270">
        <v>237597</v>
      </c>
      <c r="H36" s="149">
        <v>173904</v>
      </c>
      <c r="I36" s="149">
        <v>253434</v>
      </c>
      <c r="J36" s="149">
        <v>256254</v>
      </c>
      <c r="K36" s="149">
        <v>164981</v>
      </c>
      <c r="L36" s="149">
        <v>190268</v>
      </c>
      <c r="M36" s="149">
        <v>184639</v>
      </c>
      <c r="N36" s="149">
        <v>199829</v>
      </c>
      <c r="O36" s="149">
        <v>149931</v>
      </c>
      <c r="P36" s="149">
        <v>208559</v>
      </c>
      <c r="Q36" s="149">
        <v>146582</v>
      </c>
      <c r="R36" s="149">
        <v>88662</v>
      </c>
      <c r="S36" s="149">
        <v>67650</v>
      </c>
      <c r="T36" s="149">
        <v>20013</v>
      </c>
      <c r="U36" s="400"/>
      <c r="V36" s="400"/>
      <c r="W36" s="400"/>
      <c r="X36" s="149">
        <v>168174</v>
      </c>
      <c r="Y36" s="149">
        <v>161729.962</v>
      </c>
      <c r="Z36" s="149">
        <v>132872.27799999999</v>
      </c>
      <c r="AA36" s="149">
        <v>135860.09599999999</v>
      </c>
      <c r="AB36" s="149">
        <v>141091</v>
      </c>
      <c r="AC36" s="149">
        <v>134176.647</v>
      </c>
      <c r="AD36" s="149">
        <v>133541.88</v>
      </c>
      <c r="AE36" s="149">
        <v>127844.86500000001</v>
      </c>
      <c r="AF36" s="149">
        <v>158566.77499999999</v>
      </c>
      <c r="AG36" s="149">
        <v>143137.367</v>
      </c>
      <c r="AH36" s="149">
        <v>158870.15299999999</v>
      </c>
      <c r="AI36" s="149">
        <v>136898.46</v>
      </c>
      <c r="AJ36" s="149">
        <v>147818.484</v>
      </c>
      <c r="AK36" s="149">
        <v>132830.59899999999</v>
      </c>
      <c r="AL36" s="149">
        <v>151043.685</v>
      </c>
      <c r="AM36" s="149">
        <v>156950.182</v>
      </c>
      <c r="AN36" s="149">
        <v>148924.73000000001</v>
      </c>
      <c r="AO36" s="149">
        <v>143828.1</v>
      </c>
      <c r="AP36" s="149">
        <v>147937.53</v>
      </c>
      <c r="AQ36" s="149">
        <v>136414.43900000001</v>
      </c>
      <c r="AR36" s="127">
        <v>131721.76699999999</v>
      </c>
      <c r="AS36" s="149">
        <v>129755.247</v>
      </c>
      <c r="AT36" s="149">
        <v>153511.424</v>
      </c>
      <c r="AU36" s="149">
        <v>147487.75599999999</v>
      </c>
      <c r="AV36" s="22">
        <v>135340.796</v>
      </c>
      <c r="AW36" s="22">
        <v>113551.817</v>
      </c>
      <c r="AX36" s="22">
        <v>121896.535</v>
      </c>
      <c r="AY36" s="22">
        <v>116248.288</v>
      </c>
      <c r="AZ36" s="22">
        <v>102596.69</v>
      </c>
      <c r="BA36" s="22">
        <v>83717.805999999997</v>
      </c>
      <c r="BB36" s="22">
        <v>89945.448000000004</v>
      </c>
      <c r="BC36" s="22">
        <v>74965.125</v>
      </c>
      <c r="BD36" s="22">
        <v>70540.987999999998</v>
      </c>
      <c r="BE36" s="22">
        <v>67113.073999999993</v>
      </c>
      <c r="BF36" s="22">
        <v>54860.421999999999</v>
      </c>
      <c r="BG36" s="22">
        <v>42916.686999999998</v>
      </c>
      <c r="BH36" s="22">
        <v>52254.302000000003</v>
      </c>
      <c r="BI36" s="11">
        <v>26785.382000000001</v>
      </c>
      <c r="BJ36" s="11">
        <v>48406.252</v>
      </c>
      <c r="BK36" s="11">
        <v>51621.360999999997</v>
      </c>
      <c r="BL36" s="11">
        <v>27198.895</v>
      </c>
      <c r="BM36" s="11">
        <v>15546.281999999999</v>
      </c>
      <c r="BN36" s="11">
        <v>18043.263999999999</v>
      </c>
      <c r="BO36" s="11">
        <v>22051.011999999999</v>
      </c>
      <c r="BP36" s="11">
        <v>11326.393</v>
      </c>
      <c r="BQ36" s="11">
        <v>16412.794999999998</v>
      </c>
      <c r="BR36" s="11">
        <v>19722.066999999999</v>
      </c>
      <c r="BS36" s="11">
        <v>19605.563999999998</v>
      </c>
      <c r="BT36" s="11">
        <v>16001.843999999999</v>
      </c>
    </row>
    <row r="37" spans="1:72" s="39" customFormat="1" ht="15" customHeight="1" x14ac:dyDescent="0.25">
      <c r="A37" s="74">
        <v>37</v>
      </c>
      <c r="B37" s="190" t="s">
        <v>33</v>
      </c>
      <c r="C37" s="93">
        <f ca="1">OFFSET($E$7,$A37-$A$7,1,1,1)/OFFSET($E$7,$A37-$A$7,2,1,1)-1</f>
        <v>7.1037557964288567E-3</v>
      </c>
      <c r="D37" s="88">
        <f ca="1">OFFSET($E$7,$A37-$A$7,1,1,1)/OFFSET($E$7,$A37-$A$7,5,1,1)-1</f>
        <v>0.20121930171610347</v>
      </c>
      <c r="E37" s="94">
        <f ca="1">OFFSET($E$7,$A37-$A$7,1,1,1)/OFFSET($E$7,$A37-$A$7,IF(MONTH(MAX($7:$7))=3,2,IF(MONTH(MAX($7:$7))=6,3,IF(MONTH(MAX($7:$7))=9,4,5)))*1,1)-1</f>
        <v>2.4124274024949433E-2</v>
      </c>
      <c r="F37" s="171">
        <f>SUM(F38:F39)</f>
        <v>904780</v>
      </c>
      <c r="G37" s="171">
        <f>SUM(G38:G39)</f>
        <v>898398</v>
      </c>
      <c r="H37" s="171">
        <f t="shared" ref="H37" si="15">SUM(H38:H39)</f>
        <v>883467</v>
      </c>
      <c r="I37" s="171">
        <f t="shared" ref="I37" si="16">SUM(I38:I39)</f>
        <v>852012</v>
      </c>
      <c r="J37" s="171">
        <f t="shared" ref="J37:K37" si="17">SUM(J38:J39)</f>
        <v>753218</v>
      </c>
      <c r="K37" s="171">
        <f t="shared" si="17"/>
        <v>721420</v>
      </c>
      <c r="L37" s="171">
        <f t="shared" ref="L37:X37" si="18">SUM(L38:L39)</f>
        <v>711104</v>
      </c>
      <c r="M37" s="171">
        <f t="shared" si="18"/>
        <v>614943</v>
      </c>
      <c r="N37" s="171">
        <f t="shared" si="18"/>
        <v>650375</v>
      </c>
      <c r="O37" s="171">
        <f t="shared" si="18"/>
        <v>643652</v>
      </c>
      <c r="P37" s="171">
        <f t="shared" si="18"/>
        <v>646447</v>
      </c>
      <c r="Q37" s="171">
        <f t="shared" si="18"/>
        <v>607560</v>
      </c>
      <c r="R37" s="171">
        <f t="shared" si="18"/>
        <v>574351</v>
      </c>
      <c r="S37" s="171">
        <f t="shared" si="18"/>
        <v>583039</v>
      </c>
      <c r="T37" s="171">
        <f t="shared" si="18"/>
        <v>641226</v>
      </c>
      <c r="U37" s="410"/>
      <c r="V37" s="410"/>
      <c r="W37" s="410"/>
      <c r="X37" s="171">
        <f t="shared" si="18"/>
        <v>499368</v>
      </c>
      <c r="Y37" s="171">
        <f t="shared" ref="Y37:AG37" si="19">SUM(Y38:Y39)</f>
        <v>486568.42700000003</v>
      </c>
      <c r="Z37" s="171">
        <f t="shared" si="19"/>
        <v>486558.58799999999</v>
      </c>
      <c r="AA37" s="171">
        <f t="shared" si="19"/>
        <v>477669.11800000002</v>
      </c>
      <c r="AB37" s="171">
        <f t="shared" si="19"/>
        <v>470922</v>
      </c>
      <c r="AC37" s="171">
        <f t="shared" si="19"/>
        <v>466372.70999999996</v>
      </c>
      <c r="AD37" s="171">
        <f t="shared" si="19"/>
        <v>423249.62</v>
      </c>
      <c r="AE37" s="171">
        <f t="shared" si="19"/>
        <v>425884.47100000002</v>
      </c>
      <c r="AF37" s="171">
        <f t="shared" si="19"/>
        <v>410343.348</v>
      </c>
      <c r="AG37" s="171">
        <f t="shared" si="19"/>
        <v>409591.81800000003</v>
      </c>
      <c r="AH37" s="171">
        <v>393252.52500000002</v>
      </c>
      <c r="AI37" s="171">
        <v>397036.01899999997</v>
      </c>
      <c r="AJ37" s="171">
        <v>406788.83299999998</v>
      </c>
      <c r="AK37" s="171">
        <v>372979.23499999999</v>
      </c>
      <c r="AL37" s="171">
        <v>354668.81599999999</v>
      </c>
      <c r="AM37" s="171">
        <v>346393.30099999998</v>
      </c>
      <c r="AN37" s="171">
        <v>352972.14799999999</v>
      </c>
      <c r="AO37" s="171">
        <v>329156.56800000003</v>
      </c>
      <c r="AP37" s="171">
        <v>315405.97600000002</v>
      </c>
      <c r="AQ37" s="171">
        <v>321233.65899999999</v>
      </c>
      <c r="AR37" s="80">
        <v>349944.86800000002</v>
      </c>
      <c r="AS37" s="171">
        <v>316391.364</v>
      </c>
      <c r="AT37" s="171">
        <v>331833.50599999999</v>
      </c>
      <c r="AU37" s="171">
        <v>313877.13199999998</v>
      </c>
      <c r="AV37" s="85">
        <v>325583.95</v>
      </c>
      <c r="AW37" s="85">
        <v>312390.98599999998</v>
      </c>
      <c r="AX37" s="85">
        <v>298506.152</v>
      </c>
      <c r="AY37" s="85">
        <v>299762.45799999998</v>
      </c>
      <c r="AZ37" s="85">
        <v>308481.73100000003</v>
      </c>
      <c r="BA37" s="85">
        <v>272355.83799999999</v>
      </c>
      <c r="BB37" s="85">
        <v>259403.14600000001</v>
      </c>
      <c r="BC37" s="85">
        <v>262549.59000000003</v>
      </c>
      <c r="BD37" s="85">
        <v>253127.291</v>
      </c>
      <c r="BE37" s="85">
        <v>252859.45600000001</v>
      </c>
      <c r="BF37" s="85">
        <v>242238.30900000001</v>
      </c>
      <c r="BG37" s="85">
        <v>231828.65299999999</v>
      </c>
      <c r="BH37" s="85">
        <v>222796.734</v>
      </c>
      <c r="BI37" s="45">
        <v>217576.83100000001</v>
      </c>
      <c r="BJ37" s="45">
        <v>217865.764</v>
      </c>
      <c r="BK37" s="45">
        <v>216150.77100000001</v>
      </c>
      <c r="BL37" s="45">
        <v>226702.89</v>
      </c>
      <c r="BM37" s="45">
        <v>209232.443</v>
      </c>
      <c r="BN37" s="45">
        <v>201942.136</v>
      </c>
      <c r="BO37" s="45">
        <v>188248.973</v>
      </c>
      <c r="BP37" s="45">
        <v>191807.67600000001</v>
      </c>
      <c r="BQ37" s="45">
        <v>169474.10399999999</v>
      </c>
      <c r="BR37" s="45">
        <v>166175.54</v>
      </c>
      <c r="BS37" s="45">
        <v>167620.367</v>
      </c>
      <c r="BT37" s="45">
        <v>175990.28400000001</v>
      </c>
    </row>
    <row r="38" spans="1:72" s="39" customFormat="1" ht="15" customHeight="1" x14ac:dyDescent="0.25">
      <c r="A38" s="74">
        <v>38</v>
      </c>
      <c r="B38" s="181" t="s">
        <v>305</v>
      </c>
      <c r="C38" s="179">
        <f ca="1">OFFSET($E$7,$A38-$A$7,1,1,1)/OFFSET($E$7,$A38-$A$7,2,1,1)-1</f>
        <v>-5.5820885690288313E-2</v>
      </c>
      <c r="D38" s="275">
        <f ca="1">OFFSET($E$7,$A38-$A$7,1,1,1)/OFFSET($E$7,$A38-$A$7,5,1,1)-1</f>
        <v>0.29068798871362311</v>
      </c>
      <c r="E38" s="180">
        <f ca="1">OFFSET($E$7,$A38-$A$7,1,1,1)/OFFSET($E$7,$A38-$A$7,IF(MONTH(MAX($7:$7))=3,2,IF(MONTH(MAX($7:$7))=6,3,IF(MONTH(MAX($7:$7))=9,4,5)))*1,1)-1</f>
        <v>-5.0097892751518103E-2</v>
      </c>
      <c r="F38" s="182">
        <v>343989</v>
      </c>
      <c r="G38" s="182">
        <v>364326</v>
      </c>
      <c r="H38" s="182">
        <v>362131</v>
      </c>
      <c r="I38" s="182">
        <v>359952</v>
      </c>
      <c r="J38" s="182">
        <v>266516</v>
      </c>
      <c r="K38" s="182">
        <v>259291</v>
      </c>
      <c r="L38" s="182">
        <v>274674</v>
      </c>
      <c r="M38" s="182">
        <v>240105</v>
      </c>
      <c r="N38" s="182">
        <v>256044</v>
      </c>
      <c r="O38" s="182">
        <v>243379</v>
      </c>
      <c r="P38" s="182">
        <v>250858</v>
      </c>
      <c r="Q38" s="182">
        <v>241258</v>
      </c>
      <c r="R38" s="182">
        <v>232139</v>
      </c>
      <c r="S38" s="182">
        <v>252759</v>
      </c>
      <c r="T38" s="182">
        <v>312974</v>
      </c>
      <c r="U38" s="411"/>
      <c r="V38" s="411"/>
      <c r="W38" s="411"/>
      <c r="X38" s="182">
        <f>204255</f>
        <v>204255</v>
      </c>
      <c r="Y38" s="182">
        <v>203302</v>
      </c>
      <c r="Z38" s="182">
        <v>215170.65700000001</v>
      </c>
      <c r="AA38" s="182">
        <v>214122.05100000001</v>
      </c>
      <c r="AB38" s="182">
        <v>194893</v>
      </c>
      <c r="AC38" s="182">
        <v>199828.11199999999</v>
      </c>
      <c r="AD38" s="182">
        <v>173258.247</v>
      </c>
      <c r="AE38" s="182">
        <v>169916.334</v>
      </c>
      <c r="AF38" s="182">
        <v>161375.92499999999</v>
      </c>
      <c r="AG38" s="182">
        <f>'Customer Deposits'!AG31-'Customer Deposits'!AG21</f>
        <v>167177.353</v>
      </c>
      <c r="AH38" s="182">
        <f>'Customer Deposits'!AH31-'Customer Deposits'!AH21</f>
        <v>144875.31699999998</v>
      </c>
      <c r="AI38" s="182">
        <f>'Customer Deposits'!AI31-'Customer Deposits'!AI21</f>
        <v>155232.639</v>
      </c>
      <c r="AJ38" s="182">
        <f>'Customer Deposits'!AJ31-'Customer Deposits'!AJ21</f>
        <v>157691.83000000002</v>
      </c>
      <c r="AK38" s="182">
        <f>'Customer Deposits'!AK31-'Customer Deposits'!AK21</f>
        <v>147346.06899999999</v>
      </c>
      <c r="AL38" s="182">
        <f>'Customer Deposits'!AL31-'Customer Deposits'!AL21</f>
        <v>139020.272</v>
      </c>
      <c r="AM38" s="182">
        <f>'Customer Deposits'!AM31-'Customer Deposits'!AM21</f>
        <v>140275.568</v>
      </c>
      <c r="AN38" s="182">
        <f>'Customer Deposits'!AN31-'Customer Deposits'!AN21</f>
        <v>147384.95800000001</v>
      </c>
      <c r="AO38" s="182">
        <f>'Customer Deposits'!AO31-'Customer Deposits'!AO21</f>
        <v>136293.03399999999</v>
      </c>
      <c r="AP38" s="182">
        <f>'Customer Deposits'!AP31-'Customer Deposits'!AP21</f>
        <v>117118.90300000001</v>
      </c>
      <c r="AQ38" s="182">
        <f>'Customer Deposits'!AQ31-'Customer Deposits'!AQ21</f>
        <v>136746.36800000002</v>
      </c>
      <c r="AR38" s="182">
        <f>'Customer Deposits'!AR31-'Customer Deposits'!AR21</f>
        <v>162525.52000000002</v>
      </c>
      <c r="AS38" s="182">
        <f>'Customer Deposits'!AS31-'Customer Deposits'!AS21</f>
        <v>127443.78699999998</v>
      </c>
      <c r="AT38" s="182">
        <f>'Customer Deposits'!AT31-'Customer Deposits'!AT21</f>
        <v>144007.766</v>
      </c>
      <c r="AU38" s="182">
        <f>'Customer Deposits'!AU31-'Customer Deposits'!AU21</f>
        <v>129389.095</v>
      </c>
      <c r="AV38" s="182">
        <f>'Customer Deposits'!AV31-'Customer Deposits'!AV21</f>
        <v>137516.54199999999</v>
      </c>
      <c r="AW38" s="182">
        <f>'Customer Deposits'!AW31-'Customer Deposits'!AW21</f>
        <v>141038.758</v>
      </c>
      <c r="AX38" s="182">
        <f>'Customer Deposits'!AX31-'Customer Deposits'!AX21</f>
        <v>138492.30800000002</v>
      </c>
      <c r="AY38" s="182">
        <f>'Customer Deposits'!AY31-'Customer Deposits'!AY21</f>
        <v>146967.49100000001</v>
      </c>
      <c r="AZ38" s="182">
        <f>'Customer Deposits'!AZ31-'Customer Deposits'!AZ21</f>
        <v>152473.37300000002</v>
      </c>
      <c r="BA38" s="182">
        <f>'Customer Deposits'!BA31-'Customer Deposits'!BA21</f>
        <v>130546.833</v>
      </c>
      <c r="BB38" s="182">
        <f>'Customer Deposits'!BB31-'Customer Deposits'!BB21</f>
        <v>124758.57500000003</v>
      </c>
      <c r="BC38" s="182">
        <f>'Customer Deposits'!BC31-'Customer Deposits'!BC21</f>
        <v>131087.16100000002</v>
      </c>
      <c r="BD38" s="182">
        <f>'Customer Deposits'!BD31-'Customer Deposits'!BD21</f>
        <v>127823.15800000002</v>
      </c>
      <c r="BE38" s="182">
        <f>'Customer Deposits'!BE31-'Customer Deposits'!BE21</f>
        <v>132553.42500000005</v>
      </c>
      <c r="BF38" s="182">
        <f>'Customer Deposits'!BF31-'Customer Deposits'!BF21</f>
        <v>125071.75799999999</v>
      </c>
      <c r="BG38" s="182">
        <f>'Customer Deposits'!BG31-'Customer Deposits'!BG21</f>
        <v>127223.52400000002</v>
      </c>
      <c r="BH38" s="182">
        <f>'Customer Deposits'!BH31-'Customer Deposits'!BH21</f>
        <v>121576.59000000001</v>
      </c>
      <c r="BI38" s="182">
        <f>'Customer Deposits'!BI31-'Customer Deposits'!BI21</f>
        <v>122216.037</v>
      </c>
      <c r="BJ38" s="182">
        <f>'Customer Deposits'!BJ31-'Customer Deposits'!BJ21</f>
        <v>121039.95300000001</v>
      </c>
      <c r="BK38" s="182">
        <f>'Customer Deposits'!BK31-'Customer Deposits'!BK21</f>
        <v>127865.3</v>
      </c>
      <c r="BL38" s="182">
        <f>'Customer Deposits'!BL31-'Customer Deposits'!BL21</f>
        <v>139310.93100000001</v>
      </c>
      <c r="BM38" s="182">
        <f>'Customer Deposits'!BM31-'Customer Deposits'!BM21</f>
        <v>128517.42899999997</v>
      </c>
      <c r="BN38" s="182">
        <f>'Customer Deposits'!BN31-'Customer Deposits'!BN21</f>
        <v>127332.74900000001</v>
      </c>
      <c r="BO38" s="182">
        <f>'Customer Deposits'!BO31-'Customer Deposits'!BO21</f>
        <v>116812.98299999999</v>
      </c>
      <c r="BP38" s="182">
        <f>'Customer Deposits'!BP31-'Customer Deposits'!BP21</f>
        <v>119382.056</v>
      </c>
      <c r="BQ38" s="182">
        <f>'Customer Deposits'!BQ31-'Customer Deposits'!BQ21</f>
        <v>103061.97899999999</v>
      </c>
      <c r="BR38" s="182">
        <f>'Customer Deposits'!BR31-'Customer Deposits'!BR21</f>
        <v>100329.47</v>
      </c>
      <c r="BS38" s="182">
        <f>'Customer Deposits'!BS31-'Customer Deposits'!BS21</f>
        <v>104975.511</v>
      </c>
      <c r="BT38" s="182">
        <f>'Customer Deposits'!BT31-'Customer Deposits'!BT21</f>
        <v>115260.026</v>
      </c>
    </row>
    <row r="39" spans="1:72" s="39" customFormat="1" ht="15" customHeight="1" x14ac:dyDescent="0.25">
      <c r="A39" s="74">
        <v>39</v>
      </c>
      <c r="B39" s="181" t="s">
        <v>304</v>
      </c>
      <c r="C39" s="179">
        <f ca="1">OFFSET($E$7,$A39-$A$7,1,1,1)/OFFSET($E$7,$A39-$A$7,2,1,1)-1</f>
        <v>5.0028835063437249E-2</v>
      </c>
      <c r="D39" s="275">
        <f ca="1">OFFSET($E$7,$A39-$A$7,1,1,1)/OFFSET($E$7,$A39-$A$7,5,1,1)-1</f>
        <v>0.15222661916326619</v>
      </c>
      <c r="E39" s="180">
        <f ca="1">OFFSET($E$7,$A39-$A$7,1,1,1)/OFFSET($E$7,$A39-$A$7,IF(MONTH(MAX($7:$7))=3,2,IF(MONTH(MAX($7:$7))=6,3,IF(MONTH(MAX($7:$7))=9,4,5)))*1,1)-1</f>
        <v>7.5680559178725515E-2</v>
      </c>
      <c r="F39" s="182">
        <v>560791</v>
      </c>
      <c r="G39" s="182">
        <v>534072</v>
      </c>
      <c r="H39" s="182">
        <v>521336</v>
      </c>
      <c r="I39" s="182">
        <v>492060</v>
      </c>
      <c r="J39" s="182">
        <v>486702</v>
      </c>
      <c r="K39" s="182">
        <v>462129</v>
      </c>
      <c r="L39" s="182">
        <v>436430</v>
      </c>
      <c r="M39" s="182">
        <v>374838</v>
      </c>
      <c r="N39" s="182">
        <v>394331</v>
      </c>
      <c r="O39" s="182">
        <v>400273</v>
      </c>
      <c r="P39" s="182">
        <v>395589</v>
      </c>
      <c r="Q39" s="182">
        <v>366302</v>
      </c>
      <c r="R39" s="182">
        <v>342212</v>
      </c>
      <c r="S39" s="182">
        <v>330280</v>
      </c>
      <c r="T39" s="182">
        <v>328252</v>
      </c>
      <c r="U39" s="411"/>
      <c r="V39" s="411"/>
      <c r="W39" s="411"/>
      <c r="X39" s="182">
        <v>295113</v>
      </c>
      <c r="Y39" s="182">
        <v>283266.42700000003</v>
      </c>
      <c r="Z39" s="182">
        <v>271387.93099999998</v>
      </c>
      <c r="AA39" s="182">
        <v>263547.06699999998</v>
      </c>
      <c r="AB39" s="182">
        <v>276029</v>
      </c>
      <c r="AC39" s="182">
        <v>266544.598</v>
      </c>
      <c r="AD39" s="182">
        <v>249991.37299999999</v>
      </c>
      <c r="AE39" s="182">
        <v>255968.13699999999</v>
      </c>
      <c r="AF39" s="182">
        <v>248967.42300000001</v>
      </c>
      <c r="AG39" s="182">
        <f>'Customer Deposits'!AG30</f>
        <v>242414.46500000003</v>
      </c>
      <c r="AH39" s="182">
        <f>'Customer Deposits'!AH30</f>
        <v>248377.20800000001</v>
      </c>
      <c r="AI39" s="182">
        <f>'Customer Deposits'!AI30</f>
        <v>241803.37999999998</v>
      </c>
      <c r="AJ39" s="182">
        <f>'Customer Deposits'!AJ30</f>
        <v>249097.00299999997</v>
      </c>
      <c r="AK39" s="182">
        <f>'Customer Deposits'!AK30</f>
        <v>225633.166</v>
      </c>
      <c r="AL39" s="182">
        <f>'Customer Deposits'!AL30</f>
        <v>215648.54399999999</v>
      </c>
      <c r="AM39" s="182">
        <f>'Customer Deposits'!AM30</f>
        <v>206117.73300000001</v>
      </c>
      <c r="AN39" s="182">
        <f>'Customer Deposits'!AN30</f>
        <v>205587.19</v>
      </c>
      <c r="AO39" s="182">
        <f>'Customer Deposits'!AO30</f>
        <v>192863.53399999999</v>
      </c>
      <c r="AP39" s="182">
        <f>'Customer Deposits'!AP30</f>
        <v>198287.07299999997</v>
      </c>
      <c r="AQ39" s="182">
        <f>'Customer Deposits'!AQ30</f>
        <v>184487.291</v>
      </c>
      <c r="AR39" s="182">
        <f>'Customer Deposits'!AR30</f>
        <v>187419.348</v>
      </c>
      <c r="AS39" s="182">
        <f>'Customer Deposits'!AS30</f>
        <v>188947.57699999999</v>
      </c>
      <c r="AT39" s="182">
        <f>'Customer Deposits'!AT30</f>
        <v>187825.74</v>
      </c>
      <c r="AU39" s="182">
        <f>'Customer Deposits'!AU30</f>
        <v>184488.03699999998</v>
      </c>
      <c r="AV39" s="182">
        <f>'Customer Deposits'!AV30</f>
        <v>188067.408</v>
      </c>
      <c r="AW39" s="182">
        <f>'Customer Deposits'!AW30</f>
        <v>171352.228</v>
      </c>
      <c r="AX39" s="182">
        <f>'Customer Deposits'!AX30</f>
        <v>160013.84399999998</v>
      </c>
      <c r="AY39" s="182">
        <f>'Customer Deposits'!AY30</f>
        <v>152794.967</v>
      </c>
      <c r="AZ39" s="182">
        <f>'Customer Deposits'!AZ30</f>
        <v>156008.35800000001</v>
      </c>
      <c r="BA39" s="182">
        <f>'Customer Deposits'!BA30</f>
        <v>141809.005</v>
      </c>
      <c r="BB39" s="182">
        <f>'Customer Deposits'!BB30</f>
        <v>134644.571</v>
      </c>
      <c r="BC39" s="182">
        <f>'Customer Deposits'!BC30</f>
        <v>131462.429</v>
      </c>
      <c r="BD39" s="182">
        <f>'Customer Deposits'!BD30</f>
        <v>125304.133</v>
      </c>
      <c r="BE39" s="182">
        <f>'Customer Deposits'!BE30</f>
        <v>120306.031</v>
      </c>
      <c r="BF39" s="182">
        <f>'Customer Deposits'!BF30</f>
        <v>117166.55100000001</v>
      </c>
      <c r="BG39" s="182">
        <f>'Customer Deposits'!BG30</f>
        <v>104605.129</v>
      </c>
      <c r="BH39" s="182">
        <f>'Customer Deposits'!BH30</f>
        <v>101220.144</v>
      </c>
      <c r="BI39" s="182">
        <f>'Customer Deposits'!BI30</f>
        <v>95360.793999999994</v>
      </c>
      <c r="BJ39" s="182">
        <f>'Customer Deposits'!BJ30</f>
        <v>96825.811000000002</v>
      </c>
      <c r="BK39" s="182">
        <f>'Customer Deposits'!BK30</f>
        <v>88285.471000000005</v>
      </c>
      <c r="BL39" s="182">
        <f>'Customer Deposits'!BL30</f>
        <v>87391.959000000003</v>
      </c>
      <c r="BM39" s="182">
        <f>'Customer Deposits'!BM30</f>
        <v>80715.013999999996</v>
      </c>
      <c r="BN39" s="182">
        <f>'Customer Deposits'!BN30</f>
        <v>74609.387000000002</v>
      </c>
      <c r="BO39" s="182">
        <f>'Customer Deposits'!BO30</f>
        <v>71435.990000000005</v>
      </c>
      <c r="BP39" s="182">
        <f>'Customer Deposits'!BP30</f>
        <v>72425.62</v>
      </c>
      <c r="BQ39" s="182">
        <f>'Customer Deposits'!BQ30</f>
        <v>66412.125</v>
      </c>
      <c r="BR39" s="182">
        <f>'Customer Deposits'!BR30</f>
        <v>65846.070000000007</v>
      </c>
      <c r="BS39" s="182">
        <f>'Customer Deposits'!BS30</f>
        <v>62644.856</v>
      </c>
      <c r="BT39" s="182">
        <f>'Customer Deposits'!BT30</f>
        <v>60730.258000000002</v>
      </c>
    </row>
    <row r="40" spans="1:72" s="39" customFormat="1" ht="15" customHeight="1" x14ac:dyDescent="0.25">
      <c r="A40" s="74">
        <v>40</v>
      </c>
      <c r="B40" s="190" t="s">
        <v>275</v>
      </c>
      <c r="C40" s="93"/>
      <c r="D40" s="88"/>
      <c r="E40" s="94"/>
      <c r="F40" s="263">
        <v>2235</v>
      </c>
      <c r="G40" s="263">
        <v>616</v>
      </c>
      <c r="H40" s="171">
        <v>201</v>
      </c>
      <c r="I40" s="171">
        <v>44</v>
      </c>
      <c r="J40" s="171">
        <v>122</v>
      </c>
      <c r="K40" s="171">
        <v>9</v>
      </c>
      <c r="L40" s="171">
        <v>2059</v>
      </c>
      <c r="M40" s="171">
        <v>1085</v>
      </c>
      <c r="N40" s="171">
        <v>448</v>
      </c>
      <c r="O40" s="171">
        <v>626</v>
      </c>
      <c r="P40" s="171">
        <v>1471</v>
      </c>
      <c r="Q40" s="171">
        <v>591</v>
      </c>
      <c r="R40" s="171">
        <v>703</v>
      </c>
      <c r="S40" s="171">
        <v>690</v>
      </c>
      <c r="T40" s="171">
        <v>707</v>
      </c>
      <c r="U40" s="410"/>
      <c r="V40" s="410"/>
      <c r="W40" s="410"/>
      <c r="X40" s="171">
        <v>1071</v>
      </c>
      <c r="Y40" s="171">
        <v>1329.5239999999999</v>
      </c>
      <c r="Z40" s="171">
        <v>754.822</v>
      </c>
      <c r="AA40" s="171">
        <v>206.1</v>
      </c>
      <c r="AB40" s="171">
        <v>1707</v>
      </c>
      <c r="AC40" s="171">
        <v>1429.6759999999999</v>
      </c>
      <c r="AD40" s="171">
        <v>698.15200000000004</v>
      </c>
      <c r="AE40" s="171">
        <v>656.00699999999995</v>
      </c>
      <c r="AF40" s="171">
        <v>311.82900000000001</v>
      </c>
      <c r="AG40" s="171">
        <v>2687.0880000000002</v>
      </c>
      <c r="AH40" s="171">
        <v>4135.2790000000005</v>
      </c>
      <c r="AI40" s="171">
        <v>9549.4269999999997</v>
      </c>
      <c r="AJ40" s="171">
        <v>12116.371999999999</v>
      </c>
      <c r="AK40" s="171">
        <v>12083.130999999999</v>
      </c>
      <c r="AL40" s="171">
        <v>4880.4650000000001</v>
      </c>
      <c r="AM40" s="171">
        <v>10051.4</v>
      </c>
      <c r="AN40" s="171">
        <v>12511.032999999999</v>
      </c>
      <c r="AO40" s="171">
        <v>10171.879000000001</v>
      </c>
      <c r="AP40" s="171">
        <v>6652.19</v>
      </c>
      <c r="AQ40" s="171">
        <v>6811.2749999999996</v>
      </c>
      <c r="AR40" s="80">
        <v>4223.1639999999998</v>
      </c>
      <c r="AS40" s="171"/>
      <c r="AT40" s="171"/>
      <c r="AU40" s="171"/>
      <c r="AV40" s="85">
        <v>870.26199999999994</v>
      </c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</row>
    <row r="41" spans="1:72" s="39" customFormat="1" ht="15" customHeight="1" x14ac:dyDescent="0.25">
      <c r="A41" s="74">
        <v>41</v>
      </c>
      <c r="B41" s="190" t="s">
        <v>268</v>
      </c>
      <c r="C41" s="93"/>
      <c r="D41" s="88"/>
      <c r="E41" s="94"/>
      <c r="F41" s="263">
        <v>5265</v>
      </c>
      <c r="G41" s="263">
        <v>4349</v>
      </c>
      <c r="H41" s="171">
        <v>6295</v>
      </c>
      <c r="I41" s="171">
        <v>5818</v>
      </c>
      <c r="J41" s="171">
        <v>7463</v>
      </c>
      <c r="K41" s="171">
        <v>7081</v>
      </c>
      <c r="L41" s="171">
        <v>7677</v>
      </c>
      <c r="M41" s="171">
        <v>11105</v>
      </c>
      <c r="N41" s="171">
        <v>12204</v>
      </c>
      <c r="O41" s="171">
        <v>8693</v>
      </c>
      <c r="P41" s="171">
        <v>7738</v>
      </c>
      <c r="Q41" s="171">
        <v>10892</v>
      </c>
      <c r="R41" s="171">
        <v>9860</v>
      </c>
      <c r="S41" s="171">
        <v>4945</v>
      </c>
      <c r="T41" s="171">
        <v>6063</v>
      </c>
      <c r="U41" s="410"/>
      <c r="V41" s="410"/>
      <c r="W41" s="410"/>
      <c r="X41" s="171">
        <v>5232</v>
      </c>
      <c r="Y41" s="171">
        <v>4486.3220000000001</v>
      </c>
      <c r="Z41" s="171">
        <v>5809.5460000000003</v>
      </c>
      <c r="AA41" s="171">
        <v>5191.1189999999997</v>
      </c>
      <c r="AB41" s="171">
        <v>7411</v>
      </c>
      <c r="AC41" s="171">
        <v>12114.083000000001</v>
      </c>
      <c r="AD41" s="171">
        <v>12294.782999999999</v>
      </c>
      <c r="AE41" s="171">
        <v>14915.462</v>
      </c>
      <c r="AF41" s="171">
        <v>7394.07</v>
      </c>
      <c r="AG41" s="171">
        <v>3716.4580000000001</v>
      </c>
      <c r="AH41" s="171">
        <v>5396.9780000000001</v>
      </c>
      <c r="AI41" s="171">
        <v>3851.971</v>
      </c>
      <c r="AJ41" s="171">
        <v>2939.1959999999999</v>
      </c>
      <c r="AK41" s="171">
        <v>1845.652</v>
      </c>
      <c r="AL41" s="171">
        <v>1352.0630000000001</v>
      </c>
      <c r="AM41" s="171">
        <v>1100.8040000000001</v>
      </c>
      <c r="AN41" s="171">
        <v>1661.3510000000001</v>
      </c>
      <c r="AO41" s="171">
        <v>793.68299999999999</v>
      </c>
      <c r="AP41" s="171">
        <v>2552.92</v>
      </c>
      <c r="AQ41" s="171">
        <v>3511.873</v>
      </c>
      <c r="AR41" s="80">
        <v>2929.752</v>
      </c>
      <c r="AS41" s="171">
        <v>907.89</v>
      </c>
      <c r="AT41" s="171">
        <v>363.96</v>
      </c>
      <c r="AU41" s="171">
        <v>892.37099999999998</v>
      </c>
      <c r="AV41" s="85">
        <v>498.661</v>
      </c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</row>
    <row r="42" spans="1:72" s="39" customFormat="1" ht="15" customHeight="1" x14ac:dyDescent="0.25">
      <c r="A42" s="74">
        <v>42</v>
      </c>
      <c r="B42" s="40" t="s">
        <v>34</v>
      </c>
      <c r="C42" s="93"/>
      <c r="D42" s="88"/>
      <c r="E42" s="94"/>
      <c r="F42" s="263"/>
      <c r="G42" s="263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>
        <v>673</v>
      </c>
      <c r="T42" s="85">
        <v>801</v>
      </c>
      <c r="U42" s="410"/>
      <c r="V42" s="410"/>
      <c r="W42" s="410"/>
      <c r="X42" s="85">
        <v>1412</v>
      </c>
      <c r="Y42" s="85">
        <v>1658.232</v>
      </c>
      <c r="Z42" s="85">
        <v>1923.586</v>
      </c>
      <c r="AA42" s="85">
        <v>2279.73</v>
      </c>
      <c r="AB42" s="85">
        <v>2712</v>
      </c>
      <c r="AC42" s="85">
        <v>3236.3150000000001</v>
      </c>
      <c r="AD42" s="85">
        <v>3717.8150000000001</v>
      </c>
      <c r="AE42" s="85">
        <v>4275.2380000000003</v>
      </c>
      <c r="AF42" s="85">
        <v>4802.7749999999996</v>
      </c>
      <c r="AG42" s="85">
        <v>5286.2380000000003</v>
      </c>
      <c r="AH42" s="85">
        <v>6103.6369999999997</v>
      </c>
      <c r="AI42" s="85">
        <v>12215.143</v>
      </c>
      <c r="AJ42" s="85">
        <v>13806.545</v>
      </c>
      <c r="AK42" s="85">
        <v>7345.6419999999998</v>
      </c>
      <c r="AL42" s="85">
        <v>6898.2820000000002</v>
      </c>
      <c r="AM42" s="85">
        <v>6588.9059999999999</v>
      </c>
      <c r="AN42" s="85">
        <v>7137.8919999999998</v>
      </c>
      <c r="AO42" s="85">
        <v>8380.1460000000006</v>
      </c>
      <c r="AP42" s="85">
        <v>11333.07</v>
      </c>
      <c r="AQ42" s="85">
        <v>11363.083000000001</v>
      </c>
      <c r="AR42" s="45">
        <v>15882.715</v>
      </c>
      <c r="AS42" s="85">
        <v>16318.596</v>
      </c>
      <c r="AT42" s="85">
        <v>16301.467000000001</v>
      </c>
      <c r="AU42" s="85">
        <v>17694.572</v>
      </c>
      <c r="AV42" s="85">
        <v>19200.016</v>
      </c>
      <c r="AW42" s="85">
        <v>23045.072</v>
      </c>
      <c r="AX42" s="85">
        <v>22045.995999999999</v>
      </c>
      <c r="AY42" s="85">
        <v>23298.947</v>
      </c>
      <c r="AZ42" s="85">
        <v>23864.107</v>
      </c>
      <c r="BA42" s="85">
        <v>18900.439999999999</v>
      </c>
      <c r="BB42" s="85">
        <v>20498.859</v>
      </c>
      <c r="BC42" s="85">
        <v>21254.785</v>
      </c>
      <c r="BD42" s="85">
        <v>20218.789000000001</v>
      </c>
      <c r="BE42" s="85">
        <v>17312.89</v>
      </c>
      <c r="BF42" s="85">
        <v>17319.041000000001</v>
      </c>
      <c r="BG42" s="85">
        <v>17077.238000000001</v>
      </c>
      <c r="BH42" s="85">
        <v>16883.583999999999</v>
      </c>
      <c r="BI42" s="45">
        <v>11322.001</v>
      </c>
      <c r="BJ42" s="45">
        <v>11650.38</v>
      </c>
      <c r="BK42" s="45">
        <v>11113.235000000001</v>
      </c>
      <c r="BL42" s="45">
        <v>11555.523999999999</v>
      </c>
      <c r="BM42" s="45">
        <v>16429.010999999999</v>
      </c>
      <c r="BN42" s="45">
        <v>16039.021000000001</v>
      </c>
      <c r="BO42" s="45">
        <v>16067.056</v>
      </c>
      <c r="BP42" s="45">
        <v>16281.994000000001</v>
      </c>
      <c r="BQ42" s="45">
        <v>13201.717000000001</v>
      </c>
      <c r="BR42" s="45">
        <v>8263.42</v>
      </c>
      <c r="BS42" s="45">
        <v>2945.1610000000001</v>
      </c>
      <c r="BT42" s="45">
        <v>3113.5810000000001</v>
      </c>
    </row>
    <row r="43" spans="1:72" s="39" customFormat="1" ht="15" customHeight="1" x14ac:dyDescent="0.25">
      <c r="A43" s="74">
        <v>43</v>
      </c>
      <c r="B43" s="40" t="s">
        <v>278</v>
      </c>
      <c r="C43" s="93">
        <f ca="1">OFFSET($E$7,$A43-$A$7,1,1,1)/OFFSET($E$7,$A43-$A$7,2,1,1)-1</f>
        <v>-3.799873337555415E-2</v>
      </c>
      <c r="D43" s="88">
        <f ca="1">OFFSET($E$7,$A43-$A$7,1,1,1)/OFFSET($E$7,$A43-$A$7,5,1,1)-1</f>
        <v>0.14988644965934905</v>
      </c>
      <c r="E43" s="94">
        <f ca="1">OFFSET($E$7,$A43-$A$7,1,1,1)/OFFSET($E$7,$A43-$A$7,IF(MONTH(MAX($7:$7))=3,2,IF(MONTH(MAX($7:$7))=6,3,IF(MONTH(MAX($7:$7))=9,4,5)))*1,1)-1</f>
        <v>9.5259193619849913E-3</v>
      </c>
      <c r="F43" s="263">
        <v>4557</v>
      </c>
      <c r="G43" s="263">
        <v>4737</v>
      </c>
      <c r="H43" s="85">
        <v>4514</v>
      </c>
      <c r="I43" s="85">
        <v>4375</v>
      </c>
      <c r="J43" s="85">
        <v>3963</v>
      </c>
      <c r="K43" s="85">
        <v>6913</v>
      </c>
      <c r="L43" s="85">
        <v>4612</v>
      </c>
      <c r="M43" s="85">
        <v>4481</v>
      </c>
      <c r="N43" s="85">
        <v>4056</v>
      </c>
      <c r="O43" s="85">
        <v>4622</v>
      </c>
      <c r="P43" s="85">
        <v>4651</v>
      </c>
      <c r="Q43" s="85">
        <v>4716</v>
      </c>
      <c r="R43" s="85">
        <v>5107</v>
      </c>
      <c r="S43" s="85">
        <v>4821</v>
      </c>
      <c r="T43" s="85">
        <v>5337</v>
      </c>
      <c r="U43" s="410"/>
      <c r="V43" s="410"/>
      <c r="W43" s="410"/>
      <c r="X43" s="85">
        <v>5798</v>
      </c>
      <c r="Y43" s="85">
        <v>5956.9269999999997</v>
      </c>
      <c r="Z43" s="85">
        <v>6074.4279999999999</v>
      </c>
      <c r="AA43" s="85">
        <v>7739.91</v>
      </c>
      <c r="AB43" s="85">
        <v>8150</v>
      </c>
      <c r="AC43" s="85">
        <v>8465.2029999999995</v>
      </c>
      <c r="AD43" s="85">
        <v>8997.8680000000004</v>
      </c>
      <c r="AE43" s="85">
        <v>8812.3459999999995</v>
      </c>
      <c r="AF43" s="85">
        <v>7231.2330000000002</v>
      </c>
      <c r="AG43" s="85">
        <v>7403.1180000000004</v>
      </c>
      <c r="AH43" s="85">
        <v>6559.7150000000001</v>
      </c>
      <c r="AI43" s="85">
        <v>8290.8240000000005</v>
      </c>
      <c r="AJ43" s="85">
        <v>7977.0649999999996</v>
      </c>
      <c r="AK43" s="85">
        <v>7137.4830000000002</v>
      </c>
      <c r="AL43" s="85">
        <v>7257.7950000000001</v>
      </c>
      <c r="AM43" s="85">
        <v>7022.2879999999996</v>
      </c>
      <c r="AN43" s="85">
        <v>7253.3450000000003</v>
      </c>
      <c r="AO43" s="85">
        <v>6530.0129999999999</v>
      </c>
      <c r="AP43" s="85">
        <v>7350.8760000000002</v>
      </c>
      <c r="AQ43" s="85">
        <v>6966.8119999999999</v>
      </c>
      <c r="AR43" s="45">
        <v>7882.2839999999997</v>
      </c>
      <c r="AS43" s="85">
        <v>17335.918000000001</v>
      </c>
      <c r="AT43" s="85">
        <v>7397.8119999999999</v>
      </c>
      <c r="AU43" s="85">
        <v>16193.317999999999</v>
      </c>
      <c r="AV43" s="85">
        <v>17441.146000000001</v>
      </c>
      <c r="AW43" s="85">
        <v>16001.814</v>
      </c>
      <c r="AX43" s="85">
        <v>15768.761</v>
      </c>
      <c r="AY43" s="85">
        <v>17598.036</v>
      </c>
      <c r="AZ43" s="85">
        <v>16405.964</v>
      </c>
      <c r="BA43" s="85">
        <v>12087.833000000001</v>
      </c>
      <c r="BB43" s="85">
        <v>8054.23</v>
      </c>
      <c r="BC43" s="85">
        <v>10458.544</v>
      </c>
      <c r="BD43" s="85">
        <v>8507.34</v>
      </c>
      <c r="BE43" s="85">
        <v>9505.7839999999997</v>
      </c>
      <c r="BF43" s="85">
        <v>6366.915</v>
      </c>
      <c r="BG43" s="85">
        <v>4309.4579999999996</v>
      </c>
      <c r="BH43" s="85">
        <v>5244.3339999999998</v>
      </c>
      <c r="BI43" s="45">
        <v>7133.741</v>
      </c>
      <c r="BJ43" s="45">
        <v>8995.6489999999994</v>
      </c>
      <c r="BK43" s="45">
        <v>8318.5669999999991</v>
      </c>
      <c r="BL43" s="45">
        <v>9356.4439999999995</v>
      </c>
      <c r="BM43" s="45">
        <v>12719.817999999999</v>
      </c>
      <c r="BN43" s="45">
        <v>10286.663</v>
      </c>
      <c r="BO43" s="45">
        <v>11760.227999999999</v>
      </c>
      <c r="BP43" s="45">
        <v>10365.23</v>
      </c>
      <c r="BQ43" s="45">
        <v>9568.9920000000002</v>
      </c>
      <c r="BR43" s="45">
        <v>9052.5789999999997</v>
      </c>
      <c r="BS43" s="45">
        <v>5326.326</v>
      </c>
      <c r="BT43" s="45">
        <v>5150.7740000000003</v>
      </c>
    </row>
    <row r="44" spans="1:72" s="39" customFormat="1" ht="15" customHeight="1" x14ac:dyDescent="0.25">
      <c r="A44" s="74">
        <v>44</v>
      </c>
      <c r="B44" s="40" t="s">
        <v>35</v>
      </c>
      <c r="C44" s="93"/>
      <c r="D44" s="88"/>
      <c r="E44" s="94"/>
      <c r="F44" s="263"/>
      <c r="G44" s="263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410"/>
      <c r="V44" s="410"/>
      <c r="W44" s="410"/>
      <c r="X44" s="85"/>
      <c r="Y44" s="85"/>
      <c r="Z44" s="85"/>
      <c r="AA44" s="85"/>
      <c r="AB44" s="85"/>
      <c r="AC44" s="85"/>
      <c r="AD44" s="85"/>
      <c r="AE44" s="85"/>
      <c r="AF44" s="85"/>
      <c r="AG44" s="85">
        <v>1465.8969999999999</v>
      </c>
      <c r="AH44" s="85">
        <v>1466.45</v>
      </c>
      <c r="AI44" s="85">
        <f>1466.339+769.428</f>
        <v>2235.7669999999998</v>
      </c>
      <c r="AJ44" s="85">
        <v>1465.7190000000001</v>
      </c>
      <c r="AK44" s="85">
        <v>1466.1210000000001</v>
      </c>
      <c r="AL44" s="85">
        <v>1466.191</v>
      </c>
      <c r="AM44" s="85">
        <v>1813.4269999999999</v>
      </c>
      <c r="AN44" s="85">
        <v>1903.7439999999999</v>
      </c>
      <c r="AO44" s="85">
        <v>2239.8470000000002</v>
      </c>
      <c r="AP44" s="85">
        <v>2227.652</v>
      </c>
      <c r="AQ44" s="85">
        <v>2157.2449999999999</v>
      </c>
      <c r="AR44" s="45">
        <v>2504.143</v>
      </c>
      <c r="AS44" s="85">
        <v>2405.1109999999999</v>
      </c>
      <c r="AT44" s="85">
        <v>2694.5219999999999</v>
      </c>
      <c r="AU44" s="85">
        <v>2389.2579999999998</v>
      </c>
      <c r="AV44" s="85">
        <v>2642.299</v>
      </c>
      <c r="AW44" s="85">
        <v>2568.3629999999998</v>
      </c>
      <c r="AX44" s="85">
        <v>3249.4659999999999</v>
      </c>
      <c r="AY44" s="85">
        <v>3325.8789999999999</v>
      </c>
      <c r="AZ44" s="85">
        <v>5671.1790000000001</v>
      </c>
      <c r="BA44" s="85">
        <v>4922.75</v>
      </c>
      <c r="BB44" s="85">
        <v>6964.6450000000004</v>
      </c>
      <c r="BC44" s="85">
        <v>7356.1319999999996</v>
      </c>
      <c r="BD44" s="85">
        <v>7579.4260000000004</v>
      </c>
      <c r="BE44" s="85">
        <v>7776.0479999999998</v>
      </c>
      <c r="BF44" s="85">
        <v>9557.9189999999999</v>
      </c>
      <c r="BG44" s="85">
        <v>9234.0669999999991</v>
      </c>
      <c r="BH44" s="85">
        <v>11410.628000000001</v>
      </c>
      <c r="BI44" s="45">
        <v>11235.492</v>
      </c>
      <c r="BJ44" s="45">
        <v>12065.945</v>
      </c>
      <c r="BK44" s="45">
        <v>11078.949000000001</v>
      </c>
      <c r="BL44" s="45">
        <v>12078.255999999999</v>
      </c>
      <c r="BM44" s="45">
        <v>13440.15</v>
      </c>
      <c r="BN44" s="45">
        <v>12011.038</v>
      </c>
      <c r="BO44" s="45">
        <v>12367.001</v>
      </c>
      <c r="BP44" s="45">
        <v>13121.108</v>
      </c>
      <c r="BQ44" s="45">
        <v>10941.668</v>
      </c>
      <c r="BR44" s="45">
        <v>10014.017</v>
      </c>
      <c r="BS44" s="45">
        <v>10289.808000000001</v>
      </c>
      <c r="BT44" s="45">
        <v>9206.6450000000004</v>
      </c>
    </row>
    <row r="45" spans="1:72" s="39" customFormat="1" ht="15" hidden="1" customHeight="1" x14ac:dyDescent="0.25">
      <c r="A45" s="74">
        <v>45</v>
      </c>
      <c r="B45" s="40" t="s">
        <v>36</v>
      </c>
      <c r="C45" s="93"/>
      <c r="D45" s="88" t="e">
        <f>(AG45-AK45)/AK45</f>
        <v>#DIV/0!</v>
      </c>
      <c r="E45" s="94"/>
      <c r="F45" s="263"/>
      <c r="G45" s="263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410"/>
      <c r="V45" s="410"/>
      <c r="W45" s="410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>
        <v>0</v>
      </c>
      <c r="AK45" s="85">
        <v>0</v>
      </c>
      <c r="AL45" s="85"/>
      <c r="AM45" s="85"/>
      <c r="AN45" s="85"/>
      <c r="AO45" s="85"/>
      <c r="AP45" s="85"/>
      <c r="AQ45" s="85"/>
      <c r="AR45" s="4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45">
        <v>1564.172</v>
      </c>
      <c r="BJ45" s="45">
        <v>881.97</v>
      </c>
      <c r="BK45" s="45">
        <v>939.90200000000004</v>
      </c>
      <c r="BL45" s="45">
        <v>1157.902</v>
      </c>
      <c r="BM45" s="45">
        <v>1435.7370000000001</v>
      </c>
      <c r="BN45" s="45">
        <v>653.13499999999999</v>
      </c>
      <c r="BO45" s="45">
        <v>949.09400000000005</v>
      </c>
      <c r="BP45" s="45">
        <v>474.22899999999998</v>
      </c>
      <c r="BQ45" s="45">
        <v>478.74</v>
      </c>
      <c r="BR45" s="45">
        <v>276.56700000000001</v>
      </c>
      <c r="BS45" s="45">
        <v>277.33100000000002</v>
      </c>
      <c r="BT45" s="45">
        <v>414.55399999999997</v>
      </c>
    </row>
    <row r="46" spans="1:72" ht="15" customHeight="1" x14ac:dyDescent="0.25">
      <c r="A46" s="74">
        <v>46</v>
      </c>
      <c r="B46" s="5" t="s">
        <v>37</v>
      </c>
      <c r="C46" s="93"/>
      <c r="D46" s="88"/>
      <c r="E46" s="94"/>
      <c r="F46" s="263">
        <f>5462+16078</f>
        <v>21540</v>
      </c>
      <c r="G46" s="263">
        <f>4552+14675</f>
        <v>19227</v>
      </c>
      <c r="H46" s="85">
        <f>3800+16148</f>
        <v>19948</v>
      </c>
      <c r="I46" s="85">
        <f>3078+12953</f>
        <v>16031</v>
      </c>
      <c r="J46" s="85">
        <f>3158+15591</f>
        <v>18749</v>
      </c>
      <c r="K46" s="85">
        <f>3151+22789</f>
        <v>25940</v>
      </c>
      <c r="L46" s="85">
        <f>18499+1768</f>
        <v>20267</v>
      </c>
      <c r="M46" s="85">
        <v>20800</v>
      </c>
      <c r="N46" s="85">
        <f>3312+16805</f>
        <v>20117</v>
      </c>
      <c r="O46" s="85">
        <v>18095</v>
      </c>
      <c r="P46" s="85">
        <f>12704+1840</f>
        <v>14544</v>
      </c>
      <c r="Q46" s="85">
        <v>24681</v>
      </c>
      <c r="R46" s="22">
        <v>19584</v>
      </c>
      <c r="S46" s="22">
        <v>15534</v>
      </c>
      <c r="T46" s="22">
        <f>928+2404+17070</f>
        <v>20402</v>
      </c>
      <c r="U46" s="410"/>
      <c r="V46" s="410"/>
      <c r="W46" s="400"/>
      <c r="X46" s="22">
        <f>3158+0+8478</f>
        <v>11636</v>
      </c>
      <c r="Y46" s="22">
        <v>11113.111000000001</v>
      </c>
      <c r="Z46" s="22">
        <v>9868.009</v>
      </c>
      <c r="AA46" s="22">
        <v>10948.17</v>
      </c>
      <c r="AB46" s="22">
        <f>2816+534+6191</f>
        <v>9541</v>
      </c>
      <c r="AC46" s="22">
        <v>8434.7929999999997</v>
      </c>
      <c r="AD46" s="22">
        <v>5182.3580000000002</v>
      </c>
      <c r="AE46" s="22">
        <v>4618.6899999999996</v>
      </c>
      <c r="AF46" s="22">
        <v>5630.9809999999998</v>
      </c>
      <c r="AG46" s="22">
        <v>3836.1509999999998</v>
      </c>
      <c r="AH46" s="22">
        <v>5048.6959999999999</v>
      </c>
      <c r="AI46" s="22">
        <v>4748.8549999999996</v>
      </c>
      <c r="AJ46" s="22">
        <v>4837.62</v>
      </c>
      <c r="AK46" s="22">
        <v>3265.2440000000001</v>
      </c>
      <c r="AL46" s="22">
        <v>2535.5540000000001</v>
      </c>
      <c r="AM46" s="22">
        <v>2309.1709999999998</v>
      </c>
      <c r="AN46" s="22">
        <v>3584.9989999999998</v>
      </c>
      <c r="AO46" s="22">
        <v>2535.2350000000001</v>
      </c>
      <c r="AP46" s="22">
        <v>2171.6990000000001</v>
      </c>
      <c r="AQ46" s="22">
        <v>2286.105</v>
      </c>
      <c r="AR46" s="11">
        <v>4329.8609999999999</v>
      </c>
      <c r="AS46" s="22">
        <v>3359.0039999999999</v>
      </c>
      <c r="AT46" s="22">
        <v>3360.723</v>
      </c>
      <c r="AU46" s="22">
        <v>5068.9880000000003</v>
      </c>
      <c r="AV46" s="22">
        <v>4173.9620000000004</v>
      </c>
      <c r="AW46" s="22">
        <v>4271.826</v>
      </c>
      <c r="AX46" s="22">
        <v>4367.4340000000002</v>
      </c>
      <c r="AY46" s="22">
        <v>7740.4850000000006</v>
      </c>
      <c r="AZ46" s="22">
        <v>13286.137999999999</v>
      </c>
      <c r="BA46" s="22">
        <v>4871.5510000000004</v>
      </c>
      <c r="BB46" s="22">
        <v>4599.7809999999999</v>
      </c>
      <c r="BC46" s="22">
        <v>2994.587</v>
      </c>
      <c r="BD46" s="22">
        <v>1772.53</v>
      </c>
      <c r="BE46" s="22">
        <v>2784.4949999999999</v>
      </c>
      <c r="BF46" s="22">
        <v>2517.8110000000001</v>
      </c>
      <c r="BG46" s="22">
        <v>2343.4569999999999</v>
      </c>
      <c r="BH46" s="22">
        <v>2458.152</v>
      </c>
      <c r="BI46" s="11">
        <v>1417.0419999999999</v>
      </c>
      <c r="BJ46" s="11">
        <v>1209.8599999999999</v>
      </c>
      <c r="BK46" s="11">
        <v>1324.8109999999999</v>
      </c>
      <c r="BL46" s="11">
        <v>1960.7439999999999</v>
      </c>
      <c r="BM46" s="11">
        <v>876.39400000000001</v>
      </c>
      <c r="BN46" s="11">
        <v>812.00700000000006</v>
      </c>
      <c r="BO46" s="11">
        <v>335.59300000000002</v>
      </c>
      <c r="BP46" s="11">
        <v>667.85799999999995</v>
      </c>
      <c r="BQ46" s="11">
        <v>598.32100000000003</v>
      </c>
      <c r="BR46" s="11">
        <v>378.59500000000003</v>
      </c>
      <c r="BS46" s="11">
        <v>377.03399999999999</v>
      </c>
      <c r="BT46" s="11">
        <v>444.10700000000003</v>
      </c>
    </row>
    <row r="47" spans="1:72" s="19" customFormat="1" ht="26.1" customHeight="1" x14ac:dyDescent="0.25">
      <c r="A47" s="74">
        <v>47</v>
      </c>
      <c r="B47" s="19" t="s">
        <v>38</v>
      </c>
      <c r="C47" s="95">
        <f ca="1">OFFSET($E$7,$A47-$A$7,1,1,1)/OFFSET($E$7,$A47-$A$7,2,1,1)-1</f>
        <v>-2.5425693006582373E-2</v>
      </c>
      <c r="D47" s="125">
        <f ca="1">OFFSET($E$7,$A47-$A$7,1,1,1)/OFFSET($E$7,$A47-$A$7,5,1,1)-1</f>
        <v>9.1881946855503438E-2</v>
      </c>
      <c r="E47" s="96">
        <f ca="1">OFFSET($E$7,$A47-$A$7,1,1,1)/OFFSET($E$7,$A47-$A$7,IF(MONTH(MAX($7:$7))=3,2,IF(MONTH(MAX($7:$7))=6,3,IF(MONTH(MAX($7:$7))=9,4,5)))*1,1)-1</f>
        <v>4.3163418414835952E-2</v>
      </c>
      <c r="F47" s="271">
        <f t="shared" ref="F47" si="20">SUM(F36:F37,F40:F46)</f>
        <v>1135305</v>
      </c>
      <c r="G47" s="271">
        <f t="shared" ref="G47:H47" si="21">SUM(G36:G37,G40:G46)</f>
        <v>1164924</v>
      </c>
      <c r="H47" s="66">
        <f t="shared" si="21"/>
        <v>1088329</v>
      </c>
      <c r="I47" s="66">
        <f t="shared" ref="I47" si="22">SUM(I36:I37,I40:I46)</f>
        <v>1131714</v>
      </c>
      <c r="J47" s="66">
        <f t="shared" ref="J47:K47" si="23">SUM(J36:J37,J40:J46)</f>
        <v>1039769</v>
      </c>
      <c r="K47" s="66">
        <f t="shared" si="23"/>
        <v>926344</v>
      </c>
      <c r="L47" s="66">
        <f t="shared" ref="L47:AI47" si="24">SUM(L36:L37,L40:L46)</f>
        <v>935987</v>
      </c>
      <c r="M47" s="66">
        <f t="shared" si="24"/>
        <v>837053</v>
      </c>
      <c r="N47" s="66">
        <f t="shared" si="24"/>
        <v>887029</v>
      </c>
      <c r="O47" s="66">
        <f t="shared" si="24"/>
        <v>825619</v>
      </c>
      <c r="P47" s="66">
        <f t="shared" si="24"/>
        <v>883410</v>
      </c>
      <c r="Q47" s="66">
        <f t="shared" si="24"/>
        <v>795022</v>
      </c>
      <c r="R47" s="66">
        <f t="shared" si="24"/>
        <v>698267</v>
      </c>
      <c r="S47" s="66">
        <f t="shared" si="24"/>
        <v>677352</v>
      </c>
      <c r="T47" s="66">
        <f t="shared" si="24"/>
        <v>694549</v>
      </c>
      <c r="U47" s="412"/>
      <c r="V47" s="412"/>
      <c r="W47" s="412"/>
      <c r="X47" s="66">
        <f t="shared" si="24"/>
        <v>692691</v>
      </c>
      <c r="Y47" s="66">
        <f t="shared" si="24"/>
        <v>672842.505</v>
      </c>
      <c r="Z47" s="66">
        <f t="shared" si="24"/>
        <v>643861.25699999987</v>
      </c>
      <c r="AA47" s="66">
        <f t="shared" si="24"/>
        <v>639894.24300000002</v>
      </c>
      <c r="AB47" s="66">
        <f t="shared" si="24"/>
        <v>641534</v>
      </c>
      <c r="AC47" s="66">
        <f t="shared" si="24"/>
        <v>634229.42699999979</v>
      </c>
      <c r="AD47" s="66">
        <f t="shared" si="24"/>
        <v>587682.47600000002</v>
      </c>
      <c r="AE47" s="66">
        <f t="shared" si="24"/>
        <v>587007.07899999991</v>
      </c>
      <c r="AF47" s="66">
        <f t="shared" si="24"/>
        <v>594281.01100000006</v>
      </c>
      <c r="AG47" s="66">
        <f t="shared" si="24"/>
        <v>577124.13500000001</v>
      </c>
      <c r="AH47" s="66">
        <f t="shared" si="24"/>
        <v>580833.43299999996</v>
      </c>
      <c r="AI47" s="66">
        <f t="shared" si="24"/>
        <v>574826.46600000001</v>
      </c>
      <c r="AJ47" s="66">
        <f t="shared" ref="AJ47:BT47" si="25">SUM(AJ36:AJ37,AJ40:AJ46)</f>
        <v>597749.83400000003</v>
      </c>
      <c r="AK47" s="66">
        <f t="shared" si="25"/>
        <v>538953.10699999996</v>
      </c>
      <c r="AL47" s="66">
        <f t="shared" si="25"/>
        <v>530102.85100000002</v>
      </c>
      <c r="AM47" s="66">
        <f t="shared" si="25"/>
        <v>532229.47900000005</v>
      </c>
      <c r="AN47" s="66">
        <f t="shared" si="25"/>
        <v>535949.24199999997</v>
      </c>
      <c r="AO47" s="66">
        <f t="shared" si="25"/>
        <v>503635.47100000008</v>
      </c>
      <c r="AP47" s="66">
        <f t="shared" si="25"/>
        <v>495631.91300000006</v>
      </c>
      <c r="AQ47" s="66">
        <f t="shared" si="25"/>
        <v>490744.49099999998</v>
      </c>
      <c r="AR47" s="66">
        <f t="shared" si="25"/>
        <v>519418.55399999995</v>
      </c>
      <c r="AS47" s="66">
        <f t="shared" si="25"/>
        <v>486473.13000000006</v>
      </c>
      <c r="AT47" s="66">
        <f t="shared" si="25"/>
        <v>515463.41399999999</v>
      </c>
      <c r="AU47" s="66">
        <f t="shared" si="25"/>
        <v>503603.39499999996</v>
      </c>
      <c r="AV47" s="66">
        <f t="shared" si="25"/>
        <v>505751.09200000006</v>
      </c>
      <c r="AW47" s="66">
        <f t="shared" si="25"/>
        <v>471829.87799999997</v>
      </c>
      <c r="AX47" s="66">
        <f t="shared" si="25"/>
        <v>465834.34400000004</v>
      </c>
      <c r="AY47" s="66">
        <f t="shared" si="25"/>
        <v>467974.09299999999</v>
      </c>
      <c r="AZ47" s="66">
        <f t="shared" si="25"/>
        <v>470305.80900000001</v>
      </c>
      <c r="BA47" s="66">
        <f t="shared" si="25"/>
        <v>396856.21799999994</v>
      </c>
      <c r="BB47" s="66">
        <f t="shared" si="25"/>
        <v>389466.10900000005</v>
      </c>
      <c r="BC47" s="66">
        <f t="shared" si="25"/>
        <v>379578.76299999998</v>
      </c>
      <c r="BD47" s="66">
        <f t="shared" si="25"/>
        <v>361746.364</v>
      </c>
      <c r="BE47" s="66">
        <f t="shared" si="25"/>
        <v>357351.74700000003</v>
      </c>
      <c r="BF47" s="66">
        <f t="shared" si="25"/>
        <v>332860.41700000002</v>
      </c>
      <c r="BG47" s="66">
        <f t="shared" si="25"/>
        <v>307709.55999999994</v>
      </c>
      <c r="BH47" s="66">
        <f t="shared" si="25"/>
        <v>311047.734</v>
      </c>
      <c r="BI47" s="66">
        <f t="shared" si="25"/>
        <v>277034.66100000008</v>
      </c>
      <c r="BJ47" s="66">
        <f t="shared" si="25"/>
        <v>301075.81999999995</v>
      </c>
      <c r="BK47" s="66">
        <f t="shared" si="25"/>
        <v>300547.59599999996</v>
      </c>
      <c r="BL47" s="66">
        <f t="shared" si="25"/>
        <v>290010.65500000003</v>
      </c>
      <c r="BM47" s="66">
        <f t="shared" si="25"/>
        <v>269679.83500000002</v>
      </c>
      <c r="BN47" s="66">
        <f t="shared" si="25"/>
        <v>259787.26400000002</v>
      </c>
      <c r="BO47" s="66">
        <f t="shared" si="25"/>
        <v>251778.95699999999</v>
      </c>
      <c r="BP47" s="66">
        <f t="shared" si="25"/>
        <v>244044.48800000004</v>
      </c>
      <c r="BQ47" s="66">
        <f t="shared" si="25"/>
        <v>220676.33699999997</v>
      </c>
      <c r="BR47" s="66">
        <f t="shared" si="25"/>
        <v>213882.78500000003</v>
      </c>
      <c r="BS47" s="66">
        <f t="shared" si="25"/>
        <v>206441.59099999999</v>
      </c>
      <c r="BT47" s="66">
        <f t="shared" si="25"/>
        <v>210321.78900000002</v>
      </c>
    </row>
    <row r="48" spans="1:72" ht="26.1" customHeight="1" x14ac:dyDescent="0.25">
      <c r="A48" s="74">
        <v>48</v>
      </c>
      <c r="B48" s="19" t="s">
        <v>39</v>
      </c>
      <c r="C48" s="93"/>
      <c r="D48" s="88"/>
      <c r="E48" s="94"/>
      <c r="F48" s="320"/>
      <c r="G48" s="320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413"/>
      <c r="V48" s="413"/>
      <c r="W48" s="413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88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</row>
    <row r="49" spans="1:72" ht="15" customHeight="1" x14ac:dyDescent="0.25">
      <c r="A49" s="74">
        <v>49</v>
      </c>
      <c r="B49" s="5" t="s">
        <v>40</v>
      </c>
      <c r="C49" s="93"/>
      <c r="D49" s="88"/>
      <c r="E49" s="94"/>
      <c r="F49" s="270">
        <v>3391</v>
      </c>
      <c r="G49" s="270">
        <v>3391</v>
      </c>
      <c r="H49" s="22">
        <v>3391</v>
      </c>
      <c r="I49" s="22">
        <v>3391</v>
      </c>
      <c r="J49" s="22">
        <v>3394</v>
      </c>
      <c r="K49" s="22">
        <v>3479</v>
      </c>
      <c r="L49" s="22">
        <v>3479</v>
      </c>
      <c r="M49" s="22">
        <v>3479</v>
      </c>
      <c r="N49" s="22">
        <v>3479</v>
      </c>
      <c r="O49" s="22">
        <v>3510</v>
      </c>
      <c r="P49" s="22">
        <v>3510</v>
      </c>
      <c r="Q49" s="22">
        <v>3510</v>
      </c>
      <c r="R49" s="22">
        <v>3510</v>
      </c>
      <c r="S49" s="22">
        <v>3609</v>
      </c>
      <c r="T49" s="22">
        <v>3609</v>
      </c>
      <c r="U49" s="400"/>
      <c r="V49" s="400"/>
      <c r="W49" s="400"/>
      <c r="X49" s="22">
        <v>3609</v>
      </c>
      <c r="Y49" s="22">
        <v>3608.5740000000001</v>
      </c>
      <c r="Z49" s="22">
        <v>3608.5740000000001</v>
      </c>
      <c r="AA49" s="22">
        <v>3695.154</v>
      </c>
      <c r="AB49" s="22">
        <v>3695</v>
      </c>
      <c r="AC49" s="22">
        <v>3695.154</v>
      </c>
      <c r="AD49" s="22">
        <v>3695.154</v>
      </c>
      <c r="AE49" s="22">
        <v>3781.7339999999999</v>
      </c>
      <c r="AF49" s="22">
        <v>3781.7339999999999</v>
      </c>
      <c r="AG49" s="22">
        <v>3781.7339999999999</v>
      </c>
      <c r="AH49" s="22">
        <v>3781.7339999999999</v>
      </c>
      <c r="AI49" s="22">
        <v>3781.7339999999999</v>
      </c>
      <c r="AJ49" s="22">
        <v>3781.7339999999999</v>
      </c>
      <c r="AK49" s="22">
        <v>3781.7339999999999</v>
      </c>
      <c r="AL49" s="22">
        <v>3781.7339999999999</v>
      </c>
      <c r="AM49" s="22">
        <v>3781.7339999999999</v>
      </c>
      <c r="AN49" s="22">
        <v>3781.7339999999999</v>
      </c>
      <c r="AO49" s="22">
        <v>3781.7339999999999</v>
      </c>
      <c r="AP49" s="22">
        <v>3721.7339999999999</v>
      </c>
      <c r="AQ49" s="22">
        <v>3721.7339999999999</v>
      </c>
      <c r="AR49" s="11">
        <v>3721.7339999999999</v>
      </c>
      <c r="AS49" s="22">
        <v>3721.7339999999999</v>
      </c>
      <c r="AT49" s="22">
        <v>3721.7339999999999</v>
      </c>
      <c r="AU49" s="22">
        <v>3141.5320000000002</v>
      </c>
      <c r="AV49" s="22">
        <v>3721.7339999999999</v>
      </c>
      <c r="AW49" s="22">
        <v>3721.223</v>
      </c>
      <c r="AX49" s="22">
        <v>3721.223</v>
      </c>
      <c r="AY49" s="22">
        <v>3710.2040000000002</v>
      </c>
      <c r="AZ49" s="22">
        <v>3696.674</v>
      </c>
      <c r="BA49" s="22">
        <v>3721.7339999999999</v>
      </c>
      <c r="BB49" s="22">
        <v>3721.7339999999999</v>
      </c>
      <c r="BC49" s="22">
        <v>3721.7339999999999</v>
      </c>
      <c r="BD49" s="22">
        <v>3721.7339999999999</v>
      </c>
      <c r="BE49" s="22">
        <v>3721.7339999999999</v>
      </c>
      <c r="BF49" s="22">
        <v>3648.11</v>
      </c>
      <c r="BG49" s="22">
        <v>3648.11</v>
      </c>
      <c r="BH49" s="22">
        <v>3648.11</v>
      </c>
      <c r="BI49" s="11">
        <v>3648.11</v>
      </c>
      <c r="BJ49" s="11">
        <v>3648.11</v>
      </c>
      <c r="BK49" s="11">
        <v>3648.11</v>
      </c>
      <c r="BL49" s="11">
        <v>3648.11</v>
      </c>
      <c r="BM49" s="11">
        <v>3648.11</v>
      </c>
      <c r="BN49" s="11">
        <v>3629.5410000000002</v>
      </c>
      <c r="BO49" s="11">
        <v>3629.5410000000002</v>
      </c>
      <c r="BP49" s="11">
        <v>3629.5410000000002</v>
      </c>
      <c r="BQ49" s="11">
        <v>3629.5410000000002</v>
      </c>
      <c r="BR49" s="11">
        <v>3629.5410000000002</v>
      </c>
      <c r="BS49" s="11">
        <v>3629.5410000000002</v>
      </c>
      <c r="BT49" s="11">
        <v>3629.5410000000002</v>
      </c>
    </row>
    <row r="50" spans="1:72" ht="15" customHeight="1" x14ac:dyDescent="0.25">
      <c r="A50" s="74">
        <v>50</v>
      </c>
      <c r="B50" s="5" t="s">
        <v>41</v>
      </c>
      <c r="C50" s="93"/>
      <c r="D50" s="88"/>
      <c r="E50" s="94"/>
      <c r="F50" s="270">
        <v>20357</v>
      </c>
      <c r="G50" s="270">
        <v>20357</v>
      </c>
      <c r="H50" s="22">
        <v>20357</v>
      </c>
      <c r="I50" s="22">
        <v>20357</v>
      </c>
      <c r="J50" s="22">
        <v>20497</v>
      </c>
      <c r="K50" s="22">
        <v>21500</v>
      </c>
      <c r="L50" s="22">
        <v>21500</v>
      </c>
      <c r="M50" s="22">
        <v>21500</v>
      </c>
      <c r="N50" s="22">
        <v>21500</v>
      </c>
      <c r="O50" s="22">
        <v>22178</v>
      </c>
      <c r="P50" s="22">
        <v>22178</v>
      </c>
      <c r="Q50" s="22">
        <v>22178</v>
      </c>
      <c r="R50" s="22">
        <v>22178</v>
      </c>
      <c r="S50" s="22">
        <v>23206</v>
      </c>
      <c r="T50" s="22">
        <v>23206</v>
      </c>
      <c r="U50" s="400"/>
      <c r="V50" s="400"/>
      <c r="W50" s="400"/>
      <c r="X50" s="22">
        <v>23206</v>
      </c>
      <c r="Y50" s="22">
        <v>23206.065999999999</v>
      </c>
      <c r="Z50" s="22">
        <v>23206.065999999999</v>
      </c>
      <c r="AA50" s="22">
        <v>23850.974999999999</v>
      </c>
      <c r="AB50" s="22">
        <v>23851</v>
      </c>
      <c r="AC50" s="22">
        <v>23850.974999999999</v>
      </c>
      <c r="AD50" s="22">
        <v>23850.974999999999</v>
      </c>
      <c r="AE50" s="22">
        <v>24513.878000000001</v>
      </c>
      <c r="AF50" s="22">
        <v>24513.878000000001</v>
      </c>
      <c r="AG50" s="22">
        <v>24513.878000000001</v>
      </c>
      <c r="AH50" s="22">
        <v>24513.878000000001</v>
      </c>
      <c r="AI50" s="22">
        <v>24513.878000000001</v>
      </c>
      <c r="AJ50" s="22">
        <v>24513.878000000001</v>
      </c>
      <c r="AK50" s="22">
        <v>24513.878000000001</v>
      </c>
      <c r="AL50" s="22">
        <v>24513.878000000001</v>
      </c>
      <c r="AM50" s="22">
        <v>24513.878000000001</v>
      </c>
      <c r="AN50" s="22">
        <v>24513.878000000001</v>
      </c>
      <c r="AO50" s="22">
        <v>24513.878000000001</v>
      </c>
      <c r="AP50" s="22">
        <v>21393.878000000001</v>
      </c>
      <c r="AQ50" s="22">
        <v>21393.878000000001</v>
      </c>
      <c r="AR50" s="11">
        <v>21393.878000000001</v>
      </c>
      <c r="AS50" s="22">
        <v>21393.878000000001</v>
      </c>
      <c r="AT50" s="22">
        <v>21393.878000000001</v>
      </c>
      <c r="AU50" s="22">
        <v>21393.878000000001</v>
      </c>
      <c r="AV50" s="22">
        <v>21393.878000000001</v>
      </c>
      <c r="AW50" s="22">
        <v>21393.878000000001</v>
      </c>
      <c r="AX50" s="22">
        <v>21393.878000000001</v>
      </c>
      <c r="AY50" s="22">
        <v>21393.878000000001</v>
      </c>
      <c r="AZ50" s="22">
        <v>21393.878000000001</v>
      </c>
      <c r="BA50" s="22">
        <v>21393.878000000001</v>
      </c>
      <c r="BB50" s="22">
        <v>21393.878000000001</v>
      </c>
      <c r="BC50" s="22">
        <v>21393.878000000001</v>
      </c>
      <c r="BD50" s="22">
        <v>21393.878000000001</v>
      </c>
      <c r="BE50" s="22">
        <v>21393.878000000001</v>
      </c>
      <c r="BF50" s="22">
        <v>18448.915000000001</v>
      </c>
      <c r="BG50" s="22">
        <v>18448.915000000001</v>
      </c>
      <c r="BH50" s="22">
        <v>18448.915000000001</v>
      </c>
      <c r="BI50" s="11">
        <v>18448.915000000001</v>
      </c>
      <c r="BJ50" s="11">
        <v>18448.915000000001</v>
      </c>
      <c r="BK50" s="11">
        <v>18448.915000000001</v>
      </c>
      <c r="BL50" s="11">
        <v>18448.915000000001</v>
      </c>
      <c r="BM50" s="11">
        <v>18448.915000000001</v>
      </c>
      <c r="BN50" s="11">
        <v>15744.164000000001</v>
      </c>
      <c r="BO50" s="11">
        <v>15744.164000000001</v>
      </c>
      <c r="BP50" s="11">
        <v>15744.164000000001</v>
      </c>
      <c r="BQ50" s="11">
        <v>15744.164000000001</v>
      </c>
      <c r="BR50" s="11">
        <v>15744.164000000001</v>
      </c>
      <c r="BS50" s="11">
        <v>15744.164000000001</v>
      </c>
      <c r="BT50" s="11">
        <v>15744.164000000001</v>
      </c>
    </row>
    <row r="51" spans="1:72" ht="15" customHeight="1" x14ac:dyDescent="0.25">
      <c r="A51" s="74">
        <v>51</v>
      </c>
      <c r="B51" s="5" t="s">
        <v>379</v>
      </c>
      <c r="C51" s="93"/>
      <c r="D51" s="88"/>
      <c r="E51" s="94"/>
      <c r="F51" s="270">
        <v>-5120</v>
      </c>
      <c r="G51" s="270">
        <v>-1963</v>
      </c>
      <c r="H51" s="22">
        <v>-1216</v>
      </c>
      <c r="I51" s="22">
        <v>0</v>
      </c>
      <c r="J51" s="22">
        <v>-140</v>
      </c>
      <c r="K51" s="22">
        <v>-1140</v>
      </c>
      <c r="L51" s="22">
        <v>-1140</v>
      </c>
      <c r="M51" s="22">
        <v>-1000</v>
      </c>
      <c r="N51" s="22">
        <v>-1000</v>
      </c>
      <c r="O51" s="22">
        <v>-1676</v>
      </c>
      <c r="P51" s="22">
        <v>-1676</v>
      </c>
      <c r="Q51" s="22">
        <v>-1676</v>
      </c>
      <c r="R51" s="22">
        <v>-1543</v>
      </c>
      <c r="S51" s="22">
        <v>-2102</v>
      </c>
      <c r="T51" s="22">
        <v>-2050</v>
      </c>
      <c r="U51" s="400"/>
      <c r="V51" s="400"/>
      <c r="W51" s="400"/>
      <c r="X51" s="22">
        <v>-1025</v>
      </c>
      <c r="Y51" s="22">
        <v>-1.208</v>
      </c>
      <c r="Z51" s="22">
        <v>0</v>
      </c>
      <c r="AA51" s="22">
        <v>-641.99599999999998</v>
      </c>
      <c r="AB51" s="22">
        <v>-642</v>
      </c>
      <c r="AC51" s="22">
        <v>-641.99599999999998</v>
      </c>
      <c r="AD51" s="22">
        <v>-641.99599999999998</v>
      </c>
      <c r="AE51" s="22">
        <v>-1301.9870000000001</v>
      </c>
      <c r="AF51" s="22">
        <v>-1301.9870000000001</v>
      </c>
      <c r="AG51" s="22">
        <v>-659.99099999999999</v>
      </c>
      <c r="AH51" s="22">
        <v>-659.99099999999999</v>
      </c>
      <c r="AI51" s="22">
        <v>-659.99099999999999</v>
      </c>
      <c r="AJ51" s="22">
        <v>-659.99099999999999</v>
      </c>
      <c r="AK51" s="22"/>
      <c r="AL51" s="22"/>
      <c r="AM51" s="22"/>
      <c r="AN51" s="22"/>
      <c r="AO51" s="22"/>
      <c r="AP51" s="22"/>
      <c r="AQ51" s="22"/>
      <c r="AR51" s="11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</row>
    <row r="52" spans="1:72" ht="15" customHeight="1" x14ac:dyDescent="0.25">
      <c r="A52" s="74">
        <v>52</v>
      </c>
      <c r="B52" s="5" t="s">
        <v>42</v>
      </c>
      <c r="C52" s="93"/>
      <c r="D52" s="88"/>
      <c r="E52" s="94"/>
      <c r="F52" s="270">
        <v>2847</v>
      </c>
      <c r="G52" s="270">
        <v>2859</v>
      </c>
      <c r="H52" s="22">
        <v>2859</v>
      </c>
      <c r="I52" s="22">
        <v>2859</v>
      </c>
      <c r="J52" s="22">
        <v>2859</v>
      </c>
      <c r="K52" s="22">
        <v>2859</v>
      </c>
      <c r="L52" s="22">
        <v>2859</v>
      </c>
      <c r="M52" s="22">
        <v>3049</v>
      </c>
      <c r="N52" s="22">
        <v>3049</v>
      </c>
      <c r="O52" s="22">
        <v>3050</v>
      </c>
      <c r="P52" s="22">
        <v>3050</v>
      </c>
      <c r="Q52" s="22">
        <v>2647</v>
      </c>
      <c r="R52" s="22">
        <v>2647</v>
      </c>
      <c r="S52" s="22">
        <v>2647</v>
      </c>
      <c r="T52" s="22">
        <v>2647</v>
      </c>
      <c r="U52" s="400"/>
      <c r="V52" s="400"/>
      <c r="W52" s="400"/>
      <c r="X52" s="22">
        <v>2949</v>
      </c>
      <c r="Y52" s="22">
        <v>2998.4670000000001</v>
      </c>
      <c r="Z52" s="22">
        <v>3259.4209999999998</v>
      </c>
      <c r="AA52" s="22">
        <v>3259.4209999999998</v>
      </c>
      <c r="AB52" s="22">
        <v>3259</v>
      </c>
      <c r="AC52" s="22">
        <v>3239.5360000000001</v>
      </c>
      <c r="AD52" s="22">
        <v>3239.5360000000001</v>
      </c>
      <c r="AE52" s="22">
        <v>3239.5360000000001</v>
      </c>
      <c r="AF52" s="22">
        <v>3239.5360000000001</v>
      </c>
      <c r="AG52" s="22">
        <v>3542.5189999999998</v>
      </c>
      <c r="AH52" s="22">
        <v>3542.5189999999998</v>
      </c>
      <c r="AI52" s="22">
        <v>3542.5189999999998</v>
      </c>
      <c r="AJ52" s="22">
        <v>3651.4549999999999</v>
      </c>
      <c r="AK52" s="22">
        <v>3651.4549999999999</v>
      </c>
      <c r="AL52" s="22">
        <v>3651.4549999999999</v>
      </c>
      <c r="AM52" s="22">
        <v>3651.4549999999999</v>
      </c>
      <c r="AN52" s="22">
        <v>3651.4549999999999</v>
      </c>
      <c r="AO52" s="22">
        <v>3816.12</v>
      </c>
      <c r="AP52" s="22">
        <v>3816.12</v>
      </c>
      <c r="AQ52" s="22">
        <v>3820.4960000000001</v>
      </c>
      <c r="AR52" s="11">
        <v>3820.4960000000001</v>
      </c>
      <c r="AS52" s="22">
        <v>3820.4960000000001</v>
      </c>
      <c r="AT52" s="22">
        <v>3820.4960000000001</v>
      </c>
      <c r="AU52" s="22">
        <v>3820.4960000000001</v>
      </c>
      <c r="AV52" s="22">
        <v>3820.4960000000001</v>
      </c>
      <c r="AW52" s="22">
        <v>3820.4960000000001</v>
      </c>
      <c r="AX52" s="22">
        <v>3820.4960000000001</v>
      </c>
      <c r="AY52" s="22">
        <v>3820.4960000000001</v>
      </c>
      <c r="AZ52" s="22">
        <v>3901.5549999999998</v>
      </c>
      <c r="BA52" s="22">
        <v>3295.3159999999998</v>
      </c>
      <c r="BB52" s="22">
        <v>3339.0309999999999</v>
      </c>
      <c r="BC52" s="22">
        <v>3339.0309999999999</v>
      </c>
      <c r="BD52" s="22">
        <v>3339.0309999999999</v>
      </c>
      <c r="BE52" s="22">
        <v>3339.0309999999999</v>
      </c>
      <c r="BF52" s="22">
        <v>3339.0309999999999</v>
      </c>
      <c r="BG52" s="22">
        <v>3339.0309999999999</v>
      </c>
      <c r="BH52" s="22">
        <v>3339.0309999999999</v>
      </c>
      <c r="BI52" s="11">
        <v>3291.8490000000002</v>
      </c>
      <c r="BJ52" s="11">
        <v>3295.5729999999999</v>
      </c>
      <c r="BK52" s="11">
        <v>3319.8939999999998</v>
      </c>
      <c r="BL52" s="11">
        <v>3346.3029999999999</v>
      </c>
      <c r="BM52" s="11">
        <v>1966.0150000000001</v>
      </c>
      <c r="BN52" s="11">
        <v>1966.0150000000001</v>
      </c>
      <c r="BO52" s="11">
        <v>1966.0150000000001</v>
      </c>
      <c r="BP52" s="11">
        <v>1966.0150000000001</v>
      </c>
      <c r="BQ52" s="11">
        <v>1966.0150000000001</v>
      </c>
      <c r="BR52" s="11">
        <v>1966.0150000000001</v>
      </c>
      <c r="BS52" s="11">
        <v>1966.0150000000001</v>
      </c>
      <c r="BT52" s="11">
        <v>1966.0150000000001</v>
      </c>
    </row>
    <row r="53" spans="1:72" ht="15" customHeight="1" x14ac:dyDescent="0.25">
      <c r="A53" s="74">
        <v>53</v>
      </c>
      <c r="B53" s="28" t="s">
        <v>364</v>
      </c>
      <c r="C53" s="93"/>
      <c r="D53" s="88"/>
      <c r="E53" s="94"/>
      <c r="F53" s="270">
        <v>-146</v>
      </c>
      <c r="G53" s="270">
        <v>221</v>
      </c>
      <c r="H53" s="22">
        <v>-12</v>
      </c>
      <c r="I53" s="22">
        <v>-9</v>
      </c>
      <c r="J53" s="22">
        <v>7</v>
      </c>
      <c r="K53" s="22">
        <v>-7</v>
      </c>
      <c r="L53" s="22">
        <v>-9</v>
      </c>
      <c r="M53" s="22">
        <v>-9</v>
      </c>
      <c r="N53" s="22">
        <v>311</v>
      </c>
      <c r="O53" s="22">
        <v>313</v>
      </c>
      <c r="P53" s="22">
        <v>316</v>
      </c>
      <c r="Q53" s="22">
        <v>-290</v>
      </c>
      <c r="R53" s="22">
        <v>164</v>
      </c>
      <c r="S53" s="22">
        <v>215</v>
      </c>
      <c r="T53" s="22">
        <v>152</v>
      </c>
      <c r="U53" s="400"/>
      <c r="V53" s="400"/>
      <c r="W53" s="400"/>
      <c r="X53" s="22">
        <v>1014</v>
      </c>
      <c r="Y53" s="22">
        <v>838.75599999999997</v>
      </c>
      <c r="Z53" s="22">
        <v>831.63199999999995</v>
      </c>
      <c r="AA53" s="22">
        <v>736.94500000000005</v>
      </c>
      <c r="AB53" s="22">
        <v>722</v>
      </c>
      <c r="AC53" s="22">
        <v>778.98</v>
      </c>
      <c r="AD53" s="22">
        <v>674.78300000000002</v>
      </c>
      <c r="AE53" s="22">
        <v>661.39200000000005</v>
      </c>
      <c r="AF53" s="22">
        <v>689.61300000000006</v>
      </c>
      <c r="AG53" s="22">
        <v>680.69100000000003</v>
      </c>
      <c r="AH53" s="22">
        <v>584.28700000000003</v>
      </c>
      <c r="AI53" s="22">
        <v>350.976</v>
      </c>
      <c r="AJ53" s="22">
        <v>374.49700000000001</v>
      </c>
      <c r="AK53" s="22">
        <v>671.48800000000006</v>
      </c>
      <c r="AL53" s="22">
        <v>1186.752</v>
      </c>
      <c r="AM53" s="22">
        <v>1731.585</v>
      </c>
      <c r="AN53" s="22">
        <v>1264.691</v>
      </c>
      <c r="AO53" s="22">
        <v>1081.4359999999999</v>
      </c>
      <c r="AP53" s="22">
        <v>1654.972</v>
      </c>
      <c r="AQ53" s="22">
        <v>1685.0360000000001</v>
      </c>
      <c r="AR53" s="11">
        <v>1793.1379999999999</v>
      </c>
      <c r="AS53" s="22">
        <v>2404.6379999999999</v>
      </c>
      <c r="AT53" s="22">
        <v>2317.7469999999998</v>
      </c>
      <c r="AU53" s="22">
        <v>2154.0169999999998</v>
      </c>
      <c r="AV53" s="22">
        <v>1596.2860000000001</v>
      </c>
      <c r="AW53" s="22">
        <v>1485.451</v>
      </c>
      <c r="AX53" s="22">
        <v>1293.54</v>
      </c>
      <c r="AY53" s="22">
        <v>594.79700000000003</v>
      </c>
      <c r="AZ53" s="22">
        <v>-433.89400000000001</v>
      </c>
      <c r="BA53" s="22">
        <v>103.23399999999999</v>
      </c>
      <c r="BB53" s="22">
        <v>87.028999999999996</v>
      </c>
      <c r="BC53" s="22">
        <v>323.49799999999999</v>
      </c>
      <c r="BD53" s="22">
        <v>399.67399999999998</v>
      </c>
      <c r="BE53" s="22">
        <v>1808.261</v>
      </c>
      <c r="BF53" s="22">
        <v>1820.973</v>
      </c>
      <c r="BG53" s="22">
        <v>1636.2660000000001</v>
      </c>
      <c r="BH53" s="22">
        <v>1888.6859999999999</v>
      </c>
      <c r="BI53" s="11">
        <v>2353.0050000000001</v>
      </c>
      <c r="BJ53" s="11">
        <v>2351.9259999999999</v>
      </c>
      <c r="BK53" s="11">
        <v>2284.8119999999999</v>
      </c>
      <c r="BL53" s="11">
        <v>2282.46</v>
      </c>
      <c r="BM53" s="11">
        <v>33.548000000000002</v>
      </c>
      <c r="BN53" s="11">
        <v>29.059000000000001</v>
      </c>
      <c r="BO53" s="11">
        <v>27.227</v>
      </c>
      <c r="BP53" s="11">
        <v>26.346</v>
      </c>
      <c r="BQ53" s="11">
        <v>27.689</v>
      </c>
      <c r="BR53" s="11">
        <v>27.108000000000001</v>
      </c>
      <c r="BS53" s="11">
        <v>32.83</v>
      </c>
      <c r="BT53" s="11">
        <v>32.43</v>
      </c>
    </row>
    <row r="54" spans="1:72" ht="15" customHeight="1" x14ac:dyDescent="0.25">
      <c r="A54" s="74">
        <v>54</v>
      </c>
      <c r="B54" s="5" t="s">
        <v>299</v>
      </c>
      <c r="C54" s="93"/>
      <c r="D54" s="88"/>
      <c r="E54" s="94"/>
      <c r="F54" s="270"/>
      <c r="G54" s="270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>
        <v>94</v>
      </c>
      <c r="U54" s="400"/>
      <c r="V54" s="400"/>
      <c r="W54" s="400"/>
      <c r="X54" s="22">
        <v>24</v>
      </c>
      <c r="Y54" s="22">
        <v>23.207000000000001</v>
      </c>
      <c r="Z54" s="22">
        <v>23.946999999999999</v>
      </c>
      <c r="AA54" s="22">
        <v>32.441000000000003</v>
      </c>
      <c r="AB54" s="22">
        <v>23</v>
      </c>
      <c r="AC54" s="22">
        <v>22.469000000000001</v>
      </c>
      <c r="AD54" s="22">
        <v>22.87</v>
      </c>
      <c r="AE54" s="22">
        <v>11.79</v>
      </c>
      <c r="AF54" s="22">
        <v>-8.9890000000000008</v>
      </c>
      <c r="AG54" s="22">
        <v>-17.617000000000001</v>
      </c>
      <c r="AH54" s="22">
        <v>-18.898</v>
      </c>
      <c r="AI54" s="22">
        <v>-18.956</v>
      </c>
      <c r="AJ54" s="22">
        <v>2.0470000000000002</v>
      </c>
      <c r="AK54" s="22">
        <v>-8.6829999999999998</v>
      </c>
      <c r="AL54" s="22">
        <v>-3.5750000000000002</v>
      </c>
      <c r="AM54" s="22">
        <v>-1.4810000000000001</v>
      </c>
      <c r="AN54" s="22">
        <v>-1.4510000000000001</v>
      </c>
      <c r="AO54" s="22">
        <v>-1.286</v>
      </c>
      <c r="AP54" s="22">
        <v>-1.339</v>
      </c>
      <c r="AQ54" s="22">
        <v>-1.546</v>
      </c>
      <c r="AR54" s="11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</row>
    <row r="55" spans="1:72" ht="15" customHeight="1" x14ac:dyDescent="0.25">
      <c r="A55" s="74">
        <v>55</v>
      </c>
      <c r="B55" s="5" t="s">
        <v>43</v>
      </c>
      <c r="C55" s="93"/>
      <c r="D55" s="88"/>
      <c r="E55" s="94"/>
      <c r="F55" s="263">
        <v>197024</v>
      </c>
      <c r="G55" s="263">
        <v>202962</v>
      </c>
      <c r="H55" s="85">
        <v>192051</v>
      </c>
      <c r="I55" s="85">
        <v>195021</v>
      </c>
      <c r="J55" s="85">
        <v>186255</v>
      </c>
      <c r="K55" s="85">
        <v>190283</v>
      </c>
      <c r="L55" s="85">
        <v>174756</v>
      </c>
      <c r="M55" s="85">
        <v>173705</v>
      </c>
      <c r="N55" s="85">
        <v>160432</v>
      </c>
      <c r="O55" s="85">
        <v>159534</v>
      </c>
      <c r="P55" s="85">
        <v>146514</v>
      </c>
      <c r="Q55" s="85">
        <v>144590</v>
      </c>
      <c r="R55" s="22">
        <v>136065</v>
      </c>
      <c r="S55" s="22">
        <v>131743</v>
      </c>
      <c r="T55" s="22">
        <v>117122</v>
      </c>
      <c r="U55" s="410"/>
      <c r="V55" s="410"/>
      <c r="W55" s="400"/>
      <c r="X55" s="22">
        <v>74089</v>
      </c>
      <c r="Y55" s="22">
        <v>67368.111000000004</v>
      </c>
      <c r="Z55" s="22">
        <v>62970.239000000001</v>
      </c>
      <c r="AA55" s="22">
        <v>60178.334000000003</v>
      </c>
      <c r="AB55" s="22">
        <v>57785</v>
      </c>
      <c r="AC55" s="22">
        <v>55592.303999999996</v>
      </c>
      <c r="AD55" s="22">
        <v>52842.06</v>
      </c>
      <c r="AE55" s="22">
        <v>50737.646000000001</v>
      </c>
      <c r="AF55" s="22">
        <v>48456.483</v>
      </c>
      <c r="AG55" s="22">
        <v>46618.648000000001</v>
      </c>
      <c r="AH55" s="22">
        <v>44611.612000000001</v>
      </c>
      <c r="AI55" s="22">
        <v>44075.394</v>
      </c>
      <c r="AJ55" s="22">
        <v>42903.49</v>
      </c>
      <c r="AK55" s="22">
        <v>40349.639000000003</v>
      </c>
      <c r="AL55" s="22">
        <v>38311.286999999997</v>
      </c>
      <c r="AM55" s="22">
        <v>36186.665999999997</v>
      </c>
      <c r="AN55" s="22">
        <v>37109.43</v>
      </c>
      <c r="AO55" s="22">
        <v>35362.767999999996</v>
      </c>
      <c r="AP55" s="22">
        <v>32975.593999999997</v>
      </c>
      <c r="AQ55" s="22">
        <v>31616.55</v>
      </c>
      <c r="AR55" s="11">
        <v>30139.72</v>
      </c>
      <c r="AS55" s="22">
        <v>28892.581999999999</v>
      </c>
      <c r="AT55" s="22">
        <v>27857.717000000001</v>
      </c>
      <c r="AU55" s="22">
        <v>27420.6</v>
      </c>
      <c r="AV55" s="22">
        <v>26251.09</v>
      </c>
      <c r="AW55" s="22">
        <v>25320.034</v>
      </c>
      <c r="AX55" s="22">
        <v>24200.11</v>
      </c>
      <c r="AY55" s="22">
        <v>23728.933000000001</v>
      </c>
      <c r="AZ55" s="22">
        <v>22736.128000000001</v>
      </c>
      <c r="BA55" s="22">
        <v>22919.308000000001</v>
      </c>
      <c r="BB55" s="22">
        <v>21690.592000000001</v>
      </c>
      <c r="BC55" s="22">
        <v>20497.2</v>
      </c>
      <c r="BD55" s="22">
        <v>18821.637999999999</v>
      </c>
      <c r="BE55" s="22">
        <v>15742.261</v>
      </c>
      <c r="BF55" s="22">
        <v>14129.522000000001</v>
      </c>
      <c r="BG55" s="22">
        <v>14073.687</v>
      </c>
      <c r="BH55" s="22">
        <v>12993.757</v>
      </c>
      <c r="BI55" s="11">
        <v>12463.923000000001</v>
      </c>
      <c r="BJ55" s="11">
        <v>11767.276</v>
      </c>
      <c r="BK55" s="11">
        <v>12446.708000000001</v>
      </c>
      <c r="BL55" s="11">
        <v>12297.014999999999</v>
      </c>
      <c r="BM55" s="11">
        <v>12042.61</v>
      </c>
      <c r="BN55" s="11">
        <v>10899.996999999999</v>
      </c>
      <c r="BO55" s="11">
        <v>9288.5319999999992</v>
      </c>
      <c r="BP55" s="11">
        <v>7198.1450000000004</v>
      </c>
      <c r="BQ55" s="11">
        <v>5383.3710000000001</v>
      </c>
      <c r="BR55" s="11">
        <v>4210.5119999999997</v>
      </c>
      <c r="BS55" s="11">
        <v>4262.2349999999997</v>
      </c>
      <c r="BT55" s="11">
        <v>3912.4009999999998</v>
      </c>
    </row>
    <row r="56" spans="1:72" s="19" customFormat="1" ht="26.1" customHeight="1" x14ac:dyDescent="0.25">
      <c r="A56" s="74">
        <v>56</v>
      </c>
      <c r="B56" s="19" t="s">
        <v>365</v>
      </c>
      <c r="C56" s="95">
        <f ca="1">OFFSET($E$7,$A56-$A$7,1,1,1)/OFFSET($E$7,$A56-$A$7,2,1,1)-1</f>
        <v>-4.1584184490863652E-2</v>
      </c>
      <c r="D56" s="125">
        <f ca="1">OFFSET($E$7,$A56-$A$7,1,1,1)/OFFSET($E$7,$A56-$A$7,5,1,1)-1</f>
        <v>2.5747867262956081E-2</v>
      </c>
      <c r="E56" s="96">
        <f ca="1">OFFSET($E$7,$A56-$A$7,1,1,1)/OFFSET($E$7,$A56-$A$7,IF(MONTH(MAX($7:$7))=3,2,IF(MONTH(MAX($7:$7))=6,3,IF(MONTH(MAX($7:$7))=9,4,5)))*1,1)-1</f>
        <v>4.2450443821000494E-3</v>
      </c>
      <c r="F56" s="271">
        <f t="shared" ref="F56:G56" si="26">SUM(F49:F55)</f>
        <v>218353</v>
      </c>
      <c r="G56" s="271">
        <f t="shared" si="26"/>
        <v>227827</v>
      </c>
      <c r="H56" s="66">
        <f t="shared" ref="H56" si="27">SUM(H49:H55)</f>
        <v>217430</v>
      </c>
      <c r="I56" s="66">
        <f t="shared" ref="I56" si="28">SUM(I49:I55)</f>
        <v>221619</v>
      </c>
      <c r="J56" s="66">
        <f t="shared" ref="J56:K56" si="29">SUM(J49:J55)</f>
        <v>212872</v>
      </c>
      <c r="K56" s="66">
        <f t="shared" si="29"/>
        <v>216974</v>
      </c>
      <c r="L56" s="66">
        <f t="shared" ref="L56:X56" si="30">SUM(L49:L55)</f>
        <v>201445</v>
      </c>
      <c r="M56" s="66">
        <f t="shared" si="30"/>
        <v>200724</v>
      </c>
      <c r="N56" s="66">
        <f t="shared" si="30"/>
        <v>187771</v>
      </c>
      <c r="O56" s="66">
        <f t="shared" si="30"/>
        <v>186909</v>
      </c>
      <c r="P56" s="66">
        <f t="shared" si="30"/>
        <v>173892</v>
      </c>
      <c r="Q56" s="66">
        <f t="shared" si="30"/>
        <v>170959</v>
      </c>
      <c r="R56" s="66">
        <f t="shared" si="30"/>
        <v>163021</v>
      </c>
      <c r="S56" s="66">
        <f t="shared" si="30"/>
        <v>159318</v>
      </c>
      <c r="T56" s="66">
        <f t="shared" si="30"/>
        <v>144780</v>
      </c>
      <c r="U56" s="412"/>
      <c r="V56" s="412"/>
      <c r="W56" s="412"/>
      <c r="X56" s="66">
        <f t="shared" si="30"/>
        <v>103866</v>
      </c>
      <c r="Y56" s="66">
        <f t="shared" ref="Y56:AF56" si="31">SUM(Y49:Y55)</f>
        <v>98041.972999999998</v>
      </c>
      <c r="Z56" s="66">
        <f t="shared" si="31"/>
        <v>93899.879000000001</v>
      </c>
      <c r="AA56" s="66">
        <f t="shared" si="31"/>
        <v>91111.274000000005</v>
      </c>
      <c r="AB56" s="66">
        <f t="shared" si="31"/>
        <v>88693</v>
      </c>
      <c r="AC56" s="66">
        <f t="shared" si="31"/>
        <v>86537.421999999991</v>
      </c>
      <c r="AD56" s="66">
        <f t="shared" si="31"/>
        <v>83683.381999999998</v>
      </c>
      <c r="AE56" s="66">
        <f t="shared" si="31"/>
        <v>81643.989000000001</v>
      </c>
      <c r="AF56" s="66">
        <f t="shared" si="31"/>
        <v>79370.267999999996</v>
      </c>
      <c r="AG56" s="66">
        <f t="shared" ref="AG56:AW56" si="32">SUM(AG49:AG55)</f>
        <v>78459.861999999994</v>
      </c>
      <c r="AH56" s="66">
        <f t="shared" si="32"/>
        <v>76355.141000000003</v>
      </c>
      <c r="AI56" s="66">
        <f t="shared" si="32"/>
        <v>75585.554000000004</v>
      </c>
      <c r="AJ56" s="66">
        <f t="shared" si="32"/>
        <v>74567.11</v>
      </c>
      <c r="AK56" s="66">
        <f t="shared" si="32"/>
        <v>72959.510999999999</v>
      </c>
      <c r="AL56" s="66">
        <f t="shared" si="32"/>
        <v>71441.531000000003</v>
      </c>
      <c r="AM56" s="66">
        <f t="shared" si="32"/>
        <v>69863.837</v>
      </c>
      <c r="AN56" s="66">
        <f t="shared" si="32"/>
        <v>70319.736999999994</v>
      </c>
      <c r="AO56" s="66">
        <f t="shared" si="32"/>
        <v>68554.649999999994</v>
      </c>
      <c r="AP56" s="66">
        <f t="shared" si="32"/>
        <v>63560.959000000003</v>
      </c>
      <c r="AQ56" s="20">
        <f t="shared" si="32"/>
        <v>62236.148000000001</v>
      </c>
      <c r="AR56" s="20">
        <f t="shared" si="32"/>
        <v>60868.966</v>
      </c>
      <c r="AS56" s="20">
        <f t="shared" si="32"/>
        <v>60233.327999999994</v>
      </c>
      <c r="AT56" s="20">
        <f t="shared" si="32"/>
        <v>59111.572</v>
      </c>
      <c r="AU56" s="20">
        <f t="shared" si="32"/>
        <v>57930.523000000001</v>
      </c>
      <c r="AV56" s="20">
        <f t="shared" si="32"/>
        <v>56783.483999999997</v>
      </c>
      <c r="AW56" s="20">
        <f t="shared" si="32"/>
        <v>55741.082000000002</v>
      </c>
      <c r="AX56" s="20">
        <f t="shared" ref="AX56:BC56" si="33">SUM(AX49:AX55)</f>
        <v>54429.247000000003</v>
      </c>
      <c r="AY56" s="20">
        <f t="shared" si="33"/>
        <v>53248.308000000005</v>
      </c>
      <c r="AZ56" s="20">
        <f t="shared" si="33"/>
        <v>51294.341</v>
      </c>
      <c r="BA56" s="20">
        <f t="shared" si="33"/>
        <v>51433.47</v>
      </c>
      <c r="BB56" s="20">
        <f t="shared" si="33"/>
        <v>50232.263999999996</v>
      </c>
      <c r="BC56" s="20">
        <f t="shared" si="33"/>
        <v>49275.341</v>
      </c>
      <c r="BD56" s="20">
        <f t="shared" ref="BD56:BI56" si="34">SUM(BD49:BD55)</f>
        <v>47675.955000000002</v>
      </c>
      <c r="BE56" s="20">
        <f t="shared" si="34"/>
        <v>46005.165000000001</v>
      </c>
      <c r="BF56" s="20">
        <f t="shared" si="34"/>
        <v>41386.551000000007</v>
      </c>
      <c r="BG56" s="20">
        <f t="shared" si="34"/>
        <v>41146.008999999998</v>
      </c>
      <c r="BH56" s="20">
        <f t="shared" si="34"/>
        <v>40318.499000000003</v>
      </c>
      <c r="BI56" s="20">
        <f t="shared" si="34"/>
        <v>40205.802000000003</v>
      </c>
      <c r="BJ56" s="20">
        <f t="shared" ref="BJ56:BT56" si="35">SUM(BJ49:BJ55)</f>
        <v>39511.800000000003</v>
      </c>
      <c r="BK56" s="20">
        <f t="shared" si="35"/>
        <v>40148.438999999998</v>
      </c>
      <c r="BL56" s="20">
        <f t="shared" si="35"/>
        <v>40022.803</v>
      </c>
      <c r="BM56" s="20">
        <f t="shared" si="35"/>
        <v>36139.198000000004</v>
      </c>
      <c r="BN56" s="20">
        <f t="shared" si="35"/>
        <v>32268.776000000002</v>
      </c>
      <c r="BO56" s="20">
        <f t="shared" si="35"/>
        <v>30655.478999999999</v>
      </c>
      <c r="BP56" s="20">
        <f t="shared" si="35"/>
        <v>28564.211000000003</v>
      </c>
      <c r="BQ56" s="20">
        <f t="shared" si="35"/>
        <v>26750.78</v>
      </c>
      <c r="BR56" s="20">
        <f t="shared" si="35"/>
        <v>25577.34</v>
      </c>
      <c r="BS56" s="20">
        <f t="shared" si="35"/>
        <v>25634.785000000003</v>
      </c>
      <c r="BT56" s="20">
        <f t="shared" si="35"/>
        <v>25284.550999999999</v>
      </c>
    </row>
    <row r="57" spans="1:72" s="19" customFormat="1" ht="15" customHeight="1" x14ac:dyDescent="0.25">
      <c r="A57" s="74">
        <v>57</v>
      </c>
      <c r="B57" s="5" t="s">
        <v>293</v>
      </c>
      <c r="C57" s="95"/>
      <c r="D57" s="125"/>
      <c r="E57" s="96"/>
      <c r="F57" s="270">
        <v>41</v>
      </c>
      <c r="G57" s="270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400"/>
      <c r="V57" s="400"/>
      <c r="W57" s="400"/>
      <c r="X57" s="22"/>
      <c r="Y57" s="22"/>
      <c r="Z57" s="22"/>
      <c r="AA57" s="22"/>
      <c r="AB57" s="22"/>
      <c r="AC57" s="22"/>
      <c r="AD57" s="22"/>
      <c r="AE57" s="22"/>
      <c r="AF57" s="22"/>
      <c r="AG57" s="22">
        <v>361.68200000000002</v>
      </c>
      <c r="AH57" s="22">
        <v>358.976</v>
      </c>
      <c r="AI57" s="22">
        <v>434.58100000000002</v>
      </c>
      <c r="AJ57" s="22">
        <v>1086.5450000000001</v>
      </c>
      <c r="AK57" s="22">
        <v>1137.057</v>
      </c>
      <c r="AL57" s="22">
        <v>589.01499999999999</v>
      </c>
      <c r="AM57" s="22">
        <v>603.38800000000003</v>
      </c>
      <c r="AN57" s="22">
        <v>590.39200000000005</v>
      </c>
      <c r="AO57" s="22">
        <v>583.13099999999997</v>
      </c>
      <c r="AP57" s="22">
        <v>490.69900000000001</v>
      </c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</row>
    <row r="58" spans="1:72" s="19" customFormat="1" ht="25.5" customHeight="1" x14ac:dyDescent="0.25">
      <c r="A58" s="74">
        <v>58</v>
      </c>
      <c r="B58" s="19" t="s">
        <v>298</v>
      </c>
      <c r="C58" s="95">
        <f ca="1">OFFSET($E$7,$A58-$A$7,1,1,1)/OFFSET($E$7,$A58-$A$7,2,1,1)-1</f>
        <v>-4.140422338002081E-2</v>
      </c>
      <c r="D58" s="125">
        <f ca="1">OFFSET($E$7,$A58-$A$7,1,1,1)/OFFSET($E$7,$A58-$A$7,5,1,1)-1</f>
        <v>2.594047126911958E-2</v>
      </c>
      <c r="E58" s="96">
        <f ca="1">OFFSET($E$7,$A58-$A$7,1,1,1)/OFFSET($E$7,$A58-$A$7,IF(MONTH(MAX($7:$7))=3,2,IF(MONTH(MAX($7:$7))=6,3,IF(MONTH(MAX($7:$7))=9,4,5)))*1,1)-1</f>
        <v>4.4336108172744471E-3</v>
      </c>
      <c r="F58" s="271">
        <f t="shared" ref="F58:G58" si="36">F56+F57</f>
        <v>218394</v>
      </c>
      <c r="G58" s="271">
        <f t="shared" si="36"/>
        <v>227827</v>
      </c>
      <c r="H58" s="66">
        <f t="shared" ref="H58" si="37">H56+H57</f>
        <v>217430</v>
      </c>
      <c r="I58" s="66">
        <f t="shared" ref="I58" si="38">I56+I57</f>
        <v>221619</v>
      </c>
      <c r="J58" s="66">
        <f t="shared" ref="J58:K58" si="39">J56+J57</f>
        <v>212872</v>
      </c>
      <c r="K58" s="66">
        <f t="shared" si="39"/>
        <v>216974</v>
      </c>
      <c r="L58" s="66">
        <f t="shared" ref="L58:X58" si="40">L56+L57</f>
        <v>201445</v>
      </c>
      <c r="M58" s="66">
        <f t="shared" si="40"/>
        <v>200724</v>
      </c>
      <c r="N58" s="66">
        <f t="shared" si="40"/>
        <v>187771</v>
      </c>
      <c r="O58" s="66">
        <f t="shared" si="40"/>
        <v>186909</v>
      </c>
      <c r="P58" s="66">
        <f t="shared" si="40"/>
        <v>173892</v>
      </c>
      <c r="Q58" s="66">
        <f t="shared" si="40"/>
        <v>170959</v>
      </c>
      <c r="R58" s="66">
        <f t="shared" si="40"/>
        <v>163021</v>
      </c>
      <c r="S58" s="66">
        <f t="shared" si="40"/>
        <v>159318</v>
      </c>
      <c r="T58" s="66">
        <f t="shared" si="40"/>
        <v>144780</v>
      </c>
      <c r="U58" s="412"/>
      <c r="V58" s="412"/>
      <c r="W58" s="412"/>
      <c r="X58" s="66">
        <f t="shared" si="40"/>
        <v>103866</v>
      </c>
      <c r="Y58" s="66">
        <f t="shared" ref="Y58:AD58" si="41">Y56+Y57</f>
        <v>98041.972999999998</v>
      </c>
      <c r="Z58" s="66">
        <f t="shared" si="41"/>
        <v>93899.879000000001</v>
      </c>
      <c r="AA58" s="66">
        <f t="shared" si="41"/>
        <v>91111.274000000005</v>
      </c>
      <c r="AB58" s="66">
        <f t="shared" si="41"/>
        <v>88693</v>
      </c>
      <c r="AC58" s="66">
        <f t="shared" si="41"/>
        <v>86537.421999999991</v>
      </c>
      <c r="AD58" s="66">
        <f t="shared" si="41"/>
        <v>83683.381999999998</v>
      </c>
      <c r="AE58" s="66">
        <f>AE56+AE57</f>
        <v>81643.989000000001</v>
      </c>
      <c r="AF58" s="66">
        <f t="shared" ref="AF58:AK58" si="42">AF56+AF57</f>
        <v>79370.267999999996</v>
      </c>
      <c r="AG58" s="66">
        <f t="shared" si="42"/>
        <v>78821.543999999994</v>
      </c>
      <c r="AH58" s="66">
        <f t="shared" si="42"/>
        <v>76714.116999999998</v>
      </c>
      <c r="AI58" s="66">
        <f t="shared" si="42"/>
        <v>76020.135000000009</v>
      </c>
      <c r="AJ58" s="66">
        <f t="shared" si="42"/>
        <v>75653.654999999999</v>
      </c>
      <c r="AK58" s="66">
        <f t="shared" si="42"/>
        <v>74096.567999999999</v>
      </c>
      <c r="AL58" s="66">
        <f>AL56+AL57</f>
        <v>72030.546000000002</v>
      </c>
      <c r="AM58" s="66">
        <f>AM56+AM57</f>
        <v>70467.225000000006</v>
      </c>
      <c r="AN58" s="66">
        <f>AN56+AN57</f>
        <v>70910.129000000001</v>
      </c>
      <c r="AO58" s="66">
        <f>AO56+AO57</f>
        <v>69137.780999999988</v>
      </c>
      <c r="AP58" s="66">
        <f>AP56+AP57</f>
        <v>64051.658000000003</v>
      </c>
      <c r="AQ58" s="66">
        <f t="shared" ref="AQ58:BT58" si="43">AQ56+AQ57</f>
        <v>62236.148000000001</v>
      </c>
      <c r="AR58" s="20">
        <f t="shared" si="43"/>
        <v>60868.966</v>
      </c>
      <c r="AS58" s="66">
        <f t="shared" si="43"/>
        <v>60233.327999999994</v>
      </c>
      <c r="AT58" s="66">
        <f t="shared" si="43"/>
        <v>59111.572</v>
      </c>
      <c r="AU58" s="66">
        <f t="shared" si="43"/>
        <v>57930.523000000001</v>
      </c>
      <c r="AV58" s="66">
        <f t="shared" si="43"/>
        <v>56783.483999999997</v>
      </c>
      <c r="AW58" s="66">
        <f t="shared" si="43"/>
        <v>55741.082000000002</v>
      </c>
      <c r="AX58" s="66">
        <f t="shared" si="43"/>
        <v>54429.247000000003</v>
      </c>
      <c r="AY58" s="66">
        <f t="shared" si="43"/>
        <v>53248.308000000005</v>
      </c>
      <c r="AZ58" s="66">
        <f t="shared" si="43"/>
        <v>51294.341</v>
      </c>
      <c r="BA58" s="66">
        <f t="shared" si="43"/>
        <v>51433.47</v>
      </c>
      <c r="BB58" s="66">
        <f t="shared" si="43"/>
        <v>50232.263999999996</v>
      </c>
      <c r="BC58" s="66">
        <f t="shared" si="43"/>
        <v>49275.341</v>
      </c>
      <c r="BD58" s="66">
        <f t="shared" si="43"/>
        <v>47675.955000000002</v>
      </c>
      <c r="BE58" s="66">
        <f t="shared" si="43"/>
        <v>46005.165000000001</v>
      </c>
      <c r="BF58" s="66">
        <f t="shared" si="43"/>
        <v>41386.551000000007</v>
      </c>
      <c r="BG58" s="66">
        <f t="shared" si="43"/>
        <v>41146.008999999998</v>
      </c>
      <c r="BH58" s="66">
        <f t="shared" si="43"/>
        <v>40318.499000000003</v>
      </c>
      <c r="BI58" s="66">
        <f t="shared" si="43"/>
        <v>40205.802000000003</v>
      </c>
      <c r="BJ58" s="66">
        <f t="shared" si="43"/>
        <v>39511.800000000003</v>
      </c>
      <c r="BK58" s="66">
        <f t="shared" si="43"/>
        <v>40148.438999999998</v>
      </c>
      <c r="BL58" s="66">
        <f t="shared" si="43"/>
        <v>40022.803</v>
      </c>
      <c r="BM58" s="66">
        <f t="shared" si="43"/>
        <v>36139.198000000004</v>
      </c>
      <c r="BN58" s="66">
        <f t="shared" si="43"/>
        <v>32268.776000000002</v>
      </c>
      <c r="BO58" s="66">
        <f t="shared" si="43"/>
        <v>30655.478999999999</v>
      </c>
      <c r="BP58" s="66">
        <f t="shared" si="43"/>
        <v>28564.211000000003</v>
      </c>
      <c r="BQ58" s="66">
        <f t="shared" si="43"/>
        <v>26750.78</v>
      </c>
      <c r="BR58" s="66">
        <f t="shared" si="43"/>
        <v>25577.34</v>
      </c>
      <c r="BS58" s="66">
        <f t="shared" si="43"/>
        <v>25634.785000000003</v>
      </c>
      <c r="BT58" s="66">
        <f t="shared" si="43"/>
        <v>25284.550999999999</v>
      </c>
    </row>
    <row r="59" spans="1:72" s="19" customFormat="1" ht="26.1" customHeight="1" x14ac:dyDescent="0.25">
      <c r="A59" s="74">
        <v>59</v>
      </c>
      <c r="B59" s="19" t="s">
        <v>44</v>
      </c>
      <c r="C59" s="95">
        <f ca="1">OFFSET($E$7,$A59-$A$7,1,1,1)/OFFSET($E$7,$A59-$A$7,2,1,1)-1</f>
        <v>-2.8039470084745943E-2</v>
      </c>
      <c r="D59" s="125">
        <f ca="1">OFFSET($E$7,$A59-$A$7,1,1,1)/OFFSET($E$7,$A59-$A$7,5,1,1)-1</f>
        <v>8.067594785736687E-2</v>
      </c>
      <c r="E59" s="96">
        <f ca="1">OFFSET($E$7,$A59-$A$7,1,1,1)/OFFSET($E$7,$A59-$A$7,IF(MONTH(MAX($7:$7))=3,2,IF(MONTH(MAX($7:$7))=6,3,IF(MONTH(MAX($7:$7))=9,4,5)))*1,1)-1</f>
        <v>3.6714278821742719E-2</v>
      </c>
      <c r="F59" s="271">
        <f t="shared" ref="F59:G59" si="44">F47+F58</f>
        <v>1353699</v>
      </c>
      <c r="G59" s="271">
        <f t="shared" si="44"/>
        <v>1392751</v>
      </c>
      <c r="H59" s="66">
        <f t="shared" ref="H59" si="45">H47+H58</f>
        <v>1305759</v>
      </c>
      <c r="I59" s="66">
        <f t="shared" ref="I59" si="46">I47+I58</f>
        <v>1353333</v>
      </c>
      <c r="J59" s="66">
        <f t="shared" ref="J59:K59" si="47">J47+J58</f>
        <v>1252641</v>
      </c>
      <c r="K59" s="66">
        <f t="shared" si="47"/>
        <v>1143318</v>
      </c>
      <c r="L59" s="66">
        <f t="shared" ref="L59:AJ59" si="48">L47+L58</f>
        <v>1137432</v>
      </c>
      <c r="M59" s="66">
        <f t="shared" si="48"/>
        <v>1037777</v>
      </c>
      <c r="N59" s="66">
        <f t="shared" si="48"/>
        <v>1074800</v>
      </c>
      <c r="O59" s="66">
        <f t="shared" si="48"/>
        <v>1012528</v>
      </c>
      <c r="P59" s="66">
        <f t="shared" si="48"/>
        <v>1057302</v>
      </c>
      <c r="Q59" s="66">
        <f t="shared" si="48"/>
        <v>965981</v>
      </c>
      <c r="R59" s="66">
        <f t="shared" si="48"/>
        <v>861288</v>
      </c>
      <c r="S59" s="66">
        <f t="shared" si="48"/>
        <v>836670</v>
      </c>
      <c r="T59" s="66">
        <f t="shared" si="48"/>
        <v>839329</v>
      </c>
      <c r="U59" s="412"/>
      <c r="V59" s="412"/>
      <c r="W59" s="412"/>
      <c r="X59" s="66">
        <f t="shared" si="48"/>
        <v>796557</v>
      </c>
      <c r="Y59" s="66">
        <f t="shared" si="48"/>
        <v>770884.478</v>
      </c>
      <c r="Z59" s="66">
        <f t="shared" si="48"/>
        <v>737761.13599999982</v>
      </c>
      <c r="AA59" s="66">
        <f t="shared" si="48"/>
        <v>731005.51699999999</v>
      </c>
      <c r="AB59" s="66">
        <f t="shared" si="48"/>
        <v>730227</v>
      </c>
      <c r="AC59" s="66">
        <f t="shared" si="48"/>
        <v>720766.84899999981</v>
      </c>
      <c r="AD59" s="66">
        <f t="shared" si="48"/>
        <v>671365.85800000001</v>
      </c>
      <c r="AE59" s="66">
        <f t="shared" si="48"/>
        <v>668651.06799999997</v>
      </c>
      <c r="AF59" s="66">
        <f t="shared" si="48"/>
        <v>673651.2790000001</v>
      </c>
      <c r="AG59" s="66">
        <f t="shared" si="48"/>
        <v>655945.679</v>
      </c>
      <c r="AH59" s="66">
        <f t="shared" si="48"/>
        <v>657547.54999999993</v>
      </c>
      <c r="AI59" s="66">
        <f t="shared" si="48"/>
        <v>650846.60100000002</v>
      </c>
      <c r="AJ59" s="66">
        <f t="shared" si="48"/>
        <v>673403.48900000006</v>
      </c>
      <c r="AK59" s="66">
        <f t="shared" ref="AK59:AQ59" si="49">AK47+AK58</f>
        <v>613049.67499999993</v>
      </c>
      <c r="AL59" s="66">
        <f t="shared" si="49"/>
        <v>602133.397</v>
      </c>
      <c r="AM59" s="66">
        <f t="shared" si="49"/>
        <v>602696.70400000003</v>
      </c>
      <c r="AN59" s="66">
        <f t="shared" si="49"/>
        <v>606859.37099999993</v>
      </c>
      <c r="AO59" s="66">
        <f t="shared" si="49"/>
        <v>572773.25200000009</v>
      </c>
      <c r="AP59" s="66">
        <f t="shared" si="49"/>
        <v>559683.57100000011</v>
      </c>
      <c r="AQ59" s="20">
        <f t="shared" si="49"/>
        <v>552980.63899999997</v>
      </c>
      <c r="AR59" s="20">
        <f t="shared" ref="AR59:BT59" si="50">AR47+AR58</f>
        <v>580287.5199999999</v>
      </c>
      <c r="AS59" s="20">
        <f t="shared" si="50"/>
        <v>546706.4580000001</v>
      </c>
      <c r="AT59" s="20">
        <f t="shared" si="50"/>
        <v>574574.98600000003</v>
      </c>
      <c r="AU59" s="20">
        <f t="shared" si="50"/>
        <v>561533.91799999995</v>
      </c>
      <c r="AV59" s="20">
        <f t="shared" si="50"/>
        <v>562534.57600000012</v>
      </c>
      <c r="AW59" s="20">
        <f t="shared" si="50"/>
        <v>527570.96</v>
      </c>
      <c r="AX59" s="20">
        <f t="shared" si="50"/>
        <v>520263.59100000001</v>
      </c>
      <c r="AY59" s="20">
        <f t="shared" si="50"/>
        <v>521222.40100000001</v>
      </c>
      <c r="AZ59" s="20">
        <f t="shared" si="50"/>
        <v>521600.15</v>
      </c>
      <c r="BA59" s="20">
        <f t="shared" si="50"/>
        <v>448289.68799999997</v>
      </c>
      <c r="BB59" s="20">
        <f t="shared" si="50"/>
        <v>439698.37300000002</v>
      </c>
      <c r="BC59" s="20">
        <f t="shared" si="50"/>
        <v>428854.10399999999</v>
      </c>
      <c r="BD59" s="20">
        <f t="shared" si="50"/>
        <v>409422.31900000002</v>
      </c>
      <c r="BE59" s="20">
        <f t="shared" si="50"/>
        <v>403356.91200000001</v>
      </c>
      <c r="BF59" s="20">
        <f t="shared" si="50"/>
        <v>374246.96799999999</v>
      </c>
      <c r="BG59" s="20">
        <f t="shared" si="50"/>
        <v>348855.56899999996</v>
      </c>
      <c r="BH59" s="20">
        <f t="shared" si="50"/>
        <v>351366.23300000001</v>
      </c>
      <c r="BI59" s="20">
        <f t="shared" si="50"/>
        <v>317240.46300000011</v>
      </c>
      <c r="BJ59" s="20">
        <f t="shared" si="50"/>
        <v>340587.61999999994</v>
      </c>
      <c r="BK59" s="20">
        <f t="shared" si="50"/>
        <v>340696.03499999997</v>
      </c>
      <c r="BL59" s="20">
        <f t="shared" si="50"/>
        <v>330033.45800000004</v>
      </c>
      <c r="BM59" s="20">
        <f t="shared" si="50"/>
        <v>305819.03300000005</v>
      </c>
      <c r="BN59" s="20">
        <f t="shared" si="50"/>
        <v>292056.04000000004</v>
      </c>
      <c r="BO59" s="20">
        <f t="shared" si="50"/>
        <v>282434.43599999999</v>
      </c>
      <c r="BP59" s="20">
        <f t="shared" si="50"/>
        <v>272608.69900000002</v>
      </c>
      <c r="BQ59" s="20">
        <f t="shared" si="50"/>
        <v>247427.11699999997</v>
      </c>
      <c r="BR59" s="20">
        <f t="shared" si="50"/>
        <v>239460.12500000003</v>
      </c>
      <c r="BS59" s="20">
        <f t="shared" si="50"/>
        <v>232076.37599999999</v>
      </c>
      <c r="BT59" s="20">
        <f t="shared" si="50"/>
        <v>235606.34000000003</v>
      </c>
    </row>
    <row r="60" spans="1:72" x14ac:dyDescent="0.25">
      <c r="A60" s="74">
        <v>60</v>
      </c>
      <c r="E60" s="262"/>
      <c r="F60" s="309"/>
      <c r="G60" s="309"/>
      <c r="H60" s="262"/>
      <c r="I60" s="262"/>
      <c r="J60" s="262"/>
      <c r="K60" s="262"/>
      <c r="L60" s="262"/>
      <c r="M60" s="66"/>
      <c r="N60" s="66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AE60" s="262"/>
      <c r="AF60" s="262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</row>
    <row r="61" spans="1:72" x14ac:dyDescent="0.25">
      <c r="A61" s="74">
        <v>61</v>
      </c>
      <c r="F61" s="301"/>
      <c r="G61" s="30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</row>
    <row r="62" spans="1:72" x14ac:dyDescent="0.25">
      <c r="A62" s="74">
        <v>62</v>
      </c>
      <c r="F62" s="301"/>
      <c r="G62" s="30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</row>
    <row r="63" spans="1:72" x14ac:dyDescent="0.25">
      <c r="A63" s="74">
        <v>63</v>
      </c>
      <c r="B63" s="453" t="s">
        <v>62</v>
      </c>
      <c r="C63" s="474"/>
      <c r="D63" s="222"/>
      <c r="E63" s="476"/>
      <c r="F63" s="479">
        <v>46203</v>
      </c>
      <c r="G63" s="479">
        <v>46112</v>
      </c>
      <c r="H63" s="446">
        <v>46022</v>
      </c>
      <c r="I63" s="446">
        <v>45930</v>
      </c>
      <c r="J63" s="446">
        <v>45838</v>
      </c>
      <c r="K63" s="446">
        <v>45747</v>
      </c>
      <c r="L63" s="446">
        <v>45657</v>
      </c>
      <c r="M63" s="446">
        <v>45565</v>
      </c>
      <c r="N63" s="446">
        <v>45473</v>
      </c>
      <c r="O63" s="446">
        <v>45382</v>
      </c>
      <c r="P63" s="446">
        <v>45291</v>
      </c>
      <c r="Q63" s="446">
        <v>45199</v>
      </c>
      <c r="R63" s="446">
        <v>45107</v>
      </c>
      <c r="S63" s="446">
        <v>45016</v>
      </c>
      <c r="T63" s="446">
        <v>44926</v>
      </c>
      <c r="U63" s="446">
        <v>44834</v>
      </c>
      <c r="V63" s="446">
        <v>44742</v>
      </c>
      <c r="W63" s="446">
        <v>44651</v>
      </c>
      <c r="X63" s="446">
        <v>44561</v>
      </c>
      <c r="Y63" s="446">
        <v>44469</v>
      </c>
      <c r="Z63" s="446">
        <v>44377</v>
      </c>
      <c r="AA63" s="446">
        <v>44286</v>
      </c>
      <c r="AB63" s="446">
        <v>44196</v>
      </c>
      <c r="AC63" s="446">
        <v>44104</v>
      </c>
      <c r="AD63" s="446">
        <v>44012</v>
      </c>
      <c r="AE63" s="446">
        <v>43921</v>
      </c>
      <c r="AF63" s="446">
        <v>43830</v>
      </c>
      <c r="AG63" s="446">
        <v>43738</v>
      </c>
      <c r="AH63" s="446">
        <v>43646</v>
      </c>
      <c r="AI63" s="446">
        <v>43555</v>
      </c>
      <c r="AJ63" s="446">
        <v>43465</v>
      </c>
      <c r="AK63" s="446">
        <v>43373</v>
      </c>
      <c r="AL63" s="446">
        <v>43281</v>
      </c>
      <c r="AM63" s="446">
        <v>43190</v>
      </c>
      <c r="AN63" s="446">
        <v>43100</v>
      </c>
      <c r="AO63" s="446">
        <v>43008</v>
      </c>
      <c r="AP63" s="446">
        <v>42916</v>
      </c>
      <c r="AQ63" s="446">
        <v>42825</v>
      </c>
      <c r="AR63" s="446">
        <v>42735</v>
      </c>
      <c r="AS63" s="446">
        <v>42643</v>
      </c>
      <c r="AT63" s="446">
        <v>42551</v>
      </c>
      <c r="AU63" s="446">
        <v>42460</v>
      </c>
      <c r="AV63" s="446">
        <v>42369</v>
      </c>
      <c r="AW63" s="446">
        <v>42277</v>
      </c>
      <c r="AX63" s="446">
        <v>42185</v>
      </c>
      <c r="AY63" s="446">
        <v>42094</v>
      </c>
      <c r="AZ63" s="446">
        <v>42004</v>
      </c>
      <c r="BA63" s="446">
        <v>41912</v>
      </c>
      <c r="BB63" s="446">
        <v>41820</v>
      </c>
      <c r="BC63" s="446">
        <v>41729</v>
      </c>
      <c r="BD63" s="446">
        <v>41639</v>
      </c>
      <c r="BE63" s="446">
        <v>41547</v>
      </c>
      <c r="BF63" s="446">
        <v>41455</v>
      </c>
      <c r="BG63" s="446">
        <v>41364</v>
      </c>
      <c r="BH63" s="446">
        <v>41274</v>
      </c>
      <c r="BI63" s="446">
        <v>41182</v>
      </c>
      <c r="BJ63" s="446">
        <v>41090</v>
      </c>
      <c r="BK63" s="446">
        <v>40999</v>
      </c>
      <c r="BL63" s="446">
        <v>40908</v>
      </c>
      <c r="BM63" s="446">
        <v>40816</v>
      </c>
      <c r="BN63" s="446">
        <v>40724</v>
      </c>
      <c r="BO63" s="446">
        <v>40633</v>
      </c>
      <c r="BP63" s="446">
        <v>40543</v>
      </c>
      <c r="BQ63" s="446">
        <v>40451</v>
      </c>
      <c r="BR63" s="446">
        <v>40359</v>
      </c>
      <c r="BS63" s="446">
        <v>40268</v>
      </c>
      <c r="BT63" s="446">
        <v>40178</v>
      </c>
    </row>
    <row r="64" spans="1:72" x14ac:dyDescent="0.25">
      <c r="A64" s="74">
        <v>64</v>
      </c>
      <c r="B64" s="454"/>
      <c r="C64" s="475"/>
      <c r="D64" s="274"/>
      <c r="E64" s="477"/>
      <c r="F64" s="480"/>
      <c r="G64" s="480"/>
      <c r="H64" s="447"/>
      <c r="I64" s="447"/>
      <c r="J64" s="447"/>
      <c r="K64" s="447"/>
      <c r="L64" s="447"/>
      <c r="M64" s="447"/>
      <c r="N64" s="447"/>
      <c r="O64" s="447"/>
      <c r="P64" s="447"/>
      <c r="Q64" s="447"/>
      <c r="R64" s="447"/>
      <c r="S64" s="447"/>
      <c r="T64" s="447"/>
      <c r="U64" s="447"/>
      <c r="V64" s="447"/>
      <c r="W64" s="447"/>
      <c r="X64" s="447"/>
      <c r="Y64" s="447"/>
      <c r="Z64" s="447"/>
      <c r="AA64" s="447"/>
      <c r="AB64" s="447"/>
      <c r="AC64" s="448"/>
      <c r="AD64" s="447"/>
      <c r="AE64" s="448"/>
      <c r="AF64" s="447"/>
      <c r="AG64" s="447"/>
      <c r="AH64" s="447"/>
      <c r="AI64" s="447"/>
      <c r="AJ64" s="447"/>
      <c r="AK64" s="447"/>
      <c r="AL64" s="447"/>
      <c r="AM64" s="447"/>
      <c r="AN64" s="447"/>
      <c r="AO64" s="447"/>
      <c r="AP64" s="447"/>
      <c r="AQ64" s="447"/>
      <c r="AR64" s="447"/>
      <c r="AS64" s="447"/>
      <c r="AT64" s="447"/>
      <c r="AU64" s="447"/>
      <c r="AV64" s="447"/>
      <c r="AW64" s="447"/>
      <c r="AX64" s="447"/>
      <c r="AY64" s="447"/>
      <c r="AZ64" s="447"/>
      <c r="BA64" s="447"/>
      <c r="BB64" s="447"/>
      <c r="BC64" s="447"/>
      <c r="BD64" s="447"/>
      <c r="BE64" s="447"/>
      <c r="BF64" s="447"/>
      <c r="BG64" s="447"/>
      <c r="BH64" s="447"/>
      <c r="BI64" s="447"/>
      <c r="BJ64" s="447"/>
      <c r="BK64" s="447"/>
      <c r="BL64" s="447"/>
      <c r="BM64" s="447"/>
      <c r="BN64" s="447"/>
      <c r="BO64" s="447"/>
      <c r="BP64" s="447"/>
      <c r="BQ64" s="447"/>
      <c r="BR64" s="447"/>
      <c r="BS64" s="447"/>
      <c r="BT64" s="447"/>
    </row>
    <row r="65" spans="1:72" ht="7.5" customHeight="1" x14ac:dyDescent="0.25">
      <c r="A65" s="74">
        <v>65</v>
      </c>
      <c r="C65" s="89"/>
      <c r="D65" s="57"/>
      <c r="E65" s="90"/>
      <c r="F65" s="303"/>
      <c r="G65" s="303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</row>
    <row r="66" spans="1:72" x14ac:dyDescent="0.25">
      <c r="A66" s="74">
        <v>66</v>
      </c>
      <c r="B66" s="12" t="s">
        <v>15</v>
      </c>
      <c r="C66" s="93"/>
      <c r="D66" s="88"/>
      <c r="E66" s="94"/>
      <c r="F66" s="307">
        <f t="shared" ref="F66:G66" si="51">F19/(F37+F43)</f>
        <v>1.0814890409166238</v>
      </c>
      <c r="G66" s="307">
        <f t="shared" si="51"/>
        <v>1.0511296760727908</v>
      </c>
      <c r="H66" s="13">
        <f t="shared" ref="H66" si="52">H19/(H37+H43)</f>
        <v>1.0507567166414598</v>
      </c>
      <c r="I66" s="13">
        <f t="shared" ref="I66" si="53">I19/(I37+I43)</f>
        <v>1.0722617227958855</v>
      </c>
      <c r="J66" s="13">
        <f t="shared" ref="J66:K66" si="54">J19/(J37+J43)</f>
        <v>1.0853877738612037</v>
      </c>
      <c r="K66" s="13">
        <f t="shared" si="54"/>
        <v>1.0013949663134858</v>
      </c>
      <c r="L66" s="13">
        <f t="shared" ref="L66:T66" si="55">L19/(L37+L43)</f>
        <v>1.0028586757876028</v>
      </c>
      <c r="M66" s="13">
        <f t="shared" si="55"/>
        <v>1.1442614428888773</v>
      </c>
      <c r="N66" s="13">
        <f t="shared" si="55"/>
        <v>1.0496935505805807</v>
      </c>
      <c r="O66" s="13">
        <f t="shared" si="55"/>
        <v>1.0421627274886853</v>
      </c>
      <c r="P66" s="13">
        <f t="shared" si="55"/>
        <v>1.0010121364218596</v>
      </c>
      <c r="Q66" s="13">
        <f t="shared" si="55"/>
        <v>1.0183577340937746</v>
      </c>
      <c r="R66" s="13">
        <f t="shared" si="55"/>
        <v>0.92947029810616133</v>
      </c>
      <c r="S66" s="13">
        <f t="shared" si="55"/>
        <v>0.95498928316265774</v>
      </c>
      <c r="T66" s="13">
        <f t="shared" si="55"/>
        <v>0.79693548811175396</v>
      </c>
      <c r="U66" s="355"/>
      <c r="V66" s="355"/>
      <c r="W66" s="355"/>
      <c r="X66" s="13">
        <f t="shared" ref="X66:AZ66" si="56">X19/(X37+X43)</f>
        <v>0.93790753930391202</v>
      </c>
      <c r="Y66" s="13">
        <f t="shared" si="56"/>
        <v>0.95967370443227973</v>
      </c>
      <c r="Z66" s="13">
        <f t="shared" si="56"/>
        <v>0.94357052999468471</v>
      </c>
      <c r="AA66" s="13">
        <f t="shared" si="56"/>
        <v>0.90737677421195395</v>
      </c>
      <c r="AB66" s="13">
        <f t="shared" si="56"/>
        <v>0.87557820118896534</v>
      </c>
      <c r="AC66" s="13">
        <f t="shared" si="56"/>
        <v>0.89963824139712301</v>
      </c>
      <c r="AD66" s="13">
        <f t="shared" si="56"/>
        <v>0.87559138805220771</v>
      </c>
      <c r="AE66" s="13">
        <f t="shared" si="56"/>
        <v>0.912371447155087</v>
      </c>
      <c r="AF66" s="13">
        <f t="shared" si="56"/>
        <v>0.88144650260691992</v>
      </c>
      <c r="AG66" s="13">
        <f t="shared" si="56"/>
        <v>0.85120017380738644</v>
      </c>
      <c r="AH66" s="13">
        <f t="shared" si="56"/>
        <v>0.82389483623612914</v>
      </c>
      <c r="AI66" s="13">
        <f t="shared" si="56"/>
        <v>0.82716602364280123</v>
      </c>
      <c r="AJ66" s="13">
        <f t="shared" si="56"/>
        <v>0.81680675203437292</v>
      </c>
      <c r="AK66" s="13">
        <f t="shared" si="56"/>
        <v>0.89064326026302265</v>
      </c>
      <c r="AL66" s="13">
        <f t="shared" si="56"/>
        <v>0.87907311684246392</v>
      </c>
      <c r="AM66" s="13">
        <f t="shared" si="56"/>
        <v>0.8771479460686723</v>
      </c>
      <c r="AN66" s="13">
        <f t="shared" si="56"/>
        <v>0.88337976124305029</v>
      </c>
      <c r="AO66" s="13">
        <f t="shared" si="56"/>
        <v>0.91006442405274468</v>
      </c>
      <c r="AP66" s="13">
        <f t="shared" si="56"/>
        <v>0.96385646368864686</v>
      </c>
      <c r="AQ66" s="13">
        <f t="shared" si="56"/>
        <v>0.9308080273900643</v>
      </c>
      <c r="AR66" s="13">
        <f t="shared" si="56"/>
        <v>0.87950582632141916</v>
      </c>
      <c r="AS66" s="13">
        <f t="shared" si="56"/>
        <v>0.94233520590624031</v>
      </c>
      <c r="AT66" s="13">
        <f t="shared" si="56"/>
        <v>0.96673907625474609</v>
      </c>
      <c r="AU66" s="13">
        <f t="shared" si="56"/>
        <v>0.997878671053407</v>
      </c>
      <c r="AV66" s="13">
        <f t="shared" si="56"/>
        <v>0.97748562396729122</v>
      </c>
      <c r="AW66" s="13">
        <f t="shared" si="56"/>
        <v>0.97754417271024219</v>
      </c>
      <c r="AX66" s="13">
        <f t="shared" si="56"/>
        <v>0.97338793313101657</v>
      </c>
      <c r="AY66" s="13">
        <f t="shared" si="56"/>
        <v>0.97585899270751697</v>
      </c>
      <c r="AZ66" s="13">
        <f t="shared" si="56"/>
        <v>0.97060922852125864</v>
      </c>
      <c r="BA66" s="13">
        <f t="shared" ref="BA66:BT66" si="57">BA19/(BA37+BA43)</f>
        <v>0.97387054184095379</v>
      </c>
      <c r="BB66" s="13">
        <f t="shared" si="57"/>
        <v>0.9780338419232828</v>
      </c>
      <c r="BC66" s="13">
        <f t="shared" si="57"/>
        <v>0.96929266583683538</v>
      </c>
      <c r="BD66" s="13">
        <f t="shared" si="57"/>
        <v>0.95891014901616756</v>
      </c>
      <c r="BE66" s="13">
        <f t="shared" si="57"/>
        <v>0.98139205483165382</v>
      </c>
      <c r="BF66" s="13">
        <f t="shared" si="57"/>
        <v>0.98037652257862429</v>
      </c>
      <c r="BG66" s="13">
        <f t="shared" si="57"/>
        <v>0.97811086495902377</v>
      </c>
      <c r="BH66" s="13">
        <f t="shared" si="57"/>
        <v>0.97517048990491495</v>
      </c>
      <c r="BI66" s="13">
        <f t="shared" si="57"/>
        <v>0.99244072949091144</v>
      </c>
      <c r="BJ66" s="13">
        <f t="shared" si="57"/>
        <v>0.97740630311599075</v>
      </c>
      <c r="BK66" s="13">
        <f t="shared" si="57"/>
        <v>0.93105089479971637</v>
      </c>
      <c r="BL66" s="13">
        <f t="shared" si="57"/>
        <v>0.88921316705909204</v>
      </c>
      <c r="BM66" s="13">
        <f t="shared" si="57"/>
        <v>0.9162598663502689</v>
      </c>
      <c r="BN66" s="13">
        <f t="shared" si="57"/>
        <v>0.93458913179827219</v>
      </c>
      <c r="BO66" s="13">
        <f t="shared" si="57"/>
        <v>0.96283153493523532</v>
      </c>
      <c r="BP66" s="13">
        <f t="shared" si="57"/>
        <v>0.90426725626627713</v>
      </c>
      <c r="BQ66" s="13">
        <f t="shared" si="57"/>
        <v>0.98439634891032046</v>
      </c>
      <c r="BR66" s="13">
        <f t="shared" si="57"/>
        <v>0.89953936559691072</v>
      </c>
      <c r="BS66" s="13">
        <f t="shared" si="57"/>
        <v>0.9228649662587074</v>
      </c>
      <c r="BT66" s="13">
        <f t="shared" si="57"/>
        <v>0.87335522242560815</v>
      </c>
    </row>
    <row r="67" spans="1:72" x14ac:dyDescent="0.25">
      <c r="A67" s="74">
        <v>67</v>
      </c>
      <c r="C67" s="88"/>
      <c r="D67" s="88"/>
      <c r="E67" s="88"/>
      <c r="F67" s="291"/>
      <c r="G67" s="291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</row>
    <row r="68" spans="1:72" x14ac:dyDescent="0.25">
      <c r="A68" s="74">
        <v>68</v>
      </c>
      <c r="F68" s="301"/>
      <c r="G68" s="30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</row>
    <row r="69" spans="1:72" x14ac:dyDescent="0.25">
      <c r="A69" s="74">
        <v>69</v>
      </c>
      <c r="F69" s="301"/>
      <c r="G69" s="30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</row>
    <row r="70" spans="1:72" x14ac:dyDescent="0.25">
      <c r="A70" s="74">
        <v>70</v>
      </c>
      <c r="B70" s="461" t="s">
        <v>45</v>
      </c>
      <c r="C70" s="463"/>
      <c r="D70" s="222"/>
      <c r="E70" s="465"/>
      <c r="F70" s="479">
        <v>46203</v>
      </c>
      <c r="G70" s="479">
        <v>46112</v>
      </c>
      <c r="H70" s="446">
        <v>46022</v>
      </c>
      <c r="I70" s="446">
        <v>45930</v>
      </c>
      <c r="J70" s="446">
        <v>45838</v>
      </c>
      <c r="K70" s="446">
        <v>45747</v>
      </c>
      <c r="L70" s="446">
        <v>45657</v>
      </c>
      <c r="M70" s="446">
        <v>45565</v>
      </c>
      <c r="N70" s="446">
        <v>45473</v>
      </c>
      <c r="O70" s="446">
        <v>45382</v>
      </c>
      <c r="P70" s="446">
        <v>45291</v>
      </c>
      <c r="Q70" s="446">
        <v>45199</v>
      </c>
      <c r="R70" s="446">
        <v>45107</v>
      </c>
      <c r="S70" s="446">
        <v>45016</v>
      </c>
      <c r="T70" s="446">
        <v>44926</v>
      </c>
      <c r="U70" s="446">
        <v>44834</v>
      </c>
      <c r="V70" s="446">
        <v>44742</v>
      </c>
      <c r="W70" s="446">
        <v>44651</v>
      </c>
      <c r="X70" s="446">
        <v>44561</v>
      </c>
      <c r="Y70" s="446">
        <v>44469</v>
      </c>
      <c r="Z70" s="446">
        <v>44377</v>
      </c>
      <c r="AA70" s="446">
        <v>44286</v>
      </c>
      <c r="AB70" s="446">
        <v>44196</v>
      </c>
      <c r="AC70" s="446">
        <v>44104</v>
      </c>
      <c r="AD70" s="446">
        <v>44012</v>
      </c>
      <c r="AE70" s="446">
        <v>43921</v>
      </c>
      <c r="AF70" s="446">
        <v>43830</v>
      </c>
      <c r="AG70" s="446">
        <v>43738</v>
      </c>
      <c r="AH70" s="446">
        <v>43646</v>
      </c>
      <c r="AI70" s="446">
        <v>43555</v>
      </c>
      <c r="AJ70" s="446">
        <v>43465</v>
      </c>
      <c r="AK70" s="446">
        <v>43373</v>
      </c>
      <c r="AL70" s="446">
        <v>43281</v>
      </c>
      <c r="AM70" s="446">
        <v>43190</v>
      </c>
      <c r="AN70" s="446">
        <v>43100</v>
      </c>
      <c r="AO70" s="446">
        <v>43008</v>
      </c>
      <c r="AP70" s="446">
        <v>42916</v>
      </c>
      <c r="AQ70" s="446">
        <v>42825</v>
      </c>
      <c r="AR70" s="446">
        <v>42735</v>
      </c>
      <c r="AS70" s="446">
        <v>42643</v>
      </c>
      <c r="AT70" s="446">
        <v>42551</v>
      </c>
      <c r="AU70" s="446">
        <v>42460</v>
      </c>
      <c r="AV70" s="446">
        <v>42369</v>
      </c>
      <c r="AW70" s="446">
        <v>42277</v>
      </c>
      <c r="AX70" s="446">
        <v>42185</v>
      </c>
      <c r="AY70" s="446">
        <v>42094</v>
      </c>
      <c r="AZ70" s="446">
        <v>42004</v>
      </c>
      <c r="BA70" s="446">
        <v>41912</v>
      </c>
      <c r="BB70" s="446">
        <v>41820</v>
      </c>
      <c r="BC70" s="446">
        <v>41729</v>
      </c>
      <c r="BD70" s="446">
        <v>41639</v>
      </c>
      <c r="BE70" s="446">
        <v>41547</v>
      </c>
      <c r="BF70" s="446">
        <v>41455</v>
      </c>
      <c r="BG70" s="459">
        <v>41364</v>
      </c>
      <c r="BH70" s="459">
        <v>41274</v>
      </c>
      <c r="BI70" s="446">
        <v>41182</v>
      </c>
      <c r="BJ70" s="446">
        <v>41090</v>
      </c>
      <c r="BK70" s="446">
        <v>40999</v>
      </c>
      <c r="BL70" s="446">
        <v>40908</v>
      </c>
      <c r="BM70" s="446">
        <v>40816</v>
      </c>
      <c r="BN70" s="446">
        <v>40724</v>
      </c>
      <c r="BO70" s="446">
        <v>40633</v>
      </c>
      <c r="BP70" s="446">
        <v>40543</v>
      </c>
      <c r="BQ70" s="446">
        <v>40451</v>
      </c>
      <c r="BR70" s="446">
        <v>40359</v>
      </c>
      <c r="BS70" s="446">
        <v>40268</v>
      </c>
      <c r="BT70" s="446">
        <v>40178</v>
      </c>
    </row>
    <row r="71" spans="1:72" x14ac:dyDescent="0.25">
      <c r="A71" s="74">
        <v>71</v>
      </c>
      <c r="B71" s="462"/>
      <c r="C71" s="464"/>
      <c r="D71" s="274"/>
      <c r="E71" s="466"/>
      <c r="F71" s="480"/>
      <c r="G71" s="480"/>
      <c r="H71" s="447"/>
      <c r="I71" s="447"/>
      <c r="J71" s="447"/>
      <c r="K71" s="447"/>
      <c r="L71" s="447"/>
      <c r="M71" s="447"/>
      <c r="N71" s="447"/>
      <c r="O71" s="447"/>
      <c r="P71" s="447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  <c r="AB71" s="447"/>
      <c r="AC71" s="448"/>
      <c r="AD71" s="447"/>
      <c r="AE71" s="448"/>
      <c r="AF71" s="447"/>
      <c r="AG71" s="447"/>
      <c r="AH71" s="447"/>
      <c r="AI71" s="447"/>
      <c r="AJ71" s="447"/>
      <c r="AK71" s="447"/>
      <c r="AL71" s="447"/>
      <c r="AM71" s="447"/>
      <c r="AN71" s="447"/>
      <c r="AO71" s="447"/>
      <c r="AP71" s="447"/>
      <c r="AQ71" s="447"/>
      <c r="AR71" s="447"/>
      <c r="AS71" s="447"/>
      <c r="AT71" s="447"/>
      <c r="AU71" s="447"/>
      <c r="AV71" s="447"/>
      <c r="AW71" s="447"/>
      <c r="AX71" s="447"/>
      <c r="AY71" s="447"/>
      <c r="AZ71" s="447"/>
      <c r="BA71" s="447"/>
      <c r="BB71" s="447"/>
      <c r="BC71" s="447"/>
      <c r="BD71" s="447"/>
      <c r="BE71" s="447"/>
      <c r="BF71" s="447"/>
      <c r="BG71" s="460"/>
      <c r="BH71" s="460"/>
      <c r="BI71" s="447"/>
      <c r="BJ71" s="447"/>
      <c r="BK71" s="447"/>
      <c r="BL71" s="447"/>
      <c r="BM71" s="447"/>
      <c r="BN71" s="447"/>
      <c r="BO71" s="447"/>
      <c r="BP71" s="447"/>
      <c r="BQ71" s="447"/>
      <c r="BR71" s="447"/>
      <c r="BS71" s="447"/>
      <c r="BT71" s="447"/>
    </row>
    <row r="72" spans="1:72" ht="9" customHeight="1" x14ac:dyDescent="0.25">
      <c r="A72" s="74">
        <v>72</v>
      </c>
      <c r="C72" s="97"/>
      <c r="D72" s="39"/>
      <c r="E72" s="98"/>
      <c r="F72" s="305"/>
      <c r="G72" s="305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</row>
    <row r="73" spans="1:72" x14ac:dyDescent="0.25">
      <c r="A73" s="74">
        <v>73</v>
      </c>
      <c r="B73" s="5" t="s">
        <v>48</v>
      </c>
      <c r="C73" s="99"/>
      <c r="D73" s="40"/>
      <c r="E73" s="100"/>
      <c r="F73" s="307">
        <f t="shared" ref="F73:G73" si="58">F11/F29</f>
        <v>2.9494001251386018E-2</v>
      </c>
      <c r="G73" s="307">
        <f t="shared" si="58"/>
        <v>8.6225750331538079E-2</v>
      </c>
      <c r="H73" s="13">
        <f t="shared" ref="H73" si="59">H11/H29</f>
        <v>5.8763523743661734E-2</v>
      </c>
      <c r="I73" s="13">
        <f t="shared" ref="I73" si="60">I11/I29</f>
        <v>4.6871686421597641E-2</v>
      </c>
      <c r="J73" s="13">
        <f t="shared" ref="J73:K73" si="61">J11/J29</f>
        <v>3.4713058250528284E-2</v>
      </c>
      <c r="K73" s="13">
        <f t="shared" si="61"/>
        <v>9.1876450821206351E-2</v>
      </c>
      <c r="L73" s="13">
        <f t="shared" ref="L73:T73" si="62">L11/L29</f>
        <v>4.7471848866569605E-2</v>
      </c>
      <c r="M73" s="13">
        <f t="shared" si="62"/>
        <v>3.2047347358825647E-2</v>
      </c>
      <c r="N73" s="13">
        <f t="shared" si="62"/>
        <v>5.7847041310011164E-2</v>
      </c>
      <c r="O73" s="13">
        <f t="shared" si="62"/>
        <v>7.2820702242308355E-2</v>
      </c>
      <c r="P73" s="13">
        <f t="shared" si="62"/>
        <v>5.2837316112142034E-2</v>
      </c>
      <c r="Q73" s="13">
        <f t="shared" si="62"/>
        <v>5.5111850026035712E-2</v>
      </c>
      <c r="R73" s="13">
        <f t="shared" si="62"/>
        <v>6.3509534557546377E-2</v>
      </c>
      <c r="S73" s="13">
        <f t="shared" si="62"/>
        <v>3.6099059366297342E-2</v>
      </c>
      <c r="T73" s="13">
        <f t="shared" si="62"/>
        <v>5.6442706018736397E-2</v>
      </c>
      <c r="U73" s="355"/>
      <c r="V73" s="355"/>
      <c r="W73" s="355"/>
      <c r="X73" s="13">
        <f t="shared" ref="X73:AZ73" si="63">X11/X29</f>
        <v>4.2748980926663127E-2</v>
      </c>
      <c r="Y73" s="13">
        <f t="shared" si="63"/>
        <v>6.6219944047180568E-2</v>
      </c>
      <c r="Z73" s="13">
        <f t="shared" si="63"/>
        <v>4.3012272470801437E-2</v>
      </c>
      <c r="AA73" s="13">
        <f t="shared" si="63"/>
        <v>7.4315585459902564E-2</v>
      </c>
      <c r="AB73" s="13">
        <f t="shared" si="63"/>
        <v>8.2537347975355613E-2</v>
      </c>
      <c r="AC73" s="13">
        <f t="shared" si="63"/>
        <v>6.2166528693941077E-2</v>
      </c>
      <c r="AD73" s="13">
        <f t="shared" si="63"/>
        <v>9.0278846142932703E-2</v>
      </c>
      <c r="AE73" s="13">
        <f t="shared" si="63"/>
        <v>7.1895951865884114E-2</v>
      </c>
      <c r="AF73" s="13">
        <f t="shared" si="63"/>
        <v>6.317253203047804E-2</v>
      </c>
      <c r="AG73" s="13">
        <f t="shared" si="63"/>
        <v>8.9459924622813172E-2</v>
      </c>
      <c r="AH73" s="13">
        <f t="shared" si="63"/>
        <v>9.1173302980141882E-2</v>
      </c>
      <c r="AI73" s="13">
        <f t="shared" si="63"/>
        <v>6.466334607161911E-2</v>
      </c>
      <c r="AJ73" s="13">
        <f t="shared" si="63"/>
        <v>5.522575930698808E-2</v>
      </c>
      <c r="AK73" s="13">
        <f t="shared" si="63"/>
        <v>6.6160039967397416E-2</v>
      </c>
      <c r="AL73" s="13">
        <f t="shared" si="63"/>
        <v>6.7679894858912792E-2</v>
      </c>
      <c r="AM73" s="13">
        <f t="shared" si="63"/>
        <v>5.51518828282824E-2</v>
      </c>
      <c r="AN73" s="13">
        <f t="shared" si="63"/>
        <v>6.4592411146931109E-2</v>
      </c>
      <c r="AO73" s="13">
        <f t="shared" si="63"/>
        <v>9.6983617524094873E-2</v>
      </c>
      <c r="AP73" s="13">
        <f t="shared" si="63"/>
        <v>0.10771205574658545</v>
      </c>
      <c r="AQ73" s="13">
        <f t="shared" si="63"/>
        <v>0.11737108213656645</v>
      </c>
      <c r="AR73" s="13">
        <f t="shared" si="63"/>
        <v>5.8386925157377152E-2</v>
      </c>
      <c r="AS73" s="13">
        <f t="shared" si="63"/>
        <v>8.3282824509821329E-2</v>
      </c>
      <c r="AT73" s="13">
        <f t="shared" si="63"/>
        <v>0.10609745896595645</v>
      </c>
      <c r="AU73" s="13">
        <f t="shared" si="63"/>
        <v>4.9283801232466243E-2</v>
      </c>
      <c r="AV73" s="13">
        <f t="shared" si="63"/>
        <v>6.4989635410428528E-2</v>
      </c>
      <c r="AW73" s="13">
        <f t="shared" si="63"/>
        <v>8.9664776090025863E-2</v>
      </c>
      <c r="AX73" s="13">
        <f t="shared" si="63"/>
        <v>8.9337043383456743E-2</v>
      </c>
      <c r="AY73" s="13">
        <f t="shared" si="63"/>
        <v>8.2510358183933846E-2</v>
      </c>
      <c r="AZ73" s="13">
        <f t="shared" si="63"/>
        <v>0.10974042472955578</v>
      </c>
      <c r="BA73" s="13">
        <f t="shared" ref="BA73:BT73" si="64">BA11/BA29</f>
        <v>9.7905051521060202E-2</v>
      </c>
      <c r="BB73" s="13">
        <f t="shared" si="64"/>
        <v>0.14279361911580238</v>
      </c>
      <c r="BC73" s="13">
        <f t="shared" si="64"/>
        <v>0.10772588292637626</v>
      </c>
      <c r="BD73" s="13">
        <f t="shared" si="64"/>
        <v>9.7846282776782381E-2</v>
      </c>
      <c r="BE73" s="13">
        <f t="shared" si="64"/>
        <v>0.113273965663442</v>
      </c>
      <c r="BF73" s="13">
        <f t="shared" si="64"/>
        <v>0.10125605613456835</v>
      </c>
      <c r="BG73" s="13">
        <f t="shared" si="64"/>
        <v>7.912367309807801E-2</v>
      </c>
      <c r="BH73" s="13">
        <f t="shared" si="64"/>
        <v>0.12504944093475254</v>
      </c>
      <c r="BI73" s="13">
        <f t="shared" si="64"/>
        <v>6.6000578242757124E-2</v>
      </c>
      <c r="BJ73" s="13">
        <f t="shared" si="64"/>
        <v>7.8287120359806381E-2</v>
      </c>
      <c r="BK73" s="13">
        <f t="shared" si="64"/>
        <v>7.7757115664700949E-2</v>
      </c>
      <c r="BL73" s="13">
        <f t="shared" si="64"/>
        <v>9.9309043387958568E-2</v>
      </c>
      <c r="BM73" s="13">
        <f t="shared" si="64"/>
        <v>6.3900077795354226E-2</v>
      </c>
      <c r="BN73" s="13">
        <f t="shared" si="64"/>
        <v>4.7615002244089863E-2</v>
      </c>
      <c r="BO73" s="13">
        <f t="shared" si="64"/>
        <v>4.9887985330514015E-2</v>
      </c>
      <c r="BP73" s="13">
        <f t="shared" si="64"/>
        <v>4.8348361766694763E-2</v>
      </c>
      <c r="BQ73" s="13">
        <f t="shared" si="64"/>
        <v>6.71267531278716E-2</v>
      </c>
      <c r="BR73" s="13">
        <f t="shared" si="64"/>
        <v>0.11646814683655578</v>
      </c>
      <c r="BS73" s="13">
        <f t="shared" si="64"/>
        <v>6.4308277547388104E-2</v>
      </c>
      <c r="BT73" s="13">
        <f t="shared" si="64"/>
        <v>9.0912124860477006E-2</v>
      </c>
    </row>
    <row r="74" spans="1:72" x14ac:dyDescent="0.25">
      <c r="A74" s="74">
        <v>74</v>
      </c>
      <c r="B74" s="5" t="s">
        <v>46</v>
      </c>
      <c r="C74" s="99"/>
      <c r="D74" s="40"/>
      <c r="E74" s="295"/>
      <c r="F74" s="307">
        <f t="shared" ref="F74:G74" si="65">(F13+F14+F15+F22+F23)/F29</f>
        <v>0.12997350223350981</v>
      </c>
      <c r="G74" s="307">
        <f t="shared" si="65"/>
        <v>0.11450359755620351</v>
      </c>
      <c r="H74" s="13">
        <f t="shared" ref="H74" si="66">(H13+H14+H15+H22+H23)/H29</f>
        <v>0.11822855519280358</v>
      </c>
      <c r="I74" s="13">
        <f t="shared" ref="I74" si="67">(I13+I14+I15+I22+I23)/I29</f>
        <v>0.10994781033197298</v>
      </c>
      <c r="J74" s="13">
        <f t="shared" ref="J74:K74" si="68">(J13+J14+J15+J22+J23)/J29</f>
        <v>0.10885481155414839</v>
      </c>
      <c r="K74" s="13">
        <f t="shared" si="68"/>
        <v>0.10483609984273841</v>
      </c>
      <c r="L74" s="13">
        <f t="shared" ref="L74:T74" si="69">(L13+L14+L15+L22+L23)/L29</f>
        <v>0.11154425055739596</v>
      </c>
      <c r="M74" s="13">
        <f t="shared" si="69"/>
        <v>0.11908338689333064</v>
      </c>
      <c r="N74" s="13">
        <f t="shared" si="69"/>
        <v>0.12492184592482322</v>
      </c>
      <c r="O74" s="13">
        <f t="shared" si="69"/>
        <v>0.14033389693914639</v>
      </c>
      <c r="P74" s="13">
        <f t="shared" si="69"/>
        <v>0.13559512797668027</v>
      </c>
      <c r="Q74" s="13">
        <f t="shared" si="69"/>
        <v>0.13505752183531561</v>
      </c>
      <c r="R74" s="13">
        <f t="shared" si="69"/>
        <v>0.15402745655344088</v>
      </c>
      <c r="S74" s="13">
        <f t="shared" si="69"/>
        <v>0.16521926207465309</v>
      </c>
      <c r="T74" s="13">
        <f t="shared" si="69"/>
        <v>0.12062492776968269</v>
      </c>
      <c r="U74" s="355"/>
      <c r="V74" s="355"/>
      <c r="W74" s="355"/>
      <c r="X74" s="13">
        <f t="shared" ref="X74:AZ74" si="70">(X13+X14+X15+X22+X23)/X29</f>
        <v>0.11125004236984924</v>
      </c>
      <c r="Y74" s="13">
        <f t="shared" si="70"/>
        <v>0.10790438564259171</v>
      </c>
      <c r="Z74" s="13">
        <f t="shared" si="70"/>
        <v>0.10940523031291796</v>
      </c>
      <c r="AA74" s="13">
        <f t="shared" si="70"/>
        <v>0.11511519187885132</v>
      </c>
      <c r="AB74" s="13">
        <f t="shared" si="70"/>
        <v>0.11238697007916716</v>
      </c>
      <c r="AC74" s="13">
        <f t="shared" si="70"/>
        <v>0.1189434976358076</v>
      </c>
      <c r="AD74" s="13">
        <f t="shared" si="70"/>
        <v>0.12198864154929963</v>
      </c>
      <c r="AE74" s="13">
        <f t="shared" si="70"/>
        <v>0.12968467134789652</v>
      </c>
      <c r="AF74" s="13">
        <f t="shared" si="70"/>
        <v>0.14653223719330311</v>
      </c>
      <c r="AG74" s="13">
        <f t="shared" si="70"/>
        <v>0.11483479106811829</v>
      </c>
      <c r="AH74" s="13">
        <f t="shared" si="70"/>
        <v>0.18986144348039924</v>
      </c>
      <c r="AI74" s="13">
        <f t="shared" si="70"/>
        <v>0.15050241308704321</v>
      </c>
      <c r="AJ74" s="13">
        <f t="shared" si="70"/>
        <v>0.20406768934931965</v>
      </c>
      <c r="AK74" s="13">
        <f t="shared" si="70"/>
        <v>0.19005934877952588</v>
      </c>
      <c r="AL74" s="13">
        <f t="shared" si="70"/>
        <v>0.25282568573421949</v>
      </c>
      <c r="AM74" s="13">
        <f t="shared" si="70"/>
        <v>0.19144036500322392</v>
      </c>
      <c r="AN74" s="13">
        <f t="shared" si="70"/>
        <v>0.18692085418913304</v>
      </c>
      <c r="AO74" s="13">
        <f t="shared" si="70"/>
        <v>0.17489205309468608</v>
      </c>
      <c r="AP74" s="13">
        <f t="shared" si="70"/>
        <v>0.18919681135324948</v>
      </c>
      <c r="AQ74" s="13">
        <f t="shared" si="70"/>
        <v>0.17310799736697471</v>
      </c>
      <c r="AR74" s="13">
        <f t="shared" si="70"/>
        <v>0.18164064772580324</v>
      </c>
      <c r="AS74" s="13">
        <f t="shared" si="70"/>
        <v>0.20988294599585652</v>
      </c>
      <c r="AT74" s="13">
        <f t="shared" si="70"/>
        <v>0.21994824188186987</v>
      </c>
      <c r="AU74" s="13">
        <f t="shared" si="70"/>
        <v>0.21839303569904747</v>
      </c>
      <c r="AV74" s="13">
        <f t="shared" si="70"/>
        <v>0.19795532532741594</v>
      </c>
      <c r="AW74" s="13">
        <f t="shared" si="70"/>
        <v>0.17496293200065446</v>
      </c>
      <c r="AX74" s="13">
        <f t="shared" si="70"/>
        <v>0.15378695412110818</v>
      </c>
      <c r="AY74" s="13">
        <f t="shared" si="70"/>
        <v>0.13952047122395264</v>
      </c>
      <c r="AZ74" s="13">
        <f t="shared" si="70"/>
        <v>9.3181581715419376E-2</v>
      </c>
      <c r="BA74" s="13">
        <f t="shared" ref="BA74:BT74" si="71">(BA13+BA14+BA15+BA22+BA23)/BA29</f>
        <v>0.15177608100590528</v>
      </c>
      <c r="BB74" s="13">
        <f t="shared" si="71"/>
        <v>0.15375687551156803</v>
      </c>
      <c r="BC74" s="13">
        <f t="shared" si="71"/>
        <v>0.16615133056998793</v>
      </c>
      <c r="BD74" s="13">
        <f t="shared" si="71"/>
        <v>0.17743620371609495</v>
      </c>
      <c r="BE74" s="13">
        <f t="shared" si="71"/>
        <v>0.14286160540618181</v>
      </c>
      <c r="BF74" s="13">
        <f t="shared" si="71"/>
        <v>0.15347417590835369</v>
      </c>
      <c r="BG74" s="13">
        <f t="shared" si="71"/>
        <v>0.16676874663852648</v>
      </c>
      <c r="BH74" s="13">
        <f t="shared" si="71"/>
        <v>0.14490658241482182</v>
      </c>
      <c r="BI74" s="13">
        <f t="shared" si="71"/>
        <v>0.1508771533976736</v>
      </c>
      <c r="BJ74" s="13">
        <f t="shared" si="71"/>
        <v>0.17967871233839916</v>
      </c>
      <c r="BK74" s="13">
        <f t="shared" si="71"/>
        <v>0.17027515157316112</v>
      </c>
      <c r="BL74" s="13">
        <f t="shared" si="71"/>
        <v>0.15478604293507719</v>
      </c>
      <c r="BM74" s="13">
        <f t="shared" si="71"/>
        <v>0.16345598738453926</v>
      </c>
      <c r="BN74" s="13">
        <f t="shared" si="71"/>
        <v>0.1719611996382612</v>
      </c>
      <c r="BO74" s="13">
        <f t="shared" si="71"/>
        <v>0.16034667245746195</v>
      </c>
      <c r="BP74" s="13">
        <f t="shared" si="71"/>
        <v>0.13656611889703493</v>
      </c>
      <c r="BQ74" s="13">
        <f t="shared" si="71"/>
        <v>0.12308889732567189</v>
      </c>
      <c r="BR74" s="13">
        <f t="shared" si="71"/>
        <v>0.11497179749655607</v>
      </c>
      <c r="BS74" s="13">
        <f t="shared" si="71"/>
        <v>0.13918206823429541</v>
      </c>
      <c r="BT74" s="13">
        <f t="shared" si="71"/>
        <v>0.1272696439323322</v>
      </c>
    </row>
    <row r="75" spans="1:72" x14ac:dyDescent="0.25">
      <c r="A75" s="74">
        <v>75</v>
      </c>
      <c r="B75" s="5" t="s">
        <v>23</v>
      </c>
      <c r="C75" s="99"/>
      <c r="D75" s="40"/>
      <c r="E75" s="100"/>
      <c r="F75" s="307">
        <f t="shared" ref="F75:G75" si="72">F16/F29</f>
        <v>7.7876987424826349E-2</v>
      </c>
      <c r="G75" s="307">
        <f t="shared" si="72"/>
        <v>7.7006586245495431E-2</v>
      </c>
      <c r="H75" s="13">
        <f t="shared" ref="H75" si="73">H16/H29</f>
        <v>7.0114010318902645E-2</v>
      </c>
      <c r="I75" s="13">
        <f t="shared" ref="I75" si="74">I16/I29</f>
        <v>9.8942388902066233E-2</v>
      </c>
      <c r="J75" s="13">
        <f t="shared" ref="J75:K75" si="75">J16/J29</f>
        <v>0.15019546701728587</v>
      </c>
      <c r="K75" s="13">
        <f t="shared" si="75"/>
        <v>8.067046963312044E-2</v>
      </c>
      <c r="L75" s="13">
        <f t="shared" ref="L75:T75" si="76">L16/L29</f>
        <v>0.10393852115994627</v>
      </c>
      <c r="M75" s="13">
        <f t="shared" si="76"/>
        <v>0.10527695256302655</v>
      </c>
      <c r="N75" s="13">
        <f t="shared" si="76"/>
        <v>0.10710457759583178</v>
      </c>
      <c r="O75" s="13">
        <f t="shared" si="76"/>
        <v>3.8004874926915601E-2</v>
      </c>
      <c r="P75" s="13">
        <f t="shared" si="76"/>
        <v>0.11720019445721279</v>
      </c>
      <c r="Q75" s="13">
        <f t="shared" si="76"/>
        <v>7.7760328619299962E-2</v>
      </c>
      <c r="R75" s="13">
        <f t="shared" si="76"/>
        <v>3.5053315499577374E-2</v>
      </c>
      <c r="S75" s="13">
        <f t="shared" si="76"/>
        <v>4.3636081131150875E-2</v>
      </c>
      <c r="T75" s="13">
        <f t="shared" si="76"/>
        <v>0.11688622697416627</v>
      </c>
      <c r="U75" s="355"/>
      <c r="V75" s="355"/>
      <c r="W75" s="355"/>
      <c r="X75" s="13">
        <f t="shared" ref="X75:AZ75" si="77">X16/X29</f>
        <v>0.16943294704584858</v>
      </c>
      <c r="Y75" s="13">
        <f t="shared" si="77"/>
        <v>0.15121672874051564</v>
      </c>
      <c r="Z75" s="13">
        <f t="shared" si="77"/>
        <v>0.13358158378242357</v>
      </c>
      <c r="AA75" s="13">
        <f t="shared" si="77"/>
        <v>0.12971040264818662</v>
      </c>
      <c r="AB75" s="13">
        <f t="shared" si="77"/>
        <v>0.14279395311321</v>
      </c>
      <c r="AC75" s="13">
        <f t="shared" si="77"/>
        <v>0.14199613944786185</v>
      </c>
      <c r="AD75" s="13">
        <f t="shared" si="77"/>
        <v>0.14937677542726638</v>
      </c>
      <c r="AE75" s="13">
        <f t="shared" si="77"/>
        <v>0.10332151447337552</v>
      </c>
      <c r="AF75" s="13">
        <f t="shared" si="77"/>
        <v>0.14162684013845686</v>
      </c>
      <c r="AG75" s="13">
        <f t="shared" si="77"/>
        <v>0.12263490495529279</v>
      </c>
      <c r="AH75" s="13">
        <f t="shared" si="77"/>
        <v>0.13340428080068123</v>
      </c>
      <c r="AI75" s="13">
        <f t="shared" si="77"/>
        <v>0.13790558614287055</v>
      </c>
      <c r="AJ75" s="13">
        <f t="shared" si="77"/>
        <v>0.13085540755194988</v>
      </c>
      <c r="AK75" s="13">
        <f t="shared" si="77"/>
        <v>8.7695107252116225E-2</v>
      </c>
      <c r="AL75" s="13">
        <f t="shared" si="77"/>
        <v>5.6571617136194165E-2</v>
      </c>
      <c r="AM75" s="13">
        <f t="shared" si="77"/>
        <v>0.11315107507208136</v>
      </c>
      <c r="AN75" s="13">
        <f t="shared" si="77"/>
        <v>0.1117377373414573</v>
      </c>
      <c r="AO75" s="13">
        <f t="shared" si="77"/>
        <v>0.10217784750884282</v>
      </c>
      <c r="AP75" s="13">
        <f t="shared" si="77"/>
        <v>7.5491070649990569E-2</v>
      </c>
      <c r="AQ75" s="13">
        <f t="shared" si="77"/>
        <v>8.9596437028241063E-2</v>
      </c>
      <c r="AR75" s="13">
        <f t="shared" si="77"/>
        <v>0.10081114961769296</v>
      </c>
      <c r="AS75" s="13">
        <f t="shared" si="77"/>
        <v>6.2436789433352548E-2</v>
      </c>
      <c r="AT75" s="13">
        <f t="shared" si="77"/>
        <v>4.1926350062165774E-2</v>
      </c>
      <c r="AU75" s="13">
        <f t="shared" si="77"/>
        <v>4.626969478983458E-2</v>
      </c>
      <c r="AV75" s="13">
        <f t="shared" si="77"/>
        <v>2.7057163504914942E-2</v>
      </c>
      <c r="AW75" s="13">
        <f t="shared" si="77"/>
        <v>5.1219392363825327E-2</v>
      </c>
      <c r="AX75" s="13">
        <f t="shared" si="77"/>
        <v>6.3713493647107808E-2</v>
      </c>
      <c r="AY75" s="13">
        <f t="shared" si="77"/>
        <v>6.3708382326415014E-2</v>
      </c>
      <c r="AZ75" s="13">
        <f t="shared" si="77"/>
        <v>5.657803012518306E-2</v>
      </c>
      <c r="BA75" s="13">
        <f t="shared" ref="BA75:BT75" si="78">BA16/BA29</f>
        <v>7.1865906940067739E-2</v>
      </c>
      <c r="BB75" s="13">
        <f t="shared" si="78"/>
        <v>4.8264483798760832E-2</v>
      </c>
      <c r="BC75" s="13">
        <f t="shared" si="78"/>
        <v>4.7912909794609305E-2</v>
      </c>
      <c r="BD75" s="13">
        <f t="shared" si="78"/>
        <v>3.6280093465056069E-2</v>
      </c>
      <c r="BE75" s="13">
        <f t="shared" si="78"/>
        <v>3.6774267549926104E-2</v>
      </c>
      <c r="BF75" s="13">
        <f t="shared" si="78"/>
        <v>2.8105689289111356E-2</v>
      </c>
      <c r="BG75" s="13">
        <f t="shared" si="78"/>
        <v>1.7941324594419758E-2</v>
      </c>
      <c r="BH75" s="13">
        <f t="shared" si="78"/>
        <v>2.584880716184244E-2</v>
      </c>
      <c r="BI75" s="13">
        <f t="shared" si="78"/>
        <v>2.0381700174230293E-3</v>
      </c>
      <c r="BJ75" s="13">
        <f t="shared" si="78"/>
        <v>6.1487877921105882E-3</v>
      </c>
      <c r="BK75" s="13">
        <f t="shared" si="78"/>
        <v>4.5024568601157923E-2</v>
      </c>
      <c r="BL75" s="13">
        <f t="shared" si="78"/>
        <v>2.378247359393483E-2</v>
      </c>
      <c r="BM75" s="13">
        <f t="shared" si="78"/>
        <v>2.2353334038565219E-2</v>
      </c>
      <c r="BN75" s="13">
        <f t="shared" si="78"/>
        <v>1.6188636263095257E-2</v>
      </c>
      <c r="BO75" s="13">
        <f t="shared" si="78"/>
        <v>1.9457142258672736E-2</v>
      </c>
      <c r="BP75" s="13">
        <f t="shared" si="78"/>
        <v>3.0899740290385971E-2</v>
      </c>
      <c r="BQ75" s="13">
        <f t="shared" si="78"/>
        <v>2.2174178265189911E-2</v>
      </c>
      <c r="BR75" s="13">
        <f t="shared" si="78"/>
        <v>3.2894299207435897E-2</v>
      </c>
      <c r="BS75" s="13">
        <f t="shared" si="78"/>
        <v>3.0406722655820853E-2</v>
      </c>
      <c r="BT75" s="13">
        <f t="shared" si="78"/>
        <v>1.5179128880827229E-2</v>
      </c>
    </row>
    <row r="76" spans="1:72" x14ac:dyDescent="0.25">
      <c r="A76" s="74">
        <v>76</v>
      </c>
      <c r="B76" s="5" t="s">
        <v>24</v>
      </c>
      <c r="C76" s="99"/>
      <c r="D76" s="40"/>
      <c r="E76" s="100"/>
      <c r="F76" s="307">
        <f t="shared" ref="F76:G76" si="79">F18/F29</f>
        <v>0</v>
      </c>
      <c r="G76" s="307">
        <f t="shared" si="79"/>
        <v>7.3566631795633245E-3</v>
      </c>
      <c r="H76" s="13">
        <f t="shared" ref="H76" si="80">H18/H29</f>
        <v>2.2982801573644142E-3</v>
      </c>
      <c r="I76" s="13">
        <f t="shared" ref="I76" si="81">I18/I29</f>
        <v>3.1808135913333972E-2</v>
      </c>
      <c r="J76" s="13">
        <f t="shared" ref="J76:K76" si="82">J18/J29</f>
        <v>9.4049292654479616E-3</v>
      </c>
      <c r="K76" s="13">
        <f t="shared" si="82"/>
        <v>3.2758165269854929E-2</v>
      </c>
      <c r="L76" s="13">
        <f t="shared" ref="L76:T76" si="83">L18/L29</f>
        <v>6.4619247568206278E-2</v>
      </c>
      <c r="M76" s="13">
        <f t="shared" si="83"/>
        <v>1.4587912432054284E-2</v>
      </c>
      <c r="N76" s="13">
        <f t="shared" si="83"/>
        <v>2.2309266840342391E-2</v>
      </c>
      <c r="O76" s="13">
        <f t="shared" si="83"/>
        <v>3.8820654836211936E-2</v>
      </c>
      <c r="P76" s="13">
        <f t="shared" si="83"/>
        <v>4.1438491556811584E-2</v>
      </c>
      <c r="Q76" s="13">
        <f t="shared" si="83"/>
        <v>3.9430382171077902E-2</v>
      </c>
      <c r="R76" s="13">
        <f t="shared" si="83"/>
        <v>6.5809578213094813E-2</v>
      </c>
      <c r="S76" s="13">
        <f t="shared" si="83"/>
        <v>3.478671399715539E-2</v>
      </c>
      <c r="T76" s="13">
        <f t="shared" si="83"/>
        <v>4.5645986258070433E-2</v>
      </c>
      <c r="U76" s="355"/>
      <c r="V76" s="355"/>
      <c r="W76" s="355"/>
      <c r="X76" s="13">
        <f t="shared" ref="X76:AZ76" si="84">X18/X29</f>
        <v>3.4025185893790402E-2</v>
      </c>
      <c r="Y76" s="13">
        <f t="shared" si="84"/>
        <v>1.4363674864393884E-2</v>
      </c>
      <c r="Z76" s="13">
        <f t="shared" si="84"/>
        <v>3.3694919381061027E-2</v>
      </c>
      <c r="AA76" s="13">
        <f t="shared" si="84"/>
        <v>2.776269879902277E-2</v>
      </c>
      <c r="AB76" s="13">
        <f t="shared" si="84"/>
        <v>3.0757558950846791E-2</v>
      </c>
      <c r="AC76" s="13">
        <f t="shared" si="84"/>
        <v>1.9541391255079768E-2</v>
      </c>
      <c r="AD76" s="13">
        <f t="shared" si="84"/>
        <v>8.8217309972292348E-3</v>
      </c>
      <c r="AE76" s="13">
        <f t="shared" si="84"/>
        <v>3.7391467981622968E-2</v>
      </c>
      <c r="AF76" s="13">
        <f t="shared" si="84"/>
        <v>4.1597911075887679E-2</v>
      </c>
      <c r="AG76" s="13">
        <f t="shared" si="84"/>
        <v>7.1545674439910445E-2</v>
      </c>
      <c r="AH76" s="13">
        <f t="shared" si="84"/>
        <v>3.0652467642834347E-2</v>
      </c>
      <c r="AI76" s="13">
        <f t="shared" si="84"/>
        <v>7.336211624465408E-2</v>
      </c>
      <c r="AJ76" s="13">
        <f t="shared" si="84"/>
        <v>4.8066498806037514E-2</v>
      </c>
      <c r="AK76" s="13">
        <f t="shared" si="84"/>
        <v>4.7333314384352287E-2</v>
      </c>
      <c r="AL76" s="13">
        <f t="shared" si="84"/>
        <v>3.981667869520282E-2</v>
      </c>
      <c r="AM76" s="13">
        <f t="shared" si="84"/>
        <v>7.2602398038002211E-2</v>
      </c>
      <c r="AN76" s="13">
        <f t="shared" si="84"/>
        <v>5.7573892189266361E-2</v>
      </c>
      <c r="AO76" s="13">
        <f t="shared" si="84"/>
        <v>3.4058138943960328E-2</v>
      </c>
      <c r="AP76" s="13">
        <f t="shared" si="84"/>
        <v>2.0269471158016181E-2</v>
      </c>
      <c r="AQ76" s="13">
        <f t="shared" si="84"/>
        <v>6.3953631476056077E-3</v>
      </c>
      <c r="AR76" s="13">
        <f t="shared" si="84"/>
        <v>5.7509005191081826E-2</v>
      </c>
      <c r="AS76" s="13">
        <f t="shared" si="84"/>
        <v>9.2595028390902966E-3</v>
      </c>
      <c r="AT76" s="13">
        <f t="shared" si="84"/>
        <v>7.295919770513643E-3</v>
      </c>
      <c r="AU76" s="13">
        <f t="shared" si="84"/>
        <v>5.0548839687365059E-2</v>
      </c>
      <c r="AV76" s="13">
        <f t="shared" si="84"/>
        <v>6.2436311470390402E-2</v>
      </c>
      <c r="AW76" s="13">
        <f t="shared" si="84"/>
        <v>1.5331617191363221E-2</v>
      </c>
      <c r="AX76" s="13">
        <f t="shared" si="84"/>
        <v>4.6938151011224609E-2</v>
      </c>
      <c r="AY76" s="13">
        <f t="shared" si="84"/>
        <v>5.0934157758887266E-2</v>
      </c>
      <c r="AZ76" s="13">
        <f t="shared" si="84"/>
        <v>5.6105179417605615E-2</v>
      </c>
      <c r="BA76" s="13">
        <f t="shared" ref="BA76:BT76" si="85">BA18/BA29</f>
        <v>3.9441839670423112E-3</v>
      </c>
      <c r="BB76" s="13">
        <f t="shared" si="85"/>
        <v>3.1681854779116955E-3</v>
      </c>
      <c r="BC76" s="13">
        <f t="shared" si="85"/>
        <v>8.916032199146216E-3</v>
      </c>
      <c r="BD76" s="13">
        <f t="shared" si="85"/>
        <v>2.1047445632781932E-2</v>
      </c>
      <c r="BE76" s="13">
        <f t="shared" si="85"/>
        <v>5.4772707105611718E-3</v>
      </c>
      <c r="BF76" s="13">
        <f t="shared" si="85"/>
        <v>5.3651817427683218E-3</v>
      </c>
      <c r="BG76" s="13">
        <f t="shared" si="85"/>
        <v>9.7415271590518878E-3</v>
      </c>
      <c r="BH76" s="13">
        <f t="shared" si="85"/>
        <v>8.2511030591832651E-3</v>
      </c>
      <c r="BI76" s="13">
        <f t="shared" si="85"/>
        <v>6.2268790724845195E-3</v>
      </c>
      <c r="BJ76" s="13">
        <f t="shared" si="85"/>
        <v>1.1351308071620454E-2</v>
      </c>
      <c r="BK76" s="13">
        <f t="shared" si="85"/>
        <v>1.9746493380822586E-2</v>
      </c>
      <c r="BL76" s="13">
        <f t="shared" si="85"/>
        <v>9.0859060719837674E-3</v>
      </c>
      <c r="BM76" s="13">
        <f t="shared" si="85"/>
        <v>1.0155270486385981E-2</v>
      </c>
      <c r="BN76" s="13">
        <f t="shared" si="85"/>
        <v>1.2321878362796398E-2</v>
      </c>
      <c r="BO76" s="13">
        <f t="shared" si="85"/>
        <v>1.859082792581284E-2</v>
      </c>
      <c r="BP76" s="13">
        <f t="shared" si="85"/>
        <v>4.5478831179925044E-2</v>
      </c>
      <c r="BQ76" s="13">
        <f t="shared" si="85"/>
        <v>4.0565076785823769E-3</v>
      </c>
      <c r="BR76" s="13">
        <f t="shared" si="85"/>
        <v>4.3471496559187054E-3</v>
      </c>
      <c r="BS76" s="13">
        <f t="shared" si="85"/>
        <v>5.4130757367565922E-3</v>
      </c>
      <c r="BT76" s="13">
        <f t="shared" si="85"/>
        <v>2.4903213555288874E-2</v>
      </c>
    </row>
    <row r="77" spans="1:72" x14ac:dyDescent="0.25">
      <c r="A77" s="74">
        <v>77</v>
      </c>
      <c r="B77" s="5" t="s">
        <v>25</v>
      </c>
      <c r="C77" s="99"/>
      <c r="D77" s="40"/>
      <c r="E77" s="100"/>
      <c r="F77" s="307">
        <f t="shared" ref="F77:G77" si="86">F19/F29</f>
        <v>0.72648203182539106</v>
      </c>
      <c r="G77" s="307">
        <f t="shared" si="86"/>
        <v>0.68160927545555527</v>
      </c>
      <c r="H77" s="13">
        <f t="shared" ref="H77" si="87">H19/H29</f>
        <v>0.71456677687077019</v>
      </c>
      <c r="I77" s="13">
        <f t="shared" ref="I77" si="88">I19/I29</f>
        <v>0.67852553658264447</v>
      </c>
      <c r="J77" s="13">
        <f t="shared" ref="J77:K77" si="89">J19/J29</f>
        <v>0.65608183030892331</v>
      </c>
      <c r="K77" s="13">
        <f t="shared" si="89"/>
        <v>0.63792313249682064</v>
      </c>
      <c r="L77" s="13">
        <f t="shared" ref="L77:T77" si="90">L19/L29</f>
        <v>0.63103728398708669</v>
      </c>
      <c r="M77" s="13">
        <f t="shared" si="90"/>
        <v>0.68298198938693</v>
      </c>
      <c r="N77" s="13">
        <f t="shared" si="90"/>
        <v>0.63914402679568294</v>
      </c>
      <c r="O77" s="13">
        <f t="shared" si="90"/>
        <v>0.66724772055686365</v>
      </c>
      <c r="P77" s="13">
        <f t="shared" si="90"/>
        <v>0.61643409357023826</v>
      </c>
      <c r="Q77" s="13">
        <f t="shared" si="90"/>
        <v>0.64547439338868984</v>
      </c>
      <c r="R77" s="13">
        <f t="shared" si="90"/>
        <v>0.62532973871689845</v>
      </c>
      <c r="S77" s="13">
        <f t="shared" si="90"/>
        <v>0.67099334265600541</v>
      </c>
      <c r="T77" s="13">
        <f t="shared" si="90"/>
        <v>0.61390587004619168</v>
      </c>
      <c r="U77" s="355"/>
      <c r="V77" s="355"/>
      <c r="W77" s="355"/>
      <c r="X77" s="13">
        <f t="shared" ref="X77:AZ77" si="91">X19/X29</f>
        <v>0.59480865776083824</v>
      </c>
      <c r="Y77" s="13">
        <f t="shared" si="91"/>
        <v>0.61314456898430381</v>
      </c>
      <c r="Z77" s="13">
        <f t="shared" si="91"/>
        <v>0.63006029095032179</v>
      </c>
      <c r="AA77" s="13">
        <f t="shared" si="91"/>
        <v>0.60252469716858525</v>
      </c>
      <c r="AB77" s="13">
        <f t="shared" si="91"/>
        <v>0.5744309646178517</v>
      </c>
      <c r="AC77" s="13">
        <f t="shared" si="91"/>
        <v>0.59267757055236037</v>
      </c>
      <c r="AD77" s="13">
        <f t="shared" si="91"/>
        <v>0.56373462172692135</v>
      </c>
      <c r="AE77" s="13">
        <f t="shared" si="91"/>
        <v>0.59314189863822975</v>
      </c>
      <c r="AF77" s="13">
        <f t="shared" si="91"/>
        <v>0.54638010120960523</v>
      </c>
      <c r="AG77" s="13">
        <f t="shared" si="91"/>
        <v>0.54112127476946148</v>
      </c>
      <c r="AH77" s="13">
        <f t="shared" si="91"/>
        <v>0.50095729198595595</v>
      </c>
      <c r="AI77" s="13">
        <f t="shared" si="91"/>
        <v>0.51513304745675392</v>
      </c>
      <c r="AJ77" s="13">
        <f t="shared" si="91"/>
        <v>0.50309152170133764</v>
      </c>
      <c r="AK77" s="13">
        <f t="shared" si="91"/>
        <v>0.55223647741106785</v>
      </c>
      <c r="AL77" s="13">
        <f t="shared" si="91"/>
        <v>0.52838782167732834</v>
      </c>
      <c r="AM77" s="13">
        <f t="shared" si="91"/>
        <v>0.51435117521399287</v>
      </c>
      <c r="AN77" s="13">
        <f t="shared" si="91"/>
        <v>0.52436515806888651</v>
      </c>
      <c r="AO77" s="13">
        <f t="shared" si="91"/>
        <v>0.53336361978020586</v>
      </c>
      <c r="AP77" s="13">
        <f t="shared" si="91"/>
        <v>0.55583421440112279</v>
      </c>
      <c r="AQ77" s="13">
        <f t="shared" si="91"/>
        <v>0.55244544104192406</v>
      </c>
      <c r="AR77" s="13">
        <f t="shared" si="91"/>
        <v>0.54233643522094022</v>
      </c>
      <c r="AS77" s="13">
        <f t="shared" si="91"/>
        <v>0.57523184955682372</v>
      </c>
      <c r="AT77" s="13">
        <f t="shared" si="91"/>
        <v>0.5707665300278143</v>
      </c>
      <c r="AU77" s="13">
        <f t="shared" si="91"/>
        <v>0.58655452759311322</v>
      </c>
      <c r="AV77" s="13">
        <f t="shared" si="91"/>
        <v>0.59605598358810918</v>
      </c>
      <c r="AW77" s="13">
        <f t="shared" si="91"/>
        <v>0.60848396204370303</v>
      </c>
      <c r="AX77" s="13">
        <f t="shared" si="91"/>
        <v>0.58799311212996264</v>
      </c>
      <c r="AY77" s="13">
        <f t="shared" si="91"/>
        <v>0.59417839948133766</v>
      </c>
      <c r="AZ77" s="13">
        <f t="shared" si="91"/>
        <v>0.60456078281419212</v>
      </c>
      <c r="BA77" s="13">
        <f t="shared" ref="BA77:BT77" si="92">BA19/BA29</f>
        <v>0.61792925292539858</v>
      </c>
      <c r="BB77" s="13">
        <f t="shared" si="92"/>
        <v>0.59491319746138782</v>
      </c>
      <c r="BC77" s="13">
        <f t="shared" si="92"/>
        <v>0.61705083274660688</v>
      </c>
      <c r="BD77" s="13">
        <f t="shared" si="92"/>
        <v>0.61277583404044966</v>
      </c>
      <c r="BE77" s="13">
        <f t="shared" si="92"/>
        <v>0.63835068729403599</v>
      </c>
      <c r="BF77" s="13">
        <f t="shared" si="92"/>
        <v>0.65124569025232559</v>
      </c>
      <c r="BG77" s="13">
        <f t="shared" si="92"/>
        <v>0.66207700986994988</v>
      </c>
      <c r="BH77" s="13">
        <f t="shared" si="92"/>
        <v>0.63289781178261373</v>
      </c>
      <c r="BI77" s="13">
        <f t="shared" si="92"/>
        <v>0.70297439958029551</v>
      </c>
      <c r="BJ77" s="13">
        <f t="shared" si="92"/>
        <v>0.65103885748988755</v>
      </c>
      <c r="BK77" s="13">
        <f t="shared" si="92"/>
        <v>0.6134276790159886</v>
      </c>
      <c r="BL77" s="13">
        <f t="shared" si="92"/>
        <v>0.63601753977319475</v>
      </c>
      <c r="BM77" s="13">
        <f t="shared" si="92"/>
        <v>0.66498787536222437</v>
      </c>
      <c r="BN77" s="13">
        <f t="shared" si="92"/>
        <v>0.67913928094073994</v>
      </c>
      <c r="BO77" s="13">
        <f t="shared" si="92"/>
        <v>0.68184024840370383</v>
      </c>
      <c r="BP77" s="13">
        <f t="shared" si="92"/>
        <v>0.67062547772916081</v>
      </c>
      <c r="BQ77" s="13">
        <f t="shared" si="92"/>
        <v>0.7123284308405049</v>
      </c>
      <c r="BR77" s="13">
        <f t="shared" si="92"/>
        <v>0.65824984848730039</v>
      </c>
      <c r="BS77" s="13">
        <f t="shared" si="92"/>
        <v>0.6877324040944176</v>
      </c>
      <c r="BT77" s="13">
        <f t="shared" si="92"/>
        <v>0.67146108631881463</v>
      </c>
    </row>
    <row r="78" spans="1:72" x14ac:dyDescent="0.25">
      <c r="A78" s="74">
        <v>78</v>
      </c>
      <c r="B78" s="43" t="s">
        <v>76</v>
      </c>
      <c r="C78" s="101"/>
      <c r="D78" s="43"/>
      <c r="E78" s="102"/>
      <c r="F78" s="315">
        <f t="shared" ref="F78:G78" si="93">F21/F29</f>
        <v>0.15333467779764925</v>
      </c>
      <c r="G78" s="315">
        <f t="shared" si="93"/>
        <v>0.1443093560873408</v>
      </c>
      <c r="H78" s="50">
        <f t="shared" ref="H78" si="94">H21/H29</f>
        <v>0.15058521518902032</v>
      </c>
      <c r="I78" s="50">
        <f t="shared" ref="I78" si="95">I21/I29</f>
        <v>0.13370471273515092</v>
      </c>
      <c r="J78" s="50">
        <f t="shared" ref="J78:K78" si="96">J21/J29</f>
        <v>0.13615233734166454</v>
      </c>
      <c r="K78" s="50">
        <f t="shared" si="96"/>
        <v>0.14537425283254526</v>
      </c>
      <c r="L78" s="50">
        <f t="shared" ref="L78:T78" si="97">L21/L29</f>
        <v>0.13894896574036952</v>
      </c>
      <c r="M78" s="50">
        <f t="shared" si="97"/>
        <v>0.14885182462128183</v>
      </c>
      <c r="N78" s="50">
        <f t="shared" si="97"/>
        <v>0.14357834015630816</v>
      </c>
      <c r="O78" s="50">
        <f t="shared" si="97"/>
        <v>0.15031485549041607</v>
      </c>
      <c r="P78" s="50">
        <f t="shared" si="97"/>
        <v>0.14546458816875404</v>
      </c>
      <c r="Q78" s="50">
        <f t="shared" si="97"/>
        <v>0.15814493245726366</v>
      </c>
      <c r="R78" s="50">
        <f t="shared" si="97"/>
        <v>0.16982704972088314</v>
      </c>
      <c r="S78" s="50">
        <f t="shared" si="97"/>
        <v>0.16877024394325121</v>
      </c>
      <c r="T78" s="50">
        <f t="shared" si="97"/>
        <v>0.16310171577533958</v>
      </c>
      <c r="U78" s="414"/>
      <c r="V78" s="414"/>
      <c r="W78" s="414"/>
      <c r="X78" s="50">
        <f t="shared" ref="X78:AZ78" si="98">X21/X29</f>
        <v>0.16450423510181947</v>
      </c>
      <c r="Y78" s="50">
        <f t="shared" si="98"/>
        <v>0.16241891174775994</v>
      </c>
      <c r="Z78" s="50">
        <f t="shared" si="98"/>
        <v>0.16592713823841215</v>
      </c>
      <c r="AA78" s="50">
        <f t="shared" si="98"/>
        <v>0.15503030729929204</v>
      </c>
      <c r="AB78" s="50">
        <f t="shared" si="98"/>
        <v>0.15038885168584565</v>
      </c>
      <c r="AC78" s="50">
        <f t="shared" si="98"/>
        <v>0.14721753802525397</v>
      </c>
      <c r="AD78" s="50">
        <f t="shared" si="98"/>
        <v>0.14953288256132918</v>
      </c>
      <c r="AE78" s="50">
        <f t="shared" si="98"/>
        <v>0.15050066143018559</v>
      </c>
      <c r="AF78" s="50">
        <f t="shared" si="98"/>
        <v>0.14690270928736707</v>
      </c>
      <c r="AG78" s="50">
        <f t="shared" si="98"/>
        <v>0.15028174916904971</v>
      </c>
      <c r="AH78" s="50">
        <f t="shared" si="98"/>
        <v>0.14469562087182897</v>
      </c>
      <c r="AI78" s="50">
        <f t="shared" si="98"/>
        <v>0.13707956661818688</v>
      </c>
      <c r="AJ78" s="50">
        <f t="shared" si="98"/>
        <v>0.12774235715312726</v>
      </c>
      <c r="AK78" s="50">
        <f t="shared" si="98"/>
        <v>0.13407994874151102</v>
      </c>
      <c r="AL78" s="50">
        <f t="shared" si="98"/>
        <v>0.13010814777975185</v>
      </c>
      <c r="AM78" s="50">
        <f t="shared" si="98"/>
        <v>0.12359592396244462</v>
      </c>
      <c r="AN78" s="50">
        <f t="shared" si="98"/>
        <v>0.12025367241136331</v>
      </c>
      <c r="AO78" s="50">
        <f t="shared" si="98"/>
        <v>0.11936598603595407</v>
      </c>
      <c r="AP78" s="50">
        <f t="shared" si="98"/>
        <v>0.11364798306720354</v>
      </c>
      <c r="AQ78" s="50">
        <f t="shared" si="98"/>
        <v>0.10621662108499245</v>
      </c>
      <c r="AR78" s="50">
        <f t="shared" si="98"/>
        <v>0.10013802295799848</v>
      </c>
      <c r="AS78" s="50">
        <f t="shared" si="98"/>
        <v>0.10378102027102816</v>
      </c>
      <c r="AT78" s="50">
        <f t="shared" si="98"/>
        <v>9.6158505584508669E-2</v>
      </c>
      <c r="AU78" s="50">
        <f t="shared" si="98"/>
        <v>9.6371963055667101E-2</v>
      </c>
      <c r="AV78" s="50">
        <f t="shared" si="98"/>
        <v>9.1985718225434013E-2</v>
      </c>
      <c r="AW78" s="50">
        <f t="shared" si="98"/>
        <v>9.7459026175360369E-2</v>
      </c>
      <c r="AX78" s="50">
        <f t="shared" si="98"/>
        <v>9.2399840833759198E-2</v>
      </c>
      <c r="AY78" s="50">
        <f t="shared" si="98"/>
        <v>9.302738122339449E-2</v>
      </c>
      <c r="AZ78" s="50">
        <f t="shared" si="98"/>
        <v>9.699645216743133E-2</v>
      </c>
      <c r="BA78" s="50">
        <f t="shared" ref="BA78:BT78" si="99">BA21/BA29</f>
        <v>0.10632009451888175</v>
      </c>
      <c r="BB78" s="50">
        <f t="shared" si="99"/>
        <v>9.9390786237910422E-2</v>
      </c>
      <c r="BC78" s="50">
        <f t="shared" si="99"/>
        <v>9.4112829103298018E-2</v>
      </c>
      <c r="BD78" s="50">
        <f t="shared" si="99"/>
        <v>9.0199496427550652E-2</v>
      </c>
      <c r="BE78" s="50">
        <f t="shared" si="99"/>
        <v>8.44399810359516E-2</v>
      </c>
      <c r="BF78" s="50">
        <f t="shared" si="99"/>
        <v>8.0669086409271867E-2</v>
      </c>
      <c r="BG78" s="50">
        <f t="shared" si="99"/>
        <v>7.3987768273236304E-2</v>
      </c>
      <c r="BH78" s="50">
        <f t="shared" si="99"/>
        <v>6.3019635697320969E-2</v>
      </c>
      <c r="BI78" s="50">
        <f t="shared" si="99"/>
        <v>5.8351194626771172E-2</v>
      </c>
      <c r="BJ78" s="50">
        <f t="shared" si="99"/>
        <v>4.9042384453081421E-2</v>
      </c>
      <c r="BK78" s="50">
        <f t="shared" si="99"/>
        <v>4.5580542197974215E-2</v>
      </c>
      <c r="BL78" s="50">
        <f t="shared" si="99"/>
        <v>4.5816654746562095E-2</v>
      </c>
      <c r="BM78" s="50">
        <f t="shared" si="99"/>
        <v>4.8168254459165727E-2</v>
      </c>
      <c r="BN78" s="50">
        <f t="shared" si="99"/>
        <v>4.5147609342371407E-2</v>
      </c>
      <c r="BO78" s="50">
        <f t="shared" si="99"/>
        <v>4.6773336803731684E-2</v>
      </c>
      <c r="BP78" s="50">
        <f t="shared" si="99"/>
        <v>4.7054397189284128E-2</v>
      </c>
      <c r="BQ78" s="50">
        <f t="shared" si="99"/>
        <v>5.2171314755286101E-2</v>
      </c>
      <c r="BR78" s="50">
        <f t="shared" si="99"/>
        <v>5.5290349489293893E-2</v>
      </c>
      <c r="BS78" s="50">
        <f t="shared" si="99"/>
        <v>5.6436257001875968E-2</v>
      </c>
      <c r="BT78" s="50">
        <f t="shared" si="99"/>
        <v>5.7933381588967423E-2</v>
      </c>
    </row>
    <row r="79" spans="1:72" x14ac:dyDescent="0.25">
      <c r="A79" s="74">
        <v>79</v>
      </c>
      <c r="B79" s="43" t="s">
        <v>49</v>
      </c>
      <c r="C79" s="101"/>
      <c r="D79" s="43"/>
      <c r="E79" s="102"/>
      <c r="F79" s="316">
        <f>F20/F29</f>
        <v>0.57314735402774175</v>
      </c>
      <c r="G79" s="316">
        <f>G20/G29</f>
        <v>0.53729991936821442</v>
      </c>
      <c r="H79" s="51">
        <f t="shared" ref="H79" si="100">H20/H29</f>
        <v>0.56398156168174984</v>
      </c>
      <c r="I79" s="51">
        <f t="shared" ref="I79" si="101">I20/I29</f>
        <v>0.54482082384749353</v>
      </c>
      <c r="J79" s="51">
        <f t="shared" ref="J79:K79" si="102">J20/J29</f>
        <v>0.51992949296725877</v>
      </c>
      <c r="K79" s="51">
        <f t="shared" si="102"/>
        <v>0.49254887966427541</v>
      </c>
      <c r="L79" s="51">
        <f t="shared" ref="L79:T79" si="103">L20/L29</f>
        <v>0.49208831824671717</v>
      </c>
      <c r="M79" s="51">
        <f t="shared" si="103"/>
        <v>0.53413016476564812</v>
      </c>
      <c r="N79" s="51">
        <f t="shared" si="103"/>
        <v>0.49556568663937478</v>
      </c>
      <c r="O79" s="51">
        <f t="shared" si="103"/>
        <v>0.51693286506644753</v>
      </c>
      <c r="P79" s="51">
        <f t="shared" si="103"/>
        <v>0.47096950540148413</v>
      </c>
      <c r="Q79" s="51">
        <f t="shared" si="103"/>
        <v>0.48732946093142621</v>
      </c>
      <c r="R79" s="51">
        <f t="shared" si="103"/>
        <v>0.45550268899601526</v>
      </c>
      <c r="S79" s="51">
        <f t="shared" si="103"/>
        <v>0.50222309871275417</v>
      </c>
      <c r="T79" s="51">
        <f t="shared" si="103"/>
        <v>0.45080415427085208</v>
      </c>
      <c r="U79" s="415"/>
      <c r="V79" s="415"/>
      <c r="W79" s="415"/>
      <c r="X79" s="51">
        <f t="shared" ref="X79:AZ79" si="104">X20/X29</f>
        <v>0.43030442265901875</v>
      </c>
      <c r="Y79" s="51">
        <f t="shared" si="104"/>
        <v>0.45072565723654379</v>
      </c>
      <c r="Z79" s="51">
        <f t="shared" si="104"/>
        <v>0.46413315271190969</v>
      </c>
      <c r="AA79" s="51">
        <f t="shared" si="104"/>
        <v>0.44749438986929313</v>
      </c>
      <c r="AB79" s="51">
        <f t="shared" si="104"/>
        <v>0.42404211293200605</v>
      </c>
      <c r="AC79" s="51">
        <f t="shared" si="104"/>
        <v>0.44546003252710642</v>
      </c>
      <c r="AD79" s="51">
        <f t="shared" si="104"/>
        <v>0.41420173916559222</v>
      </c>
      <c r="AE79" s="51">
        <f t="shared" si="104"/>
        <v>0.4426412372080441</v>
      </c>
      <c r="AF79" s="51">
        <f t="shared" si="104"/>
        <v>0.39947739192223819</v>
      </c>
      <c r="AG79" s="51">
        <f t="shared" si="104"/>
        <v>0.3908395256004118</v>
      </c>
      <c r="AH79" s="51">
        <f t="shared" si="104"/>
        <v>0.35626167111412699</v>
      </c>
      <c r="AI79" s="51">
        <f t="shared" si="104"/>
        <v>0.37805348083856705</v>
      </c>
      <c r="AJ79" s="51">
        <f t="shared" si="104"/>
        <v>0.37534916454821038</v>
      </c>
      <c r="AK79" s="51">
        <f t="shared" si="104"/>
        <v>0.41815652866955677</v>
      </c>
      <c r="AL79" s="51">
        <f t="shared" si="104"/>
        <v>0.39827967389757651</v>
      </c>
      <c r="AM79" s="51">
        <f t="shared" si="104"/>
        <v>0.39075525125154825</v>
      </c>
      <c r="AN79" s="51">
        <f t="shared" si="104"/>
        <v>0.40411148565752308</v>
      </c>
      <c r="AO79" s="51">
        <f t="shared" si="104"/>
        <v>0.41399763374425175</v>
      </c>
      <c r="AP79" s="51">
        <f t="shared" si="104"/>
        <v>0.44218623133391932</v>
      </c>
      <c r="AQ79" s="51">
        <f t="shared" si="104"/>
        <v>0.44622881995693164</v>
      </c>
      <c r="AR79" s="51">
        <f t="shared" si="104"/>
        <v>0.44219841226294171</v>
      </c>
      <c r="AS79" s="51">
        <f t="shared" si="104"/>
        <v>0.47145082928579557</v>
      </c>
      <c r="AT79" s="51">
        <f t="shared" si="104"/>
        <v>0.47460802444330558</v>
      </c>
      <c r="AU79" s="51">
        <f t="shared" si="104"/>
        <v>0.49018256453744607</v>
      </c>
      <c r="AV79" s="51">
        <f t="shared" si="104"/>
        <v>0.50407026536267519</v>
      </c>
      <c r="AW79" s="51">
        <f t="shared" si="104"/>
        <v>0.51102493586834263</v>
      </c>
      <c r="AX79" s="51">
        <f t="shared" si="104"/>
        <v>0.4955932712962034</v>
      </c>
      <c r="AY79" s="51">
        <f t="shared" si="104"/>
        <v>0.50115101825794317</v>
      </c>
      <c r="AZ79" s="51">
        <f t="shared" si="104"/>
        <v>0.50756433064676076</v>
      </c>
      <c r="BA79" s="51">
        <f t="shared" ref="BA79:BT79" si="105">BA20/BA29</f>
        <v>0.51160915840651677</v>
      </c>
      <c r="BB79" s="51">
        <f t="shared" si="105"/>
        <v>0.49552241122347745</v>
      </c>
      <c r="BC79" s="51">
        <f t="shared" si="105"/>
        <v>0.52293800364330889</v>
      </c>
      <c r="BD79" s="51">
        <f t="shared" si="105"/>
        <v>0.52257633761289901</v>
      </c>
      <c r="BE79" s="51">
        <f t="shared" si="105"/>
        <v>0.55391070625808436</v>
      </c>
      <c r="BF79" s="51">
        <f t="shared" si="105"/>
        <v>0.57057660384305375</v>
      </c>
      <c r="BG79" s="51">
        <f t="shared" si="105"/>
        <v>0.58808924159671361</v>
      </c>
      <c r="BH79" s="51">
        <f t="shared" si="105"/>
        <v>0.56987817608529279</v>
      </c>
      <c r="BI79" s="51">
        <f t="shared" si="105"/>
        <v>0.64462320495352432</v>
      </c>
      <c r="BJ79" s="51">
        <f t="shared" si="105"/>
        <v>0.60199647303680615</v>
      </c>
      <c r="BK79" s="51">
        <f t="shared" si="105"/>
        <v>0.56784713681801435</v>
      </c>
      <c r="BL79" s="51">
        <f t="shared" si="105"/>
        <v>0.5902008850266327</v>
      </c>
      <c r="BM79" s="51">
        <f t="shared" si="105"/>
        <v>0.61681962090305864</v>
      </c>
      <c r="BN79" s="51">
        <f t="shared" si="105"/>
        <v>0.63399167159836856</v>
      </c>
      <c r="BO79" s="51">
        <f t="shared" si="105"/>
        <v>0.63506691159997219</v>
      </c>
      <c r="BP79" s="51">
        <f t="shared" si="105"/>
        <v>0.62357108053987675</v>
      </c>
      <c r="BQ79" s="51">
        <f t="shared" si="105"/>
        <v>0.66015711608521876</v>
      </c>
      <c r="BR79" s="51">
        <f t="shared" si="105"/>
        <v>0.60295949899800649</v>
      </c>
      <c r="BS79" s="51">
        <f t="shared" si="105"/>
        <v>0.63129614709254167</v>
      </c>
      <c r="BT79" s="51">
        <f t="shared" si="105"/>
        <v>0.61352770472984719</v>
      </c>
    </row>
    <row r="80" spans="1:72" x14ac:dyDescent="0.25">
      <c r="A80" s="74">
        <v>80</v>
      </c>
      <c r="B80" s="5" t="s">
        <v>47</v>
      </c>
      <c r="C80" s="99"/>
      <c r="D80" s="40"/>
      <c r="E80" s="100"/>
      <c r="F80" s="307">
        <f t="shared" ref="F80:G80" si="106">(F12+F24+F25+F26+F27+F28+F17)/F29</f>
        <v>3.6173477264886802E-2</v>
      </c>
      <c r="G80" s="307">
        <f t="shared" si="106"/>
        <v>3.3298127231644423E-2</v>
      </c>
      <c r="H80" s="13">
        <f t="shared" ref="H80" si="107">(H12+H24+H25+H26+H27+H28+H17)/H29</f>
        <v>3.6028853716497458E-2</v>
      </c>
      <c r="I80" s="13">
        <f t="shared" ref="I80" si="108">(I12+I24+I25+I26+I27+I28+I17)/I29</f>
        <v>3.3904441848384689E-2</v>
      </c>
      <c r="J80" s="13">
        <f t="shared" ref="J80:K80" si="109">(J12+J24+J25+J26+J27+J28+J17)/J29</f>
        <v>4.0749903603666177E-2</v>
      </c>
      <c r="K80" s="13">
        <f t="shared" si="109"/>
        <v>5.1935681936259206E-2</v>
      </c>
      <c r="L80" s="13">
        <f t="shared" ref="L80:T80" si="110">(L12+L24+L25+L26+L27+L28+L17)/L29</f>
        <v>4.1388847860795192E-2</v>
      </c>
      <c r="M80" s="13">
        <f t="shared" si="110"/>
        <v>4.6022411365832933E-2</v>
      </c>
      <c r="N80" s="13">
        <f t="shared" si="110"/>
        <v>4.8673241533308521E-2</v>
      </c>
      <c r="O80" s="13">
        <f t="shared" si="110"/>
        <v>4.2772150498554116E-2</v>
      </c>
      <c r="P80" s="13">
        <f t="shared" si="110"/>
        <v>3.6494776326915113E-2</v>
      </c>
      <c r="Q80" s="13">
        <f t="shared" si="110"/>
        <v>4.7165523959580985E-2</v>
      </c>
      <c r="R80" s="13">
        <f t="shared" si="110"/>
        <v>5.6270376459442141E-2</v>
      </c>
      <c r="S80" s="13">
        <f t="shared" si="110"/>
        <v>4.9265540774737951E-2</v>
      </c>
      <c r="T80" s="13">
        <f t="shared" si="110"/>
        <v>4.6494282933152553E-2</v>
      </c>
      <c r="U80" s="355"/>
      <c r="V80" s="355"/>
      <c r="W80" s="355"/>
      <c r="X80" s="13">
        <f t="shared" ref="X80:AZ80" si="111">(X12+X24+X25+X26+X27+X28+X17)/X29</f>
        <v>4.7734186003010458E-2</v>
      </c>
      <c r="Y80" s="13">
        <f t="shared" si="111"/>
        <v>4.7150697721014434E-2</v>
      </c>
      <c r="Z80" s="13">
        <f t="shared" si="111"/>
        <v>5.0245703102474074E-2</v>
      </c>
      <c r="AA80" s="13">
        <f t="shared" si="111"/>
        <v>5.0571424045451396E-2</v>
      </c>
      <c r="AB80" s="13">
        <f t="shared" si="111"/>
        <v>5.7093205263568723E-2</v>
      </c>
      <c r="AC80" s="13">
        <f t="shared" si="111"/>
        <v>6.467487241494925E-2</v>
      </c>
      <c r="AD80" s="13">
        <f t="shared" si="111"/>
        <v>6.5799384156350713E-2</v>
      </c>
      <c r="AE80" s="13">
        <f t="shared" si="111"/>
        <v>6.4564495692991247E-2</v>
      </c>
      <c r="AF80" s="13">
        <f t="shared" si="111"/>
        <v>6.0690378352269113E-2</v>
      </c>
      <c r="AG80" s="13">
        <f t="shared" si="111"/>
        <v>6.0403430144403768E-2</v>
      </c>
      <c r="AH80" s="13">
        <f t="shared" si="111"/>
        <v>5.3951213109987246E-2</v>
      </c>
      <c r="AI80" s="13">
        <f t="shared" si="111"/>
        <v>5.8433490997059072E-2</v>
      </c>
      <c r="AJ80" s="13">
        <f t="shared" si="111"/>
        <v>5.8693123284367169E-2</v>
      </c>
      <c r="AK80" s="13">
        <f t="shared" si="111"/>
        <v>5.6515712205540268E-2</v>
      </c>
      <c r="AL80" s="13">
        <f t="shared" si="111"/>
        <v>5.4718301898142342E-2</v>
      </c>
      <c r="AM80" s="13">
        <f t="shared" si="111"/>
        <v>5.3303103844417242E-2</v>
      </c>
      <c r="AN80" s="13">
        <f t="shared" si="111"/>
        <v>5.4809947064325709E-2</v>
      </c>
      <c r="AO80" s="13">
        <f t="shared" si="111"/>
        <v>5.8524723148210146E-2</v>
      </c>
      <c r="AP80" s="13">
        <f t="shared" si="111"/>
        <v>5.1496376691035677E-2</v>
      </c>
      <c r="AQ80" s="13">
        <f t="shared" si="111"/>
        <v>6.1083679278688088E-2</v>
      </c>
      <c r="AR80" s="13">
        <f t="shared" si="111"/>
        <v>5.9315837087104688E-2</v>
      </c>
      <c r="AS80" s="13">
        <f t="shared" si="111"/>
        <v>5.9906087665055528E-2</v>
      </c>
      <c r="AT80" s="13">
        <f t="shared" si="111"/>
        <v>5.3965499291679916E-2</v>
      </c>
      <c r="AU80" s="13">
        <f t="shared" si="111"/>
        <v>4.895010099817336E-2</v>
      </c>
      <c r="AV80" s="13">
        <f t="shared" si="111"/>
        <v>5.1505580698740915E-2</v>
      </c>
      <c r="AW80" s="13">
        <f t="shared" si="111"/>
        <v>6.0337320310427996E-2</v>
      </c>
      <c r="AX80" s="13">
        <f t="shared" si="111"/>
        <v>5.8231245707140007E-2</v>
      </c>
      <c r="AY80" s="13">
        <f t="shared" si="111"/>
        <v>6.9148231025473517E-2</v>
      </c>
      <c r="AZ80" s="13">
        <f t="shared" si="111"/>
        <v>7.9834001198044152E-2</v>
      </c>
      <c r="BA80" s="13">
        <f t="shared" ref="BA80:BT80" si="112">(BA12+BA24+BA25+BA26+BA27+BA28+BA17)/BA29</f>
        <v>5.6579523640525951E-2</v>
      </c>
      <c r="BB80" s="13">
        <f t="shared" si="112"/>
        <v>5.7103638634569152E-2</v>
      </c>
      <c r="BC80" s="13">
        <f t="shared" si="112"/>
        <v>5.2243011763273235E-2</v>
      </c>
      <c r="BD80" s="13">
        <f t="shared" si="112"/>
        <v>5.4614140368835148E-2</v>
      </c>
      <c r="BE80" s="13">
        <f t="shared" si="112"/>
        <v>6.3262203375852907E-2</v>
      </c>
      <c r="BF80" s="13">
        <f t="shared" si="112"/>
        <v>6.0553206672872784E-2</v>
      </c>
      <c r="BG80" s="13">
        <f t="shared" si="112"/>
        <v>6.4347718639973892E-2</v>
      </c>
      <c r="BH80" s="13">
        <f t="shared" si="112"/>
        <v>6.3046254646786148E-2</v>
      </c>
      <c r="BI80" s="13">
        <f t="shared" si="112"/>
        <v>7.1882819689366037E-2</v>
      </c>
      <c r="BJ80" s="13">
        <f t="shared" si="112"/>
        <v>7.3495213948175805E-2</v>
      </c>
      <c r="BK80" s="13">
        <f t="shared" si="112"/>
        <v>7.3768991764168901E-2</v>
      </c>
      <c r="BL80" s="13">
        <f t="shared" si="112"/>
        <v>7.7018994237850885E-2</v>
      </c>
      <c r="BM80" s="13">
        <f t="shared" si="112"/>
        <v>7.514745493293086E-2</v>
      </c>
      <c r="BN80" s="13">
        <f t="shared" si="112"/>
        <v>7.277400255101725E-2</v>
      </c>
      <c r="BO80" s="13">
        <f t="shared" si="112"/>
        <v>6.9877123623834608E-2</v>
      </c>
      <c r="BP80" s="13">
        <f t="shared" si="112"/>
        <v>6.8081470136798536E-2</v>
      </c>
      <c r="BQ80" s="13">
        <f t="shared" si="112"/>
        <v>7.1225232762179416E-2</v>
      </c>
      <c r="BR80" s="13">
        <f t="shared" si="112"/>
        <v>7.3068758316233245E-2</v>
      </c>
      <c r="BS80" s="13">
        <f t="shared" si="112"/>
        <v>7.2957451731321413E-2</v>
      </c>
      <c r="BT80" s="13">
        <f t="shared" si="112"/>
        <v>7.0274802452259977E-2</v>
      </c>
    </row>
    <row r="81" spans="1:72" ht="26.1" customHeight="1" x14ac:dyDescent="0.25">
      <c r="A81" s="74">
        <v>81</v>
      </c>
      <c r="B81" s="21" t="s">
        <v>50</v>
      </c>
      <c r="C81" s="103"/>
      <c r="D81" s="276"/>
      <c r="E81" s="104"/>
      <c r="F81" s="307">
        <f t="shared" ref="F81:G81" si="113">SUM(F73:F77,F80)</f>
        <v>1</v>
      </c>
      <c r="G81" s="307">
        <f t="shared" si="113"/>
        <v>1</v>
      </c>
      <c r="H81" s="13">
        <f t="shared" ref="H81" si="114">SUM(H73:H77,H80)</f>
        <v>1</v>
      </c>
      <c r="I81" s="13">
        <f t="shared" ref="I81" si="115">SUM(I73:I77,I80)</f>
        <v>1</v>
      </c>
      <c r="J81" s="13">
        <f t="shared" ref="J81:K81" si="116">SUM(J73:J77,J80)</f>
        <v>0.99999999999999989</v>
      </c>
      <c r="K81" s="13">
        <f t="shared" si="116"/>
        <v>0.99999999999999989</v>
      </c>
      <c r="L81" s="13">
        <f t="shared" ref="L81:AI81" si="117">SUM(L73:L77,L80)</f>
        <v>1</v>
      </c>
      <c r="M81" s="13">
        <f t="shared" si="117"/>
        <v>1</v>
      </c>
      <c r="N81" s="13">
        <f t="shared" si="117"/>
        <v>1</v>
      </c>
      <c r="O81" s="13">
        <f t="shared" si="117"/>
        <v>1</v>
      </c>
      <c r="P81" s="13">
        <f t="shared" si="117"/>
        <v>1</v>
      </c>
      <c r="Q81" s="13">
        <f t="shared" si="117"/>
        <v>1</v>
      </c>
      <c r="R81" s="13">
        <f t="shared" si="117"/>
        <v>1</v>
      </c>
      <c r="S81" s="13">
        <f t="shared" si="117"/>
        <v>1</v>
      </c>
      <c r="T81" s="13">
        <f t="shared" si="117"/>
        <v>1</v>
      </c>
      <c r="U81" s="355"/>
      <c r="V81" s="355"/>
      <c r="W81" s="355"/>
      <c r="X81" s="13">
        <f t="shared" si="117"/>
        <v>1</v>
      </c>
      <c r="Y81" s="13">
        <f t="shared" si="117"/>
        <v>1</v>
      </c>
      <c r="Z81" s="13">
        <f t="shared" si="117"/>
        <v>0.99999999999999989</v>
      </c>
      <c r="AA81" s="13">
        <f t="shared" si="117"/>
        <v>0.99999999999999978</v>
      </c>
      <c r="AB81" s="13">
        <f t="shared" si="117"/>
        <v>1</v>
      </c>
      <c r="AC81" s="13">
        <f t="shared" si="117"/>
        <v>1</v>
      </c>
      <c r="AD81" s="13">
        <f t="shared" si="117"/>
        <v>1</v>
      </c>
      <c r="AE81" s="13">
        <f t="shared" si="117"/>
        <v>1</v>
      </c>
      <c r="AF81" s="13">
        <f t="shared" si="117"/>
        <v>1</v>
      </c>
      <c r="AG81" s="13">
        <f t="shared" si="117"/>
        <v>0.99999999999999989</v>
      </c>
      <c r="AH81" s="13">
        <f t="shared" si="117"/>
        <v>1</v>
      </c>
      <c r="AI81" s="13">
        <f t="shared" si="117"/>
        <v>0.99999999999999989</v>
      </c>
      <c r="AJ81" s="13">
        <f t="shared" ref="AJ81:AO81" si="118">SUM(AJ73:AJ77,AJ80)</f>
        <v>0.99999999999999989</v>
      </c>
      <c r="AK81" s="13">
        <f t="shared" si="118"/>
        <v>0.99999999999999989</v>
      </c>
      <c r="AL81" s="13">
        <f t="shared" si="118"/>
        <v>1</v>
      </c>
      <c r="AM81" s="13">
        <f t="shared" si="118"/>
        <v>1</v>
      </c>
      <c r="AN81" s="13">
        <f t="shared" si="118"/>
        <v>1</v>
      </c>
      <c r="AO81" s="13">
        <f t="shared" si="118"/>
        <v>1.0000000000000002</v>
      </c>
      <c r="AP81" s="13">
        <f>SUM(AP73:AP77,AP80)</f>
        <v>1.0000000000000002</v>
      </c>
      <c r="AQ81" s="13">
        <f t="shared" ref="AQ81:AV81" si="119">SUM(AQ73:AQ77,AQ80)</f>
        <v>0.99999999999999989</v>
      </c>
      <c r="AR81" s="13">
        <f t="shared" si="119"/>
        <v>1</v>
      </c>
      <c r="AS81" s="13">
        <f t="shared" si="119"/>
        <v>0.99999999999999989</v>
      </c>
      <c r="AT81" s="13">
        <f t="shared" si="119"/>
        <v>0.99999999999999989</v>
      </c>
      <c r="AU81" s="13">
        <f t="shared" si="119"/>
        <v>0.99999999999999989</v>
      </c>
      <c r="AV81" s="13">
        <f t="shared" si="119"/>
        <v>0.99999999999999989</v>
      </c>
      <c r="AW81" s="13">
        <f t="shared" ref="AW81:BB81" si="120">SUM(AW73:AW77,AW80)</f>
        <v>1</v>
      </c>
      <c r="AX81" s="13">
        <f t="shared" si="120"/>
        <v>1</v>
      </c>
      <c r="AY81" s="13">
        <f t="shared" si="120"/>
        <v>0.99999999999999989</v>
      </c>
      <c r="AZ81" s="13">
        <f t="shared" si="120"/>
        <v>1</v>
      </c>
      <c r="BA81" s="13">
        <f t="shared" si="120"/>
        <v>1</v>
      </c>
      <c r="BB81" s="13">
        <f t="shared" si="120"/>
        <v>0.99999999999999978</v>
      </c>
      <c r="BC81" s="13">
        <f t="shared" ref="BC81:BI81" si="121">SUM(BC73:BC77,BC80)</f>
        <v>0.99999999999999989</v>
      </c>
      <c r="BD81" s="13">
        <f t="shared" si="121"/>
        <v>1.0000000000000002</v>
      </c>
      <c r="BE81" s="13">
        <f t="shared" si="121"/>
        <v>0.99999999999999989</v>
      </c>
      <c r="BF81" s="13">
        <f t="shared" si="121"/>
        <v>1</v>
      </c>
      <c r="BG81" s="13">
        <f t="shared" si="121"/>
        <v>1</v>
      </c>
      <c r="BH81" s="13">
        <f t="shared" si="121"/>
        <v>0.99999999999999989</v>
      </c>
      <c r="BI81" s="13">
        <f t="shared" si="121"/>
        <v>0.99999999999999989</v>
      </c>
      <c r="BJ81" s="13">
        <f t="shared" ref="BJ81:BT81" si="122">SUM(BJ73:BJ77,BJ80)</f>
        <v>0.99999999999999989</v>
      </c>
      <c r="BK81" s="13">
        <f t="shared" si="122"/>
        <v>1</v>
      </c>
      <c r="BL81" s="13">
        <f t="shared" si="122"/>
        <v>1</v>
      </c>
      <c r="BM81" s="13">
        <f t="shared" si="122"/>
        <v>0.99999999999999989</v>
      </c>
      <c r="BN81" s="13">
        <f t="shared" si="122"/>
        <v>1</v>
      </c>
      <c r="BO81" s="13">
        <f t="shared" si="122"/>
        <v>0.99999999999999989</v>
      </c>
      <c r="BP81" s="13">
        <f t="shared" si="122"/>
        <v>1</v>
      </c>
      <c r="BQ81" s="13">
        <f t="shared" si="122"/>
        <v>1.0000000000000002</v>
      </c>
      <c r="BR81" s="13">
        <f t="shared" si="122"/>
        <v>1</v>
      </c>
      <c r="BS81" s="13">
        <f t="shared" si="122"/>
        <v>1</v>
      </c>
      <c r="BT81" s="13">
        <f t="shared" si="122"/>
        <v>0.99999999999999978</v>
      </c>
    </row>
    <row r="82" spans="1:72" x14ac:dyDescent="0.25">
      <c r="A82" s="74">
        <v>82</v>
      </c>
      <c r="F82" s="301"/>
      <c r="G82" s="30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</row>
    <row r="83" spans="1:72" x14ac:dyDescent="0.25">
      <c r="A83" s="74">
        <v>83</v>
      </c>
      <c r="F83" s="301"/>
      <c r="G83" s="30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</row>
    <row r="84" spans="1:72" x14ac:dyDescent="0.25">
      <c r="A84" s="74">
        <v>84</v>
      </c>
      <c r="F84" s="301"/>
      <c r="G84" s="30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</row>
    <row r="85" spans="1:72" x14ac:dyDescent="0.25">
      <c r="A85" s="74">
        <v>85</v>
      </c>
      <c r="B85" s="461" t="s">
        <v>61</v>
      </c>
      <c r="C85" s="463"/>
      <c r="D85" s="222"/>
      <c r="E85" s="465"/>
      <c r="F85" s="479">
        <v>46203</v>
      </c>
      <c r="G85" s="479">
        <v>46112</v>
      </c>
      <c r="H85" s="446">
        <v>46022</v>
      </c>
      <c r="I85" s="446">
        <v>45930</v>
      </c>
      <c r="J85" s="446">
        <v>45838</v>
      </c>
      <c r="K85" s="446">
        <v>45747</v>
      </c>
      <c r="L85" s="446">
        <v>45657</v>
      </c>
      <c r="M85" s="446">
        <v>45565</v>
      </c>
      <c r="N85" s="446">
        <v>45473</v>
      </c>
      <c r="O85" s="446">
        <v>45382</v>
      </c>
      <c r="P85" s="446">
        <v>45291</v>
      </c>
      <c r="Q85" s="446">
        <v>45199</v>
      </c>
      <c r="R85" s="446">
        <v>45107</v>
      </c>
      <c r="S85" s="446">
        <v>45016</v>
      </c>
      <c r="T85" s="446">
        <v>44926</v>
      </c>
      <c r="U85" s="446">
        <v>44834</v>
      </c>
      <c r="V85" s="446">
        <v>44742</v>
      </c>
      <c r="W85" s="446">
        <v>44651</v>
      </c>
      <c r="X85" s="446">
        <v>44561</v>
      </c>
      <c r="Y85" s="446">
        <v>44469</v>
      </c>
      <c r="Z85" s="446">
        <v>44377</v>
      </c>
      <c r="AA85" s="446">
        <v>44286</v>
      </c>
      <c r="AB85" s="446">
        <v>44196</v>
      </c>
      <c r="AC85" s="446">
        <v>44104</v>
      </c>
      <c r="AD85" s="446">
        <v>44012</v>
      </c>
      <c r="AE85" s="446">
        <v>43921</v>
      </c>
      <c r="AF85" s="446">
        <v>43830</v>
      </c>
      <c r="AG85" s="446">
        <v>43738</v>
      </c>
      <c r="AH85" s="446">
        <v>43646</v>
      </c>
      <c r="AI85" s="446">
        <v>43555</v>
      </c>
      <c r="AJ85" s="446">
        <v>43465</v>
      </c>
      <c r="AK85" s="446">
        <v>43373</v>
      </c>
      <c r="AL85" s="446">
        <v>43281</v>
      </c>
      <c r="AM85" s="446">
        <v>43190</v>
      </c>
      <c r="AN85" s="446">
        <v>43100</v>
      </c>
      <c r="AO85" s="446">
        <v>43008</v>
      </c>
      <c r="AP85" s="446">
        <v>42916</v>
      </c>
      <c r="AQ85" s="446">
        <v>42825</v>
      </c>
      <c r="AR85" s="446">
        <v>42735</v>
      </c>
      <c r="AS85" s="446">
        <v>42643</v>
      </c>
      <c r="AT85" s="446">
        <v>42551</v>
      </c>
      <c r="AU85" s="446">
        <v>42460</v>
      </c>
      <c r="AV85" s="446">
        <v>42369</v>
      </c>
      <c r="AW85" s="446">
        <v>42277</v>
      </c>
      <c r="AX85" s="446">
        <v>42185</v>
      </c>
      <c r="AY85" s="446">
        <v>42094</v>
      </c>
      <c r="AZ85" s="446">
        <v>42004</v>
      </c>
      <c r="BA85" s="446">
        <v>41912</v>
      </c>
      <c r="BB85" s="446">
        <v>41820</v>
      </c>
      <c r="BC85" s="446">
        <v>41729</v>
      </c>
      <c r="BD85" s="446">
        <v>41639</v>
      </c>
      <c r="BE85" s="446">
        <v>41547</v>
      </c>
      <c r="BF85" s="446">
        <v>41455</v>
      </c>
      <c r="BG85" s="459">
        <v>41364</v>
      </c>
      <c r="BH85" s="459">
        <v>41274</v>
      </c>
      <c r="BI85" s="446">
        <v>41182</v>
      </c>
      <c r="BJ85" s="446">
        <v>41090</v>
      </c>
      <c r="BK85" s="446">
        <v>40999</v>
      </c>
      <c r="BL85" s="446">
        <v>40908</v>
      </c>
      <c r="BM85" s="446">
        <v>40816</v>
      </c>
      <c r="BN85" s="446">
        <v>40724</v>
      </c>
      <c r="BO85" s="446">
        <v>40633</v>
      </c>
      <c r="BP85" s="446">
        <v>40543</v>
      </c>
      <c r="BQ85" s="446">
        <v>40451</v>
      </c>
      <c r="BR85" s="446">
        <v>40359</v>
      </c>
      <c r="BS85" s="446">
        <v>40268</v>
      </c>
      <c r="BT85" s="446">
        <v>40178</v>
      </c>
    </row>
    <row r="86" spans="1:72" x14ac:dyDescent="0.25">
      <c r="A86" s="74">
        <v>86</v>
      </c>
      <c r="B86" s="462"/>
      <c r="C86" s="464"/>
      <c r="D86" s="274"/>
      <c r="E86" s="466"/>
      <c r="F86" s="480"/>
      <c r="G86" s="480"/>
      <c r="H86" s="447"/>
      <c r="I86" s="447"/>
      <c r="J86" s="447"/>
      <c r="K86" s="447"/>
      <c r="L86" s="447"/>
      <c r="M86" s="447"/>
      <c r="N86" s="447"/>
      <c r="O86" s="447"/>
      <c r="P86" s="447"/>
      <c r="Q86" s="447"/>
      <c r="R86" s="447"/>
      <c r="S86" s="447"/>
      <c r="T86" s="447"/>
      <c r="U86" s="447"/>
      <c r="V86" s="447"/>
      <c r="W86" s="447"/>
      <c r="X86" s="447"/>
      <c r="Y86" s="447"/>
      <c r="Z86" s="447"/>
      <c r="AA86" s="447"/>
      <c r="AB86" s="447"/>
      <c r="AC86" s="448"/>
      <c r="AD86" s="447"/>
      <c r="AE86" s="448"/>
      <c r="AF86" s="447"/>
      <c r="AG86" s="447"/>
      <c r="AH86" s="447"/>
      <c r="AI86" s="447"/>
      <c r="AJ86" s="447"/>
      <c r="AK86" s="447"/>
      <c r="AL86" s="447"/>
      <c r="AM86" s="447"/>
      <c r="AN86" s="447"/>
      <c r="AO86" s="447"/>
      <c r="AP86" s="447"/>
      <c r="AQ86" s="447"/>
      <c r="AR86" s="447"/>
      <c r="AS86" s="447"/>
      <c r="AT86" s="447"/>
      <c r="AU86" s="447"/>
      <c r="AV86" s="447"/>
      <c r="AW86" s="447"/>
      <c r="AX86" s="447"/>
      <c r="AY86" s="447"/>
      <c r="AZ86" s="447"/>
      <c r="BA86" s="447"/>
      <c r="BB86" s="447"/>
      <c r="BC86" s="447"/>
      <c r="BD86" s="447"/>
      <c r="BE86" s="447"/>
      <c r="BF86" s="447"/>
      <c r="BG86" s="460"/>
      <c r="BH86" s="460"/>
      <c r="BI86" s="447"/>
      <c r="BJ86" s="447"/>
      <c r="BK86" s="447"/>
      <c r="BL86" s="447"/>
      <c r="BM86" s="447"/>
      <c r="BN86" s="447"/>
      <c r="BO86" s="447"/>
      <c r="BP86" s="447"/>
      <c r="BQ86" s="447"/>
      <c r="BR86" s="447"/>
      <c r="BS86" s="447"/>
      <c r="BT86" s="447"/>
    </row>
    <row r="87" spans="1:72" ht="9.75" customHeight="1" x14ac:dyDescent="0.25">
      <c r="A87" s="74">
        <v>87</v>
      </c>
      <c r="C87" s="97"/>
      <c r="D87" s="39"/>
      <c r="E87" s="98"/>
      <c r="F87" s="305"/>
      <c r="G87" s="305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</row>
    <row r="88" spans="1:72" x14ac:dyDescent="0.25">
      <c r="A88" s="74">
        <v>88</v>
      </c>
      <c r="B88" s="5" t="s">
        <v>32</v>
      </c>
      <c r="C88" s="99"/>
      <c r="D88" s="40"/>
      <c r="E88" s="100"/>
      <c r="F88" s="307">
        <f t="shared" ref="F88:G88" si="123">F36/F59</f>
        <v>0.14547399384944512</v>
      </c>
      <c r="G88" s="307">
        <f t="shared" si="123"/>
        <v>0.17059546178749826</v>
      </c>
      <c r="H88" s="13">
        <f t="shared" ref="H88" si="124">H36/H59</f>
        <v>0.13318231005874745</v>
      </c>
      <c r="I88" s="13">
        <f t="shared" ref="I88" si="125">I36/I59</f>
        <v>0.18726654858781985</v>
      </c>
      <c r="J88" s="13">
        <f t="shared" ref="J88:K88" si="126">J36/J59</f>
        <v>0.20457098242832544</v>
      </c>
      <c r="K88" s="13">
        <f t="shared" si="126"/>
        <v>0.14430018595001565</v>
      </c>
      <c r="L88" s="13">
        <f t="shared" ref="L88:AG88" si="127">L36/L59</f>
        <v>0.16727857137833294</v>
      </c>
      <c r="M88" s="13">
        <f t="shared" si="127"/>
        <v>0.17791779929599519</v>
      </c>
      <c r="N88" s="13">
        <f t="shared" si="127"/>
        <v>0.18592203200595459</v>
      </c>
      <c r="O88" s="13">
        <f t="shared" si="127"/>
        <v>0.1480759050613909</v>
      </c>
      <c r="P88" s="13">
        <f t="shared" si="127"/>
        <v>0.19725584553892833</v>
      </c>
      <c r="Q88" s="13">
        <f t="shared" si="127"/>
        <v>0.15174418544464124</v>
      </c>
      <c r="R88" s="13">
        <f t="shared" si="127"/>
        <v>0.10294117647058823</v>
      </c>
      <c r="S88" s="13">
        <f t="shared" si="127"/>
        <v>8.0856251568718854E-2</v>
      </c>
      <c r="T88" s="13">
        <f t="shared" si="127"/>
        <v>2.3844046851711306E-2</v>
      </c>
      <c r="U88" s="355"/>
      <c r="V88" s="355"/>
      <c r="W88" s="355"/>
      <c r="X88" s="13">
        <f t="shared" si="127"/>
        <v>0.2111261340996313</v>
      </c>
      <c r="Y88" s="13">
        <f t="shared" si="127"/>
        <v>0.20979792253645557</v>
      </c>
      <c r="Z88" s="13">
        <f t="shared" si="127"/>
        <v>0.18010202966289082</v>
      </c>
      <c r="AA88" s="13">
        <f t="shared" si="127"/>
        <v>0.18585372181260842</v>
      </c>
      <c r="AB88" s="13">
        <f t="shared" si="127"/>
        <v>0.19321526046010351</v>
      </c>
      <c r="AC88" s="13">
        <f t="shared" si="127"/>
        <v>0.1861581830326384</v>
      </c>
      <c r="AD88" s="13">
        <f t="shared" si="127"/>
        <v>0.19891074055779584</v>
      </c>
      <c r="AE88" s="13">
        <f t="shared" si="127"/>
        <v>0.1911981766250615</v>
      </c>
      <c r="AF88" s="13">
        <f t="shared" si="127"/>
        <v>0.23538406285724572</v>
      </c>
      <c r="AG88" s="13">
        <f t="shared" si="127"/>
        <v>0.21821527541459726</v>
      </c>
      <c r="AH88" s="13">
        <f t="shared" ref="AH88:BT88" si="128">AH36/AH59</f>
        <v>0.24161013602742495</v>
      </c>
      <c r="AI88" s="13">
        <f t="shared" si="128"/>
        <v>0.21033905652985041</v>
      </c>
      <c r="AJ88" s="13">
        <f t="shared" si="128"/>
        <v>0.21950953093443207</v>
      </c>
      <c r="AK88" s="13">
        <f t="shared" si="128"/>
        <v>0.2166718365848575</v>
      </c>
      <c r="AL88" s="13">
        <f t="shared" si="128"/>
        <v>0.25084754599652276</v>
      </c>
      <c r="AM88" s="13">
        <f t="shared" si="128"/>
        <v>0.26041320776826415</v>
      </c>
      <c r="AN88" s="13">
        <f t="shared" si="128"/>
        <v>0.24540237346025925</v>
      </c>
      <c r="AO88" s="13">
        <f t="shared" si="128"/>
        <v>0.25110826928070307</v>
      </c>
      <c r="AP88" s="13">
        <f t="shared" si="128"/>
        <v>0.26432351718967995</v>
      </c>
      <c r="AQ88" s="13">
        <f t="shared" si="128"/>
        <v>0.24668935832308592</v>
      </c>
      <c r="AR88" s="13">
        <f t="shared" si="128"/>
        <v>0.22699396843826664</v>
      </c>
      <c r="AS88" s="13">
        <f t="shared" si="128"/>
        <v>0.23733988340777928</v>
      </c>
      <c r="AT88" s="13">
        <f t="shared" si="128"/>
        <v>0.26717387241079787</v>
      </c>
      <c r="AU88" s="13">
        <f t="shared" si="128"/>
        <v>0.26265155366803683</v>
      </c>
      <c r="AV88" s="13">
        <f t="shared" si="128"/>
        <v>0.2405910707966864</v>
      </c>
      <c r="AW88" s="13">
        <f t="shared" si="128"/>
        <v>0.21523515433829035</v>
      </c>
      <c r="AX88" s="13">
        <f t="shared" si="128"/>
        <v>0.23429764663274313</v>
      </c>
      <c r="AY88" s="13">
        <f t="shared" si="128"/>
        <v>0.22303010725742003</v>
      </c>
      <c r="AZ88" s="13">
        <f t="shared" si="128"/>
        <v>0.19669605156363548</v>
      </c>
      <c r="BA88" s="13">
        <f t="shared" si="128"/>
        <v>0.18674934588278996</v>
      </c>
      <c r="BB88" s="13">
        <f t="shared" si="128"/>
        <v>0.20456170302908991</v>
      </c>
      <c r="BC88" s="13">
        <f t="shared" si="128"/>
        <v>0.17480332891952458</v>
      </c>
      <c r="BD88" s="13">
        <f t="shared" si="128"/>
        <v>0.17229394863546751</v>
      </c>
      <c r="BE88" s="13">
        <f t="shared" si="128"/>
        <v>0.16638632437765191</v>
      </c>
      <c r="BF88" s="13">
        <f t="shared" si="128"/>
        <v>0.1465888215292101</v>
      </c>
      <c r="BG88" s="13">
        <f t="shared" si="128"/>
        <v>0.12302136131299657</v>
      </c>
      <c r="BH88" s="13">
        <f t="shared" si="128"/>
        <v>0.14871748361772716</v>
      </c>
      <c r="BI88" s="13">
        <f t="shared" si="128"/>
        <v>8.4432426263354662E-2</v>
      </c>
      <c r="BJ88" s="13">
        <f t="shared" si="128"/>
        <v>0.14212569441014916</v>
      </c>
      <c r="BK88" s="13">
        <f t="shared" si="128"/>
        <v>0.15151735182359841</v>
      </c>
      <c r="BL88" s="13">
        <f t="shared" si="128"/>
        <v>8.2412538306949459E-2</v>
      </c>
      <c r="BM88" s="13">
        <f t="shared" si="128"/>
        <v>5.0834906668480624E-2</v>
      </c>
      <c r="BN88" s="13">
        <f t="shared" si="128"/>
        <v>6.1780143290308245E-2</v>
      </c>
      <c r="BO88" s="13">
        <f t="shared" si="128"/>
        <v>7.8074799632435757E-2</v>
      </c>
      <c r="BP88" s="13">
        <f t="shared" si="128"/>
        <v>4.1548171579073485E-2</v>
      </c>
      <c r="BQ88" s="13">
        <f t="shared" si="128"/>
        <v>6.6333857012123701E-2</v>
      </c>
      <c r="BR88" s="13">
        <f t="shared" si="128"/>
        <v>8.2360547502428633E-2</v>
      </c>
      <c r="BS88" s="13">
        <f t="shared" si="128"/>
        <v>8.4478930332831464E-2</v>
      </c>
      <c r="BT88" s="13">
        <f t="shared" si="128"/>
        <v>6.7917713929090351E-2</v>
      </c>
    </row>
    <row r="89" spans="1:72" x14ac:dyDescent="0.25">
      <c r="A89" s="74">
        <v>89</v>
      </c>
      <c r="B89" s="5" t="s">
        <v>1</v>
      </c>
      <c r="C89" s="99"/>
      <c r="D89" s="40"/>
      <c r="E89" s="100"/>
      <c r="F89" s="307">
        <f t="shared" ref="F89:G89" si="129">(F37+F43)/F59</f>
        <v>0.67174238881760273</v>
      </c>
      <c r="G89" s="307">
        <f t="shared" si="129"/>
        <v>0.64845403090717579</v>
      </c>
      <c r="H89" s="13">
        <f t="shared" ref="H89" si="130">(H37+H43)/H59</f>
        <v>0.68004968757634454</v>
      </c>
      <c r="I89" s="13">
        <f t="shared" ref="I89" si="131">(I37+I43)/I59</f>
        <v>0.63279843172375161</v>
      </c>
      <c r="J89" s="13">
        <f t="shared" ref="J89:K89" si="132">(J37+J43)/J59</f>
        <v>0.60446768068425027</v>
      </c>
      <c r="K89" s="13">
        <f t="shared" si="132"/>
        <v>0.63703449084156816</v>
      </c>
      <c r="L89" s="13">
        <f t="shared" ref="L89:AG89" si="133">(L37+L43)/L59</f>
        <v>0.6292384951364125</v>
      </c>
      <c r="M89" s="13">
        <f t="shared" si="133"/>
        <v>0.59687582206967393</v>
      </c>
      <c r="N89" s="13">
        <f t="shared" si="133"/>
        <v>0.60888630442873093</v>
      </c>
      <c r="O89" s="13">
        <f t="shared" si="133"/>
        <v>0.64025291152442199</v>
      </c>
      <c r="P89" s="13">
        <f t="shared" si="133"/>
        <v>0.61581080902145269</v>
      </c>
      <c r="Q89" s="13">
        <f t="shared" si="133"/>
        <v>0.63383855376037412</v>
      </c>
      <c r="R89" s="13">
        <f t="shared" si="133"/>
        <v>0.67278076555112809</v>
      </c>
      <c r="S89" s="13">
        <f t="shared" si="133"/>
        <v>0.70261871466647541</v>
      </c>
      <c r="T89" s="13">
        <f t="shared" si="133"/>
        <v>0.77033320664483174</v>
      </c>
      <c r="U89" s="355"/>
      <c r="V89" s="355"/>
      <c r="W89" s="355"/>
      <c r="X89" s="13">
        <f t="shared" si="133"/>
        <v>0.63418688179251459</v>
      </c>
      <c r="Y89" s="13">
        <f t="shared" si="133"/>
        <v>0.63890941905824705</v>
      </c>
      <c r="Z89" s="13">
        <f t="shared" si="133"/>
        <v>0.66774053546783751</v>
      </c>
      <c r="AA89" s="13">
        <f t="shared" si="133"/>
        <v>0.66402922647162455</v>
      </c>
      <c r="AB89" s="13">
        <f t="shared" si="133"/>
        <v>0.65605900630899705</v>
      </c>
      <c r="AC89" s="13">
        <f t="shared" si="133"/>
        <v>0.65879543941122642</v>
      </c>
      <c r="AD89" s="13">
        <f t="shared" si="133"/>
        <v>0.64383299038718766</v>
      </c>
      <c r="AE89" s="13">
        <f t="shared" si="133"/>
        <v>0.65011010645690026</v>
      </c>
      <c r="AF89" s="13">
        <f t="shared" si="133"/>
        <v>0.61986756949362221</v>
      </c>
      <c r="AG89" s="13">
        <f t="shared" si="133"/>
        <v>0.63571565352136428</v>
      </c>
      <c r="AH89" s="13">
        <f t="shared" ref="AH89:BT89" si="134">(AH37+AH43)/AH59</f>
        <v>0.60803547971549754</v>
      </c>
      <c r="AI89" s="13">
        <f t="shared" si="134"/>
        <v>0.62276862532159094</v>
      </c>
      <c r="AJ89" s="13">
        <f t="shared" si="134"/>
        <v>0.61592478324685362</v>
      </c>
      <c r="AK89" s="13">
        <f t="shared" si="134"/>
        <v>0.62004227960809222</v>
      </c>
      <c r="AL89" s="13">
        <f t="shared" si="134"/>
        <v>0.60107380325227167</v>
      </c>
      <c r="AM89" s="13">
        <f t="shared" si="134"/>
        <v>0.58639044589830702</v>
      </c>
      <c r="AN89" s="13">
        <f t="shared" si="134"/>
        <v>0.59358973464710663</v>
      </c>
      <c r="AO89" s="13">
        <f t="shared" si="134"/>
        <v>0.58607237650825206</v>
      </c>
      <c r="AP89" s="13">
        <f t="shared" si="134"/>
        <v>0.57667737400853591</v>
      </c>
      <c r="AQ89" s="13">
        <f t="shared" si="134"/>
        <v>0.59351168531598442</v>
      </c>
      <c r="AR89" s="13">
        <f t="shared" si="134"/>
        <v>0.6166376833332553</v>
      </c>
      <c r="AS89" s="13">
        <f t="shared" si="134"/>
        <v>0.61043230259409142</v>
      </c>
      <c r="AT89" s="13">
        <f t="shared" si="134"/>
        <v>0.5904039094385497</v>
      </c>
      <c r="AU89" s="13">
        <f t="shared" si="134"/>
        <v>0.5878014478192215</v>
      </c>
      <c r="AV89" s="13">
        <f t="shared" si="134"/>
        <v>0.60978491035900328</v>
      </c>
      <c r="AW89" s="13">
        <f t="shared" si="134"/>
        <v>0.62246185802190479</v>
      </c>
      <c r="AX89" s="13">
        <f t="shared" si="134"/>
        <v>0.60406862682036111</v>
      </c>
      <c r="AY89" s="13">
        <f t="shared" si="134"/>
        <v>0.60887731108855392</v>
      </c>
      <c r="AZ89" s="13">
        <f t="shared" si="134"/>
        <v>0.62286733429812091</v>
      </c>
      <c r="BA89" s="13">
        <f t="shared" si="134"/>
        <v>0.6345086193461581</v>
      </c>
      <c r="BB89" s="13">
        <f t="shared" si="134"/>
        <v>0.60827465468015274</v>
      </c>
      <c r="BC89" s="13">
        <f t="shared" si="134"/>
        <v>0.6365990938494086</v>
      </c>
      <c r="BD89" s="13">
        <f t="shared" si="134"/>
        <v>0.63903363069955155</v>
      </c>
      <c r="BE89" s="13">
        <f t="shared" si="134"/>
        <v>0.65045430534236137</v>
      </c>
      <c r="BF89" s="13">
        <f t="shared" si="134"/>
        <v>0.6642811973295667</v>
      </c>
      <c r="BG89" s="13">
        <f t="shared" si="134"/>
        <v>0.67689362585465862</v>
      </c>
      <c r="BH89" s="13">
        <f t="shared" si="134"/>
        <v>0.64901247354636948</v>
      </c>
      <c r="BI89" s="13">
        <f t="shared" si="134"/>
        <v>0.70832884895896753</v>
      </c>
      <c r="BJ89" s="13">
        <f t="shared" si="134"/>
        <v>0.66608825358948764</v>
      </c>
      <c r="BK89" s="13">
        <f t="shared" si="134"/>
        <v>0.6588551522180176</v>
      </c>
      <c r="BL89" s="13">
        <f t="shared" si="134"/>
        <v>0.71525879657934555</v>
      </c>
      <c r="BM89" s="13">
        <f t="shared" si="134"/>
        <v>0.72576339942844548</v>
      </c>
      <c r="BN89" s="13">
        <f t="shared" si="134"/>
        <v>0.72667149427897459</v>
      </c>
      <c r="BO89" s="13">
        <f t="shared" si="134"/>
        <v>0.70816152531768473</v>
      </c>
      <c r="BP89" s="13">
        <f t="shared" si="134"/>
        <v>0.74162309105183766</v>
      </c>
      <c r="BQ89" s="13">
        <f t="shared" si="134"/>
        <v>0.72361953762731679</v>
      </c>
      <c r="BR89" s="13">
        <f t="shared" si="134"/>
        <v>0.73176324868284426</v>
      </c>
      <c r="BS89" s="13">
        <f t="shared" si="134"/>
        <v>0.74521455385015145</v>
      </c>
      <c r="BT89" s="13">
        <f t="shared" si="134"/>
        <v>0.76882930230145763</v>
      </c>
    </row>
    <row r="90" spans="1:72" x14ac:dyDescent="0.25">
      <c r="A90" s="74">
        <v>90</v>
      </c>
      <c r="B90" s="43" t="s">
        <v>154</v>
      </c>
      <c r="C90" s="101"/>
      <c r="D90" s="43"/>
      <c r="E90" s="102"/>
      <c r="F90" s="315">
        <f t="shared" ref="F90:G90" si="135">(F38+F43)/F59</f>
        <v>0.25747673596567627</v>
      </c>
      <c r="G90" s="315">
        <f t="shared" si="135"/>
        <v>0.2649885011750126</v>
      </c>
      <c r="H90" s="50">
        <f t="shared" ref="H90" si="136">(H38+H43)/H59</f>
        <v>0.28079071252811583</v>
      </c>
      <c r="I90" s="50">
        <f t="shared" ref="I90" si="137">(I38+I43)/I59</f>
        <v>0.26920720916433721</v>
      </c>
      <c r="J90" s="50">
        <f t="shared" ref="J90:K90" si="138">(J38+J43)/J59</f>
        <v>0.21592698945667593</v>
      </c>
      <c r="K90" s="50">
        <f t="shared" si="138"/>
        <v>0.23283460944374182</v>
      </c>
      <c r="L90" s="50">
        <f t="shared" ref="L90:Z90" si="139">(L38+L43)/L59</f>
        <v>0.24554083233107563</v>
      </c>
      <c r="M90" s="50">
        <f t="shared" si="139"/>
        <v>0.23568261774928526</v>
      </c>
      <c r="N90" s="50">
        <f t="shared" si="139"/>
        <v>0.24199851135094902</v>
      </c>
      <c r="O90" s="50">
        <f t="shared" si="139"/>
        <v>0.24493248581767615</v>
      </c>
      <c r="P90" s="50">
        <f t="shared" si="139"/>
        <v>0.24166132287652914</v>
      </c>
      <c r="Q90" s="50">
        <f t="shared" si="139"/>
        <v>0.2546364783572348</v>
      </c>
      <c r="R90" s="50">
        <f t="shared" si="139"/>
        <v>0.27545490010310142</v>
      </c>
      <c r="S90" s="50">
        <f t="shared" si="139"/>
        <v>0.30786331528559646</v>
      </c>
      <c r="T90" s="50">
        <f t="shared" si="139"/>
        <v>0.37924461087368599</v>
      </c>
      <c r="U90" s="414"/>
      <c r="V90" s="414"/>
      <c r="W90" s="414"/>
      <c r="X90" s="50">
        <f t="shared" si="139"/>
        <v>0.26370115384084253</v>
      </c>
      <c r="Y90" s="50">
        <f t="shared" si="139"/>
        <v>0.27145302956793999</v>
      </c>
      <c r="Z90" s="50">
        <f t="shared" si="139"/>
        <v>0.29988715073763395</v>
      </c>
      <c r="AA90" s="50">
        <f t="shared" ref="AA90:AF90" si="140">(AA38+AA43)/AA59</f>
        <v>0.30350244401780624</v>
      </c>
      <c r="AB90" s="50">
        <f t="shared" si="140"/>
        <v>0.27805463232666006</v>
      </c>
      <c r="AC90" s="50">
        <f t="shared" si="140"/>
        <v>0.28898847843652709</v>
      </c>
      <c r="AD90" s="50">
        <f t="shared" si="140"/>
        <v>0.2714706338254097</v>
      </c>
      <c r="AE90" s="50">
        <f t="shared" si="140"/>
        <v>0.26729738207791215</v>
      </c>
      <c r="AF90" s="50">
        <f t="shared" si="140"/>
        <v>0.25028848494177647</v>
      </c>
      <c r="AG90" s="50">
        <f t="shared" ref="AG90:BT90" si="141">(AG38+AG43)/AG59</f>
        <v>0.26615080575902383</v>
      </c>
      <c r="AH90" s="50">
        <f t="shared" si="141"/>
        <v>0.2303027849468833</v>
      </c>
      <c r="AI90" s="50">
        <f t="shared" si="141"/>
        <v>0.25124731810652873</v>
      </c>
      <c r="AJ90" s="50">
        <f t="shared" si="141"/>
        <v>0.24601728043615764</v>
      </c>
      <c r="AK90" s="50">
        <f t="shared" si="141"/>
        <v>0.25199189935138616</v>
      </c>
      <c r="AL90" s="50">
        <f t="shared" si="141"/>
        <v>0.24293299081034034</v>
      </c>
      <c r="AM90" s="50">
        <f t="shared" si="141"/>
        <v>0.24439797832377061</v>
      </c>
      <c r="AN90" s="50">
        <f t="shared" si="141"/>
        <v>0.25481736031394336</v>
      </c>
      <c r="AO90" s="50">
        <f t="shared" si="141"/>
        <v>0.24935355570689249</v>
      </c>
      <c r="AP90" s="50">
        <f t="shared" si="141"/>
        <v>0.22239312613305204</v>
      </c>
      <c r="AQ90" s="50">
        <f t="shared" si="141"/>
        <v>0.25988826708271068</v>
      </c>
      <c r="AR90" s="50">
        <f t="shared" si="141"/>
        <v>0.29366098378266009</v>
      </c>
      <c r="AS90" s="50">
        <f t="shared" si="141"/>
        <v>0.26482164767111632</v>
      </c>
      <c r="AT90" s="50">
        <f t="shared" si="141"/>
        <v>0.26350882250206414</v>
      </c>
      <c r="AU90" s="50">
        <f t="shared" si="141"/>
        <v>0.25925844963829953</v>
      </c>
      <c r="AV90" s="50">
        <f t="shared" si="141"/>
        <v>0.27546340191540503</v>
      </c>
      <c r="AW90" s="50">
        <f t="shared" si="141"/>
        <v>0.29766720291048626</v>
      </c>
      <c r="AX90" s="50">
        <f t="shared" si="141"/>
        <v>0.29650560152305566</v>
      </c>
      <c r="AY90" s="50">
        <f t="shared" si="141"/>
        <v>0.31572995842901236</v>
      </c>
      <c r="AZ90" s="50">
        <f t="shared" si="141"/>
        <v>0.32377164193683616</v>
      </c>
      <c r="BA90" s="50">
        <f t="shared" si="141"/>
        <v>0.31817521084714312</v>
      </c>
      <c r="BB90" s="50">
        <f t="shared" si="141"/>
        <v>0.30205434715129142</v>
      </c>
      <c r="BC90" s="50">
        <f t="shared" si="141"/>
        <v>0.33005561490441054</v>
      </c>
      <c r="BD90" s="50">
        <f t="shared" si="141"/>
        <v>0.33298257489475069</v>
      </c>
      <c r="BE90" s="50">
        <f t="shared" si="141"/>
        <v>0.35219232588730259</v>
      </c>
      <c r="BF90" s="50">
        <f t="shared" si="141"/>
        <v>0.35120838440566865</v>
      </c>
      <c r="BG90" s="50">
        <f t="shared" si="141"/>
        <v>0.37704137095200002</v>
      </c>
      <c r="BH90" s="50">
        <f t="shared" si="141"/>
        <v>0.36093657298024995</v>
      </c>
      <c r="BI90" s="50">
        <f t="shared" si="141"/>
        <v>0.40773417355654268</v>
      </c>
      <c r="BJ90" s="50">
        <f t="shared" si="141"/>
        <v>0.38179779405957281</v>
      </c>
      <c r="BK90" s="50">
        <f t="shared" si="141"/>
        <v>0.39972248869876048</v>
      </c>
      <c r="BL90" s="50">
        <f t="shared" si="141"/>
        <v>0.45046152563113762</v>
      </c>
      <c r="BM90" s="50">
        <f t="shared" si="141"/>
        <v>0.46183275649818678</v>
      </c>
      <c r="BN90" s="50">
        <f t="shared" si="141"/>
        <v>0.47120892278071014</v>
      </c>
      <c r="BO90" s="50">
        <f t="shared" si="141"/>
        <v>0.45523206313269815</v>
      </c>
      <c r="BP90" s="50">
        <f t="shared" si="141"/>
        <v>0.47594697629219818</v>
      </c>
      <c r="BQ90" s="50">
        <f t="shared" si="141"/>
        <v>0.45520867868334741</v>
      </c>
      <c r="BR90" s="50">
        <f t="shared" si="141"/>
        <v>0.4567860682441387</v>
      </c>
      <c r="BS90" s="50">
        <f t="shared" si="141"/>
        <v>0.47528248631390213</v>
      </c>
      <c r="BT90" s="50">
        <f t="shared" si="141"/>
        <v>0.51106774121613197</v>
      </c>
    </row>
    <row r="91" spans="1:72" x14ac:dyDescent="0.25">
      <c r="A91" s="74">
        <v>91</v>
      </c>
      <c r="B91" s="43" t="s">
        <v>56</v>
      </c>
      <c r="C91" s="101"/>
      <c r="D91" s="43"/>
      <c r="E91" s="102"/>
      <c r="F91" s="316">
        <f t="shared" ref="F91:G91" si="142">F39/F59</f>
        <v>0.41426565285192646</v>
      </c>
      <c r="G91" s="316">
        <f t="shared" si="142"/>
        <v>0.38346552973216319</v>
      </c>
      <c r="H91" s="51">
        <f t="shared" ref="H91" si="143">H39/H59</f>
        <v>0.39925897504822866</v>
      </c>
      <c r="I91" s="51">
        <f t="shared" ref="I91" si="144">I39/I59</f>
        <v>0.36359122255941445</v>
      </c>
      <c r="J91" s="51">
        <f t="shared" ref="J91:K91" si="145">J39/J59</f>
        <v>0.3885406912275744</v>
      </c>
      <c r="K91" s="51">
        <f t="shared" si="145"/>
        <v>0.40419988139782631</v>
      </c>
      <c r="L91" s="51">
        <f t="shared" ref="L91:Z91" si="146">L39/L59</f>
        <v>0.38369766280533696</v>
      </c>
      <c r="M91" s="51">
        <f t="shared" si="146"/>
        <v>0.36119320432038865</v>
      </c>
      <c r="N91" s="51">
        <f t="shared" si="146"/>
        <v>0.36688779307778191</v>
      </c>
      <c r="O91" s="51">
        <f t="shared" si="146"/>
        <v>0.39532042570674591</v>
      </c>
      <c r="P91" s="51">
        <f t="shared" si="146"/>
        <v>0.3741494861449236</v>
      </c>
      <c r="Q91" s="51">
        <f t="shared" si="146"/>
        <v>0.37920207540313938</v>
      </c>
      <c r="R91" s="51">
        <f t="shared" si="146"/>
        <v>0.39732586544802667</v>
      </c>
      <c r="S91" s="51">
        <f t="shared" si="146"/>
        <v>0.39475539938087895</v>
      </c>
      <c r="T91" s="51">
        <f t="shared" si="146"/>
        <v>0.39108859577114574</v>
      </c>
      <c r="U91" s="415"/>
      <c r="V91" s="415"/>
      <c r="W91" s="415"/>
      <c r="X91" s="51">
        <f t="shared" si="146"/>
        <v>0.37048572795167201</v>
      </c>
      <c r="Y91" s="51">
        <f t="shared" si="146"/>
        <v>0.36745638949030701</v>
      </c>
      <c r="Z91" s="51">
        <f t="shared" si="146"/>
        <v>0.36785338473020357</v>
      </c>
      <c r="AA91" s="51">
        <f t="shared" ref="AA91:AF91" si="147">AA39/AA59</f>
        <v>0.36052678245381831</v>
      </c>
      <c r="AB91" s="51">
        <f t="shared" si="147"/>
        <v>0.37800437398233699</v>
      </c>
      <c r="AC91" s="51">
        <f t="shared" si="147"/>
        <v>0.36980696097469939</v>
      </c>
      <c r="AD91" s="51">
        <f t="shared" si="147"/>
        <v>0.37236235656177796</v>
      </c>
      <c r="AE91" s="51">
        <f t="shared" si="147"/>
        <v>0.38281272437898806</v>
      </c>
      <c r="AF91" s="51">
        <f t="shared" si="147"/>
        <v>0.36957908455184568</v>
      </c>
      <c r="AG91" s="51">
        <f t="shared" ref="AG91:BT91" si="148">AG39/AG59</f>
        <v>0.36956484776234044</v>
      </c>
      <c r="AH91" s="51">
        <f t="shared" si="148"/>
        <v>0.37773269476861415</v>
      </c>
      <c r="AI91" s="51">
        <f t="shared" si="148"/>
        <v>0.37152130721506216</v>
      </c>
      <c r="AJ91" s="51">
        <f t="shared" si="148"/>
        <v>0.36990750281069595</v>
      </c>
      <c r="AK91" s="51">
        <f t="shared" si="148"/>
        <v>0.368050380256706</v>
      </c>
      <c r="AL91" s="51">
        <f t="shared" si="148"/>
        <v>0.35814081244193136</v>
      </c>
      <c r="AM91" s="51">
        <f t="shared" si="148"/>
        <v>0.34199246757453644</v>
      </c>
      <c r="AN91" s="51">
        <f t="shared" si="148"/>
        <v>0.33877237433316332</v>
      </c>
      <c r="AO91" s="51">
        <f t="shared" si="148"/>
        <v>0.33671882080135956</v>
      </c>
      <c r="AP91" s="51">
        <f t="shared" si="148"/>
        <v>0.35428424787548379</v>
      </c>
      <c r="AQ91" s="51">
        <f t="shared" si="148"/>
        <v>0.33362341823327379</v>
      </c>
      <c r="AR91" s="51">
        <f t="shared" si="148"/>
        <v>0.32297669955059527</v>
      </c>
      <c r="AS91" s="51">
        <f t="shared" si="148"/>
        <v>0.34561065492297505</v>
      </c>
      <c r="AT91" s="51">
        <f t="shared" si="148"/>
        <v>0.32689508693648556</v>
      </c>
      <c r="AU91" s="51">
        <f t="shared" si="148"/>
        <v>0.32854299818092197</v>
      </c>
      <c r="AV91" s="51">
        <f t="shared" si="148"/>
        <v>0.33432150844359826</v>
      </c>
      <c r="AW91" s="51">
        <f t="shared" si="148"/>
        <v>0.32479465511141858</v>
      </c>
      <c r="AX91" s="51">
        <f t="shared" si="148"/>
        <v>0.30756302529730545</v>
      </c>
      <c r="AY91" s="51">
        <f t="shared" si="148"/>
        <v>0.29314735265954156</v>
      </c>
      <c r="AZ91" s="51">
        <f t="shared" si="148"/>
        <v>0.2990956923612848</v>
      </c>
      <c r="BA91" s="51">
        <f t="shared" si="148"/>
        <v>0.31633340849901509</v>
      </c>
      <c r="BB91" s="51">
        <f t="shared" si="148"/>
        <v>0.30622030752886137</v>
      </c>
      <c r="BC91" s="51">
        <f t="shared" si="148"/>
        <v>0.30654347894499806</v>
      </c>
      <c r="BD91" s="51">
        <f t="shared" si="148"/>
        <v>0.30605105580480091</v>
      </c>
      <c r="BE91" s="51">
        <f t="shared" si="148"/>
        <v>0.29826197945505889</v>
      </c>
      <c r="BF91" s="51">
        <f t="shared" si="148"/>
        <v>0.31307281292389794</v>
      </c>
      <c r="BG91" s="51">
        <f t="shared" si="148"/>
        <v>0.2998522549026586</v>
      </c>
      <c r="BH91" s="51">
        <f t="shared" si="148"/>
        <v>0.28807590056611954</v>
      </c>
      <c r="BI91" s="51">
        <f t="shared" si="148"/>
        <v>0.30059467540242485</v>
      </c>
      <c r="BJ91" s="51">
        <f t="shared" si="148"/>
        <v>0.28429045952991483</v>
      </c>
      <c r="BK91" s="51">
        <f t="shared" si="148"/>
        <v>0.25913266351925701</v>
      </c>
      <c r="BL91" s="51">
        <f t="shared" si="148"/>
        <v>0.26479727094820787</v>
      </c>
      <c r="BM91" s="51">
        <f t="shared" si="148"/>
        <v>0.26393064293025864</v>
      </c>
      <c r="BN91" s="51">
        <f t="shared" si="148"/>
        <v>0.25546257149826451</v>
      </c>
      <c r="BO91" s="51">
        <f t="shared" si="148"/>
        <v>0.25292946218498658</v>
      </c>
      <c r="BP91" s="51">
        <f t="shared" si="148"/>
        <v>0.26567611475963937</v>
      </c>
      <c r="BQ91" s="51">
        <f t="shared" si="148"/>
        <v>0.26841085894396938</v>
      </c>
      <c r="BR91" s="51">
        <f t="shared" si="148"/>
        <v>0.27497718043870562</v>
      </c>
      <c r="BS91" s="51">
        <f t="shared" si="148"/>
        <v>0.26993206753624938</v>
      </c>
      <c r="BT91" s="51">
        <f t="shared" si="148"/>
        <v>0.25776156108532561</v>
      </c>
    </row>
    <row r="92" spans="1:72" x14ac:dyDescent="0.25">
      <c r="A92" s="74">
        <v>92</v>
      </c>
      <c r="B92" s="5" t="s">
        <v>59</v>
      </c>
      <c r="C92" s="99"/>
      <c r="D92" s="40"/>
      <c r="E92" s="100"/>
      <c r="F92" s="307">
        <f t="shared" ref="F92:G92" si="149">(F42+F44)/F59</f>
        <v>0</v>
      </c>
      <c r="G92" s="307">
        <f t="shared" si="149"/>
        <v>0</v>
      </c>
      <c r="H92" s="13">
        <f t="shared" ref="H92" si="150">(H42+H44)/H59</f>
        <v>0</v>
      </c>
      <c r="I92" s="13">
        <f t="shared" ref="I92" si="151">(I42+I44)/I59</f>
        <v>0</v>
      </c>
      <c r="J92" s="13">
        <f t="shared" ref="J92:K92" si="152">(J42+J44)/J59</f>
        <v>0</v>
      </c>
      <c r="K92" s="13">
        <f t="shared" si="152"/>
        <v>0</v>
      </c>
      <c r="L92" s="13">
        <f t="shared" ref="L92:AG92" si="153">(L42+L44)/L59</f>
        <v>0</v>
      </c>
      <c r="M92" s="13">
        <f t="shared" si="153"/>
        <v>0</v>
      </c>
      <c r="N92" s="13">
        <f t="shared" si="153"/>
        <v>0</v>
      </c>
      <c r="O92" s="13">
        <f t="shared" si="153"/>
        <v>0</v>
      </c>
      <c r="P92" s="13">
        <f t="shared" si="153"/>
        <v>0</v>
      </c>
      <c r="Q92" s="13">
        <f t="shared" si="153"/>
        <v>0</v>
      </c>
      <c r="R92" s="13">
        <f t="shared" si="153"/>
        <v>0</v>
      </c>
      <c r="S92" s="13">
        <f t="shared" si="153"/>
        <v>8.0437926542125326E-4</v>
      </c>
      <c r="T92" s="13">
        <f t="shared" si="153"/>
        <v>9.5433375946738408E-4</v>
      </c>
      <c r="U92" s="355"/>
      <c r="V92" s="355"/>
      <c r="W92" s="355"/>
      <c r="X92" s="13">
        <f t="shared" si="153"/>
        <v>1.772628951851531E-3</v>
      </c>
      <c r="Y92" s="13">
        <f t="shared" si="153"/>
        <v>2.1510771682706005E-3</v>
      </c>
      <c r="Z92" s="13">
        <f t="shared" si="153"/>
        <v>2.6073289932691717E-3</v>
      </c>
      <c r="AA92" s="13">
        <f t="shared" si="153"/>
        <v>3.1186221539830049E-3</v>
      </c>
      <c r="AB92" s="13">
        <f t="shared" si="153"/>
        <v>3.7139136186418744E-3</v>
      </c>
      <c r="AC92" s="13">
        <f t="shared" si="153"/>
        <v>4.4900996827061355E-3</v>
      </c>
      <c r="AD92" s="13">
        <f t="shared" si="153"/>
        <v>5.5376885131981201E-3</v>
      </c>
      <c r="AE92" s="13">
        <f t="shared" si="153"/>
        <v>6.3938251273383149E-3</v>
      </c>
      <c r="AF92" s="13">
        <f t="shared" si="153"/>
        <v>7.1294676484982954E-3</v>
      </c>
      <c r="AG92" s="13">
        <f t="shared" si="153"/>
        <v>1.0293741107180919E-2</v>
      </c>
      <c r="AH92" s="13">
        <f t="shared" ref="AH92:BT92" si="154">(AH42+AH44)/AH59</f>
        <v>1.1512607719396111E-2</v>
      </c>
      <c r="AI92" s="13">
        <f t="shared" si="154"/>
        <v>2.22032503170436E-2</v>
      </c>
      <c r="AJ92" s="13">
        <f t="shared" si="154"/>
        <v>2.2679217214450754E-2</v>
      </c>
      <c r="AK92" s="13">
        <f t="shared" si="154"/>
        <v>1.4373652510296169E-2</v>
      </c>
      <c r="AL92" s="13">
        <f t="shared" si="154"/>
        <v>1.3891395231811066E-2</v>
      </c>
      <c r="AM92" s="13">
        <f t="shared" si="154"/>
        <v>1.3941229384921275E-2</v>
      </c>
      <c r="AN92" s="13">
        <f t="shared" si="154"/>
        <v>1.4899062998896991E-2</v>
      </c>
      <c r="AO92" s="13">
        <f t="shared" si="154"/>
        <v>1.8541356396998786E-2</v>
      </c>
      <c r="AP92" s="13">
        <f t="shared" si="154"/>
        <v>2.4229265789901124E-2</v>
      </c>
      <c r="AQ92" s="13">
        <f t="shared" si="154"/>
        <v>2.4449912070067976E-2</v>
      </c>
      <c r="AR92" s="13">
        <f t="shared" si="154"/>
        <v>3.1685771908380872E-2</v>
      </c>
      <c r="AS92" s="13">
        <f t="shared" si="154"/>
        <v>3.4248190644201232E-2</v>
      </c>
      <c r="AT92" s="13">
        <f t="shared" si="154"/>
        <v>3.3060939760437121E-2</v>
      </c>
      <c r="AU92" s="13">
        <f t="shared" si="154"/>
        <v>3.5766014048682994E-2</v>
      </c>
      <c r="AV92" s="13">
        <f t="shared" si="154"/>
        <v>3.8828395501150484E-2</v>
      </c>
      <c r="AW92" s="13">
        <f t="shared" si="154"/>
        <v>4.8549743905540219E-2</v>
      </c>
      <c r="AX92" s="13">
        <f t="shared" si="154"/>
        <v>4.8620473232385004E-2</v>
      </c>
      <c r="AY92" s="13">
        <f t="shared" si="154"/>
        <v>5.1081507527148663E-2</v>
      </c>
      <c r="AZ92" s="13">
        <f t="shared" si="154"/>
        <v>5.662438172228286E-2</v>
      </c>
      <c r="BA92" s="13">
        <f t="shared" si="154"/>
        <v>5.3142400188335361E-2</v>
      </c>
      <c r="BB92" s="13">
        <f t="shared" si="154"/>
        <v>6.2459871781240364E-2</v>
      </c>
      <c r="BC92" s="13">
        <f t="shared" si="154"/>
        <v>6.6714802850528401E-2</v>
      </c>
      <c r="BD92" s="13">
        <f t="shared" si="154"/>
        <v>6.7896188629618895E-2</v>
      </c>
      <c r="BE92" s="13">
        <f t="shared" si="154"/>
        <v>6.220034231122832E-2</v>
      </c>
      <c r="BF92" s="13">
        <f t="shared" si="154"/>
        <v>7.1816106202896482E-2</v>
      </c>
      <c r="BG92" s="13">
        <f t="shared" si="154"/>
        <v>7.5421771466689713E-2</v>
      </c>
      <c r="BH92" s="13">
        <f t="shared" si="154"/>
        <v>8.0526269580378257E-2</v>
      </c>
      <c r="BI92" s="13">
        <f t="shared" si="154"/>
        <v>7.1105346356779189E-2</v>
      </c>
      <c r="BJ92" s="13">
        <f t="shared" si="154"/>
        <v>6.9633549804305875E-2</v>
      </c>
      <c r="BK92" s="13">
        <f t="shared" si="154"/>
        <v>6.5137781835353625E-2</v>
      </c>
      <c r="BL92" s="13">
        <f t="shared" si="154"/>
        <v>7.1610254739687629E-2</v>
      </c>
      <c r="BM92" s="13">
        <f t="shared" si="154"/>
        <v>9.7669398490315654E-2</v>
      </c>
      <c r="BN92" s="13">
        <f t="shared" si="154"/>
        <v>9.6043413449007922E-2</v>
      </c>
      <c r="BO92" s="13">
        <f t="shared" si="154"/>
        <v>0.10067489433193622</v>
      </c>
      <c r="BP92" s="13">
        <f t="shared" si="154"/>
        <v>0.10785826757494631</v>
      </c>
      <c r="BQ92" s="13">
        <f t="shared" si="154"/>
        <v>9.7577764687772697E-2</v>
      </c>
      <c r="BR92" s="13">
        <f t="shared" si="154"/>
        <v>7.6327685037331353E-2</v>
      </c>
      <c r="BS92" s="13">
        <f t="shared" si="154"/>
        <v>5.7028505994940228E-2</v>
      </c>
      <c r="BT92" s="13">
        <f t="shared" si="154"/>
        <v>5.229157245938288E-2</v>
      </c>
    </row>
    <row r="93" spans="1:72" x14ac:dyDescent="0.25">
      <c r="A93" s="74">
        <v>93</v>
      </c>
      <c r="B93" s="5" t="s">
        <v>58</v>
      </c>
      <c r="C93" s="99"/>
      <c r="D93" s="40"/>
      <c r="E93" s="100"/>
      <c r="F93" s="307">
        <f t="shared" ref="F93:G93" si="155">(F56+F57)/F59</f>
        <v>0.16133128561075985</v>
      </c>
      <c r="G93" s="307">
        <f t="shared" si="155"/>
        <v>0.16358056824227735</v>
      </c>
      <c r="H93" s="13">
        <f t="shared" ref="H93" si="156">(H56+H57)/H59</f>
        <v>0.16651617947875527</v>
      </c>
      <c r="I93" s="13">
        <f t="shared" ref="I93" si="157">(I56+I57)/I59</f>
        <v>0.16375792210786258</v>
      </c>
      <c r="J93" s="13">
        <f t="shared" ref="J93:K93" si="158">(J56+J57)/J59</f>
        <v>0.16993855382348175</v>
      </c>
      <c r="K93" s="13">
        <f t="shared" si="158"/>
        <v>0.18977572293972456</v>
      </c>
      <c r="L93" s="13">
        <f t="shared" ref="L93:AJ93" si="159">(L56+L57)/L59</f>
        <v>0.1771050928758818</v>
      </c>
      <c r="M93" s="13">
        <f t="shared" si="159"/>
        <v>0.19341727558039926</v>
      </c>
      <c r="N93" s="13">
        <f t="shared" si="159"/>
        <v>0.17470320059545963</v>
      </c>
      <c r="O93" s="13">
        <f t="shared" si="159"/>
        <v>0.18459637659403</v>
      </c>
      <c r="P93" s="13">
        <f t="shared" si="159"/>
        <v>0.16446767337998036</v>
      </c>
      <c r="Q93" s="13">
        <f t="shared" si="159"/>
        <v>0.17697967144281307</v>
      </c>
      <c r="R93" s="13">
        <f t="shared" si="159"/>
        <v>0.18927582875878915</v>
      </c>
      <c r="S93" s="13">
        <f t="shared" si="159"/>
        <v>0.19041916167664671</v>
      </c>
      <c r="T93" s="13">
        <f t="shared" si="159"/>
        <v>0.17249493345279385</v>
      </c>
      <c r="U93" s="355"/>
      <c r="V93" s="355"/>
      <c r="W93" s="355"/>
      <c r="X93" s="13">
        <f t="shared" si="159"/>
        <v>0.13039368180808153</v>
      </c>
      <c r="Y93" s="13">
        <f t="shared" si="159"/>
        <v>0.12718114814603906</v>
      </c>
      <c r="Z93" s="13">
        <f t="shared" si="159"/>
        <v>0.12727680331483335</v>
      </c>
      <c r="AA93" s="13">
        <f t="shared" si="159"/>
        <v>0.12463828504867495</v>
      </c>
      <c r="AB93" s="13">
        <f t="shared" si="159"/>
        <v>0.12145949136364445</v>
      </c>
      <c r="AC93" s="13">
        <f t="shared" si="159"/>
        <v>0.1200629886350392</v>
      </c>
      <c r="AD93" s="13">
        <f t="shared" si="159"/>
        <v>0.12464646660658754</v>
      </c>
      <c r="AE93" s="13">
        <f t="shared" si="159"/>
        <v>0.12210253285649431</v>
      </c>
      <c r="AF93" s="13">
        <f t="shared" si="159"/>
        <v>0.11782100097519445</v>
      </c>
      <c r="AG93" s="13">
        <f t="shared" si="159"/>
        <v>0.12016474309300236</v>
      </c>
      <c r="AH93" s="13">
        <f t="shared" si="159"/>
        <v>0.11666702582953888</v>
      </c>
      <c r="AI93" s="13">
        <f t="shared" si="159"/>
        <v>0.11680192365328187</v>
      </c>
      <c r="AJ93" s="13">
        <f t="shared" si="159"/>
        <v>0.11234520794114863</v>
      </c>
      <c r="AK93" s="13">
        <f t="shared" ref="AK93:AP93" si="160">(AK56+AK57)/AK59</f>
        <v>0.12086552040012093</v>
      </c>
      <c r="AL93" s="13">
        <f t="shared" si="160"/>
        <v>0.11962556197493228</v>
      </c>
      <c r="AM93" s="13">
        <f t="shared" si="160"/>
        <v>0.11691987782962888</v>
      </c>
      <c r="AN93" s="13">
        <f t="shared" si="160"/>
        <v>0.11684771198828535</v>
      </c>
      <c r="AO93" s="13">
        <f t="shared" si="160"/>
        <v>0.12070706995933528</v>
      </c>
      <c r="AP93" s="13">
        <f t="shared" si="160"/>
        <v>0.11444262672487843</v>
      </c>
      <c r="AQ93" s="13">
        <f t="shared" ref="AQ93:AX93" si="161">AQ56/AQ59</f>
        <v>0.11254670346605029</v>
      </c>
      <c r="AR93" s="13">
        <f t="shared" si="161"/>
        <v>0.10489449437065269</v>
      </c>
      <c r="AS93" s="13">
        <f t="shared" si="161"/>
        <v>0.11017489754986574</v>
      </c>
      <c r="AT93" s="13">
        <f t="shared" si="161"/>
        <v>0.10287877725327917</v>
      </c>
      <c r="AU93" s="13">
        <f t="shared" si="161"/>
        <v>0.10316477979875119</v>
      </c>
      <c r="AV93" s="13">
        <f t="shared" si="161"/>
        <v>0.10094221123929631</v>
      </c>
      <c r="AW93" s="13">
        <f t="shared" si="161"/>
        <v>0.10565608463361972</v>
      </c>
      <c r="AX93" s="13">
        <f t="shared" si="161"/>
        <v>0.10461859707572733</v>
      </c>
      <c r="AY93" s="13">
        <f t="shared" ref="AY93:BD93" si="162">AY56/AY59</f>
        <v>0.1021604365005026</v>
      </c>
      <c r="AZ93" s="13">
        <f t="shared" si="162"/>
        <v>9.8340349403657185E-2</v>
      </c>
      <c r="BA93" s="13">
        <f t="shared" si="162"/>
        <v>0.11473266366992588</v>
      </c>
      <c r="BB93" s="13">
        <f t="shared" si="162"/>
        <v>0.11424255145015057</v>
      </c>
      <c r="BC93" s="13">
        <f t="shared" si="162"/>
        <v>0.11490001037742197</v>
      </c>
      <c r="BD93" s="13">
        <f t="shared" si="162"/>
        <v>0.11644688818246862</v>
      </c>
      <c r="BE93" s="13">
        <f t="shared" ref="BE93:BJ93" si="163">BE56/BE59</f>
        <v>0.11405572492086115</v>
      </c>
      <c r="BF93" s="13">
        <f t="shared" si="163"/>
        <v>0.1105862025313723</v>
      </c>
      <c r="BG93" s="13">
        <f t="shared" si="163"/>
        <v>0.11794568485160116</v>
      </c>
      <c r="BH93" s="13">
        <f t="shared" si="163"/>
        <v>0.11474779080435997</v>
      </c>
      <c r="BI93" s="13">
        <f t="shared" si="163"/>
        <v>0.12673604627793017</v>
      </c>
      <c r="BJ93" s="13">
        <f t="shared" si="163"/>
        <v>0.11601067590184284</v>
      </c>
      <c r="BK93" s="13">
        <f t="shared" ref="BK93:BT93" si="164">BK56/BK59</f>
        <v>0.11784240165871024</v>
      </c>
      <c r="BL93" s="13">
        <f t="shared" si="164"/>
        <v>0.12126892601294986</v>
      </c>
      <c r="BM93" s="13">
        <f t="shared" si="164"/>
        <v>0.11817184053420245</v>
      </c>
      <c r="BN93" s="13">
        <f t="shared" si="164"/>
        <v>0.11048830217652748</v>
      </c>
      <c r="BO93" s="13">
        <f t="shared" si="164"/>
        <v>0.10854016044983977</v>
      </c>
      <c r="BP93" s="13">
        <f t="shared" si="164"/>
        <v>0.10478099600189207</v>
      </c>
      <c r="BQ93" s="13">
        <f t="shared" si="164"/>
        <v>0.10811579718644987</v>
      </c>
      <c r="BR93" s="13">
        <f t="shared" si="164"/>
        <v>0.10681252254420229</v>
      </c>
      <c r="BS93" s="13">
        <f t="shared" si="164"/>
        <v>0.11045839926421466</v>
      </c>
      <c r="BT93" s="13">
        <f t="shared" si="164"/>
        <v>0.10731693807560526</v>
      </c>
    </row>
    <row r="94" spans="1:72" x14ac:dyDescent="0.25">
      <c r="A94" s="74">
        <v>94</v>
      </c>
      <c r="B94" s="5" t="s">
        <v>60</v>
      </c>
      <c r="C94" s="99"/>
      <c r="D94" s="40"/>
      <c r="E94" s="100"/>
      <c r="F94" s="307">
        <f t="shared" ref="F94:G94" si="165">(F41+F45+F46+F40)/F59</f>
        <v>2.1452331722192304E-2</v>
      </c>
      <c r="G94" s="307">
        <f t="shared" si="165"/>
        <v>1.7369939063048598E-2</v>
      </c>
      <c r="H94" s="13">
        <f t="shared" ref="H94" si="166">(H41+H45+H46+H40)/H59</f>
        <v>2.0251822886152803E-2</v>
      </c>
      <c r="I94" s="13">
        <f t="shared" ref="I94" si="167">(I41+I45+I46+I40)/I59</f>
        <v>1.6177097580565906E-2</v>
      </c>
      <c r="J94" s="13">
        <f t="shared" ref="J94:K94" si="168">(J41+J45+J46+J40)/J59</f>
        <v>2.1022783063942504E-2</v>
      </c>
      <c r="K94" s="13">
        <f t="shared" si="168"/>
        <v>2.888960026869165E-2</v>
      </c>
      <c r="L94" s="13">
        <f t="shared" ref="L94:AG94" si="169">(L41+L45+L46+L40)/L59</f>
        <v>2.6377840609372691E-2</v>
      </c>
      <c r="M94" s="13">
        <f t="shared" si="169"/>
        <v>3.1789103053931622E-2</v>
      </c>
      <c r="N94" s="13">
        <f t="shared" si="169"/>
        <v>3.0488462969854857E-2</v>
      </c>
      <c r="O94" s="13">
        <f t="shared" si="169"/>
        <v>2.7074806820157071E-2</v>
      </c>
      <c r="P94" s="13">
        <f t="shared" si="169"/>
        <v>2.2465672059638588E-2</v>
      </c>
      <c r="Q94" s="13">
        <f t="shared" si="169"/>
        <v>3.7437589352171521E-2</v>
      </c>
      <c r="R94" s="13">
        <f t="shared" si="169"/>
        <v>3.5002229219494523E-2</v>
      </c>
      <c r="S94" s="13">
        <f t="shared" si="169"/>
        <v>2.5301492822737758E-2</v>
      </c>
      <c r="T94" s="13">
        <f t="shared" si="169"/>
        <v>3.2373479291195703E-2</v>
      </c>
      <c r="U94" s="355"/>
      <c r="V94" s="355"/>
      <c r="W94" s="355"/>
      <c r="X94" s="13">
        <f t="shared" si="169"/>
        <v>2.2520673347921117E-2</v>
      </c>
      <c r="Y94" s="13">
        <f t="shared" si="169"/>
        <v>2.1960433090987729E-2</v>
      </c>
      <c r="Z94" s="13">
        <f t="shared" si="169"/>
        <v>2.2273302561169342E-2</v>
      </c>
      <c r="AA94" s="13">
        <f t="shared" si="169"/>
        <v>2.2360144513109061E-2</v>
      </c>
      <c r="AB94" s="13">
        <f t="shared" si="169"/>
        <v>2.5552328248613101E-2</v>
      </c>
      <c r="AC94" s="13">
        <f t="shared" si="169"/>
        <v>3.0493289238390051E-2</v>
      </c>
      <c r="AD94" s="13">
        <f t="shared" si="169"/>
        <v>2.7072113935230822E-2</v>
      </c>
      <c r="AE94" s="13">
        <f t="shared" si="169"/>
        <v>3.0195358934205725E-2</v>
      </c>
      <c r="AF94" s="13">
        <f t="shared" si="169"/>
        <v>1.9797899025439238E-2</v>
      </c>
      <c r="AG94" s="13">
        <f t="shared" si="169"/>
        <v>1.5610586863855231E-2</v>
      </c>
      <c r="AH94" s="13">
        <f t="shared" ref="AH94:BT94" si="170">(AH41+AH45+AH46+AH40)/AH59</f>
        <v>2.2174750708142704E-2</v>
      </c>
      <c r="AI94" s="13">
        <f t="shared" si="170"/>
        <v>2.788714417823317E-2</v>
      </c>
      <c r="AJ94" s="13">
        <f t="shared" si="170"/>
        <v>2.9541260663114854E-2</v>
      </c>
      <c r="AK94" s="13">
        <f t="shared" si="170"/>
        <v>2.8046710896633301E-2</v>
      </c>
      <c r="AL94" s="13">
        <f t="shared" si="170"/>
        <v>1.4561693544462209E-2</v>
      </c>
      <c r="AM94" s="13">
        <f t="shared" si="170"/>
        <v>2.2335239118878605E-2</v>
      </c>
      <c r="AN94" s="13">
        <f t="shared" si="170"/>
        <v>2.9261116905451894E-2</v>
      </c>
      <c r="AO94" s="13">
        <f t="shared" si="170"/>
        <v>2.3570927854710641E-2</v>
      </c>
      <c r="AP94" s="13">
        <f t="shared" si="170"/>
        <v>2.0327216287004426E-2</v>
      </c>
      <c r="AQ94" s="13">
        <f t="shared" si="170"/>
        <v>2.2802340824811411E-2</v>
      </c>
      <c r="AR94" s="13">
        <f t="shared" si="170"/>
        <v>1.9788081949444647E-2</v>
      </c>
      <c r="AS94" s="13">
        <f t="shared" si="170"/>
        <v>7.8047258040621122E-3</v>
      </c>
      <c r="AT94" s="13">
        <f t="shared" si="170"/>
        <v>6.4825011369360232E-3</v>
      </c>
      <c r="AU94" s="13">
        <f t="shared" si="170"/>
        <v>1.0616204665307502E-2</v>
      </c>
      <c r="AV94" s="13">
        <f t="shared" si="170"/>
        <v>9.8534121038632815E-3</v>
      </c>
      <c r="AW94" s="13">
        <f t="shared" si="170"/>
        <v>8.0971591006449642E-3</v>
      </c>
      <c r="AX94" s="13">
        <f t="shared" si="170"/>
        <v>8.394656238783391E-3</v>
      </c>
      <c r="AY94" s="13">
        <f t="shared" si="170"/>
        <v>1.4850637626374773E-2</v>
      </c>
      <c r="AZ94" s="13">
        <f t="shared" si="170"/>
        <v>2.5471883012303579E-2</v>
      </c>
      <c r="BA94" s="13">
        <f t="shared" si="170"/>
        <v>1.0866970912790661E-2</v>
      </c>
      <c r="BB94" s="13">
        <f t="shared" si="170"/>
        <v>1.0461219059366407E-2</v>
      </c>
      <c r="BC94" s="13">
        <f t="shared" si="170"/>
        <v>6.9827640031165468E-3</v>
      </c>
      <c r="BD94" s="13">
        <f t="shared" si="170"/>
        <v>4.3293438528933734E-3</v>
      </c>
      <c r="BE94" s="13">
        <f t="shared" si="170"/>
        <v>6.9033030478971927E-3</v>
      </c>
      <c r="BF94" s="13">
        <f t="shared" si="170"/>
        <v>6.7276724069545444E-3</v>
      </c>
      <c r="BG94" s="13">
        <f t="shared" si="170"/>
        <v>6.7175565140541018E-3</v>
      </c>
      <c r="BH94" s="13">
        <f t="shared" si="170"/>
        <v>6.9959824511651352E-3</v>
      </c>
      <c r="BI94" s="13">
        <f t="shared" si="170"/>
        <v>9.3973321429681525E-3</v>
      </c>
      <c r="BJ94" s="13">
        <f t="shared" si="170"/>
        <v>6.1418262942146877E-3</v>
      </c>
      <c r="BK94" s="13">
        <f t="shared" si="170"/>
        <v>6.6473124643202843E-3</v>
      </c>
      <c r="BL94" s="13">
        <f t="shared" si="170"/>
        <v>9.4494843610674149E-3</v>
      </c>
      <c r="BM94" s="13">
        <f t="shared" si="170"/>
        <v>7.5604548785555802E-3</v>
      </c>
      <c r="BN94" s="13">
        <f t="shared" si="170"/>
        <v>5.0166468051816354E-3</v>
      </c>
      <c r="BO94" s="13">
        <f t="shared" si="170"/>
        <v>4.5486202681035686E-3</v>
      </c>
      <c r="BP94" s="13">
        <f t="shared" si="170"/>
        <v>4.1894737922504813E-3</v>
      </c>
      <c r="BQ94" s="13">
        <f t="shared" si="170"/>
        <v>4.3530434863370306E-3</v>
      </c>
      <c r="BR94" s="13">
        <f t="shared" si="170"/>
        <v>2.7359962331933133E-3</v>
      </c>
      <c r="BS94" s="13">
        <f t="shared" si="170"/>
        <v>2.8196105578622102E-3</v>
      </c>
      <c r="BT94" s="13">
        <f t="shared" si="170"/>
        <v>3.6444732344638941E-3</v>
      </c>
    </row>
    <row r="95" spans="1:72" ht="26.1" customHeight="1" x14ac:dyDescent="0.25">
      <c r="A95" s="74">
        <v>95</v>
      </c>
      <c r="B95" s="19" t="s">
        <v>44</v>
      </c>
      <c r="C95" s="105"/>
      <c r="D95" s="44"/>
      <c r="E95" s="106"/>
      <c r="F95" s="307">
        <f t="shared" ref="F95:G95" si="171">SUM(F88:F89,F92:F94)</f>
        <v>1</v>
      </c>
      <c r="G95" s="307">
        <f t="shared" si="171"/>
        <v>1</v>
      </c>
      <c r="H95" s="13">
        <f t="shared" ref="H95" si="172">SUM(H88:H89,H92:H94)</f>
        <v>1.0000000000000002</v>
      </c>
      <c r="I95" s="13">
        <f t="shared" ref="I95" si="173">SUM(I88:I89,I92:I94)</f>
        <v>1</v>
      </c>
      <c r="J95" s="13">
        <f t="shared" ref="J95:K95" si="174">SUM(J88:J89,J92:J94)</f>
        <v>0.99999999999999989</v>
      </c>
      <c r="K95" s="13">
        <f t="shared" si="174"/>
        <v>1</v>
      </c>
      <c r="L95" s="13">
        <f t="shared" ref="L95:AJ95" si="175">SUM(L88:L89,L92:L94)</f>
        <v>0.99999999999999989</v>
      </c>
      <c r="M95" s="13">
        <f t="shared" si="175"/>
        <v>1</v>
      </c>
      <c r="N95" s="13">
        <f t="shared" si="175"/>
        <v>1</v>
      </c>
      <c r="O95" s="13">
        <f t="shared" si="175"/>
        <v>0.99999999999999989</v>
      </c>
      <c r="P95" s="13">
        <f t="shared" si="175"/>
        <v>1</v>
      </c>
      <c r="Q95" s="13">
        <f t="shared" si="175"/>
        <v>1</v>
      </c>
      <c r="R95" s="13">
        <f t="shared" si="175"/>
        <v>0.99999999999999989</v>
      </c>
      <c r="S95" s="13">
        <f t="shared" si="175"/>
        <v>1</v>
      </c>
      <c r="T95" s="13">
        <f t="shared" si="175"/>
        <v>1</v>
      </c>
      <c r="U95" s="355"/>
      <c r="V95" s="355"/>
      <c r="W95" s="355"/>
      <c r="X95" s="13">
        <f t="shared" si="175"/>
        <v>1</v>
      </c>
      <c r="Y95" s="13">
        <f t="shared" si="175"/>
        <v>1</v>
      </c>
      <c r="Z95" s="13">
        <f t="shared" si="175"/>
        <v>1.0000000000000002</v>
      </c>
      <c r="AA95" s="13">
        <f t="shared" si="175"/>
        <v>0.99999999999999989</v>
      </c>
      <c r="AB95" s="13">
        <f t="shared" si="175"/>
        <v>1</v>
      </c>
      <c r="AC95" s="13">
        <f t="shared" si="175"/>
        <v>1.0000000000000002</v>
      </c>
      <c r="AD95" s="13">
        <f t="shared" si="175"/>
        <v>0.99999999999999989</v>
      </c>
      <c r="AE95" s="13">
        <f t="shared" si="175"/>
        <v>1.0000000000000002</v>
      </c>
      <c r="AF95" s="13">
        <f t="shared" si="175"/>
        <v>0.99999999999999989</v>
      </c>
      <c r="AG95" s="13">
        <f t="shared" si="175"/>
        <v>1.0000000000000002</v>
      </c>
      <c r="AH95" s="13">
        <f t="shared" si="175"/>
        <v>1.0000000000000002</v>
      </c>
      <c r="AI95" s="13">
        <f t="shared" si="175"/>
        <v>1</v>
      </c>
      <c r="AJ95" s="13">
        <f t="shared" si="175"/>
        <v>1</v>
      </c>
      <c r="AK95" s="13">
        <f t="shared" ref="AK95:AP95" si="176">SUM(AK88:AK89,AK92:AK94)</f>
        <v>1</v>
      </c>
      <c r="AL95" s="13">
        <f t="shared" si="176"/>
        <v>1</v>
      </c>
      <c r="AM95" s="13">
        <f t="shared" si="176"/>
        <v>0.99999999999999989</v>
      </c>
      <c r="AN95" s="13">
        <f t="shared" si="176"/>
        <v>1.0000000000000002</v>
      </c>
      <c r="AO95" s="13">
        <f t="shared" si="176"/>
        <v>0.99999999999999989</v>
      </c>
      <c r="AP95" s="13">
        <f t="shared" si="176"/>
        <v>0.99999999999999989</v>
      </c>
      <c r="AQ95" s="13">
        <f t="shared" ref="AQ95:BB95" si="177">SUM(AQ88:AQ89,AQ92:AQ94)</f>
        <v>1</v>
      </c>
      <c r="AR95" s="13">
        <f t="shared" si="177"/>
        <v>1</v>
      </c>
      <c r="AS95" s="13">
        <f t="shared" si="177"/>
        <v>0.99999999999999989</v>
      </c>
      <c r="AT95" s="13">
        <f t="shared" si="177"/>
        <v>0.99999999999999989</v>
      </c>
      <c r="AU95" s="13">
        <f t="shared" si="177"/>
        <v>1</v>
      </c>
      <c r="AV95" s="13">
        <f t="shared" si="177"/>
        <v>0.99999999999999967</v>
      </c>
      <c r="AW95" s="13">
        <f t="shared" si="177"/>
        <v>1</v>
      </c>
      <c r="AX95" s="13">
        <f t="shared" si="177"/>
        <v>1</v>
      </c>
      <c r="AY95" s="13">
        <f t="shared" si="177"/>
        <v>0.99999999999999989</v>
      </c>
      <c r="AZ95" s="13">
        <f t="shared" si="177"/>
        <v>1</v>
      </c>
      <c r="BA95" s="13">
        <f t="shared" si="177"/>
        <v>0.99999999999999989</v>
      </c>
      <c r="BB95" s="13">
        <f t="shared" si="177"/>
        <v>1</v>
      </c>
      <c r="BC95" s="13">
        <f t="shared" ref="BC95:BI95" si="178">SUM(BC88:BC89,BC92:BC94)</f>
        <v>1</v>
      </c>
      <c r="BD95" s="13">
        <f t="shared" si="178"/>
        <v>1</v>
      </c>
      <c r="BE95" s="13">
        <f t="shared" si="178"/>
        <v>0.99999999999999989</v>
      </c>
      <c r="BF95" s="13">
        <f t="shared" si="178"/>
        <v>1</v>
      </c>
      <c r="BG95" s="13">
        <f t="shared" si="178"/>
        <v>1.0000000000000002</v>
      </c>
      <c r="BH95" s="13">
        <f t="shared" si="178"/>
        <v>1</v>
      </c>
      <c r="BI95" s="13">
        <f t="shared" si="178"/>
        <v>0.99999999999999978</v>
      </c>
      <c r="BJ95" s="13">
        <f t="shared" ref="BJ95:BT95" si="179">SUM(BJ88:BJ89,BJ92:BJ94)</f>
        <v>1.0000000000000004</v>
      </c>
      <c r="BK95" s="13">
        <f t="shared" si="179"/>
        <v>1.0000000000000002</v>
      </c>
      <c r="BL95" s="13">
        <f t="shared" si="179"/>
        <v>0.99999999999999989</v>
      </c>
      <c r="BM95" s="13">
        <f t="shared" si="179"/>
        <v>0.99999999999999989</v>
      </c>
      <c r="BN95" s="13">
        <f t="shared" si="179"/>
        <v>0.99999999999999989</v>
      </c>
      <c r="BO95" s="13">
        <f t="shared" si="179"/>
        <v>1</v>
      </c>
      <c r="BP95" s="13">
        <f t="shared" si="179"/>
        <v>1</v>
      </c>
      <c r="BQ95" s="13">
        <f t="shared" si="179"/>
        <v>1</v>
      </c>
      <c r="BR95" s="13">
        <f t="shared" si="179"/>
        <v>0.99999999999999978</v>
      </c>
      <c r="BS95" s="13">
        <f t="shared" si="179"/>
        <v>1</v>
      </c>
      <c r="BT95" s="13">
        <f t="shared" si="179"/>
        <v>1</v>
      </c>
    </row>
  </sheetData>
  <customSheetViews>
    <customSheetView guid="{E4AC4991-F371-4BAF-8335-AD017EF379C0}" showGridLines="0" fitToPage="1" hiddenRows="1" topLeftCell="AD1">
      <pane ySplit="5" topLeftCell="A65" activePane="bottomLeft" state="frozen"/>
      <selection pane="bottomLeft" activeCell="F68" sqref="F68:AS69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 hiddenRows="1">
      <pane ySplit="5" topLeftCell="A7" activePane="bottomLeft" state="frozen"/>
      <selection pane="bottomLeft" activeCell="F54" sqref="F54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353">
    <mergeCell ref="F7:F8"/>
    <mergeCell ref="F32:F33"/>
    <mergeCell ref="F63:F64"/>
    <mergeCell ref="F70:F71"/>
    <mergeCell ref="F85:F86"/>
    <mergeCell ref="G7:G8"/>
    <mergeCell ref="G32:G33"/>
    <mergeCell ref="G63:G64"/>
    <mergeCell ref="G70:G71"/>
    <mergeCell ref="G85:G86"/>
    <mergeCell ref="Q32:Q33"/>
    <mergeCell ref="Q63:Q64"/>
    <mergeCell ref="Q70:Q71"/>
    <mergeCell ref="Q85:Q86"/>
    <mergeCell ref="H7:H8"/>
    <mergeCell ref="H32:H33"/>
    <mergeCell ref="H63:H64"/>
    <mergeCell ref="H70:H71"/>
    <mergeCell ref="H85:H86"/>
    <mergeCell ref="K7:K8"/>
    <mergeCell ref="K32:K33"/>
    <mergeCell ref="K63:K64"/>
    <mergeCell ref="K70:K71"/>
    <mergeCell ref="K85:K86"/>
    <mergeCell ref="L7:L8"/>
    <mergeCell ref="L32:L33"/>
    <mergeCell ref="L63:L64"/>
    <mergeCell ref="L70:L71"/>
    <mergeCell ref="L85:L86"/>
    <mergeCell ref="N32:N33"/>
    <mergeCell ref="N63:N64"/>
    <mergeCell ref="N70:N71"/>
    <mergeCell ref="M7:M8"/>
    <mergeCell ref="M32:M33"/>
    <mergeCell ref="V32:V33"/>
    <mergeCell ref="V63:V64"/>
    <mergeCell ref="T63:T64"/>
    <mergeCell ref="R63:R64"/>
    <mergeCell ref="R70:R71"/>
    <mergeCell ref="R85:R86"/>
    <mergeCell ref="T85:T86"/>
    <mergeCell ref="T70:T71"/>
    <mergeCell ref="S7:S8"/>
    <mergeCell ref="S32:S33"/>
    <mergeCell ref="S63:S64"/>
    <mergeCell ref="M63:M64"/>
    <mergeCell ref="M70:M71"/>
    <mergeCell ref="M85:M86"/>
    <mergeCell ref="N7:N8"/>
    <mergeCell ref="W85:W86"/>
    <mergeCell ref="O32:O33"/>
    <mergeCell ref="O63:O64"/>
    <mergeCell ref="O70:O71"/>
    <mergeCell ref="O85:O86"/>
    <mergeCell ref="Q7:Q8"/>
    <mergeCell ref="N85:N86"/>
    <mergeCell ref="R7:R8"/>
    <mergeCell ref="R32:R33"/>
    <mergeCell ref="P7:P8"/>
    <mergeCell ref="P32:P33"/>
    <mergeCell ref="P63:P64"/>
    <mergeCell ref="P70:P71"/>
    <mergeCell ref="P85:P86"/>
    <mergeCell ref="S70:S71"/>
    <mergeCell ref="S85:S86"/>
    <mergeCell ref="O7:O8"/>
    <mergeCell ref="V85:V86"/>
    <mergeCell ref="T32:T33"/>
    <mergeCell ref="V7:V8"/>
    <mergeCell ref="Z7:Z8"/>
    <mergeCell ref="Z32:Z33"/>
    <mergeCell ref="Z63:Z64"/>
    <mergeCell ref="Z70:Z71"/>
    <mergeCell ref="Z85:Z86"/>
    <mergeCell ref="Y7:Y8"/>
    <mergeCell ref="Y32:Y33"/>
    <mergeCell ref="Y63:Y64"/>
    <mergeCell ref="Y70:Y71"/>
    <mergeCell ref="Y85:Y86"/>
    <mergeCell ref="X85:X86"/>
    <mergeCell ref="U7:U8"/>
    <mergeCell ref="U32:U33"/>
    <mergeCell ref="U63:U64"/>
    <mergeCell ref="U70:U71"/>
    <mergeCell ref="U85:U86"/>
    <mergeCell ref="T7:T8"/>
    <mergeCell ref="V70:V71"/>
    <mergeCell ref="AB70:AB71"/>
    <mergeCell ref="W7:W8"/>
    <mergeCell ref="W32:W33"/>
    <mergeCell ref="W63:W64"/>
    <mergeCell ref="X7:X8"/>
    <mergeCell ref="X32:X33"/>
    <mergeCell ref="X63:X64"/>
    <mergeCell ref="X70:X71"/>
    <mergeCell ref="W70:W71"/>
    <mergeCell ref="AB85:AB86"/>
    <mergeCell ref="AA7:AA8"/>
    <mergeCell ref="AA32:AA33"/>
    <mergeCell ref="AA63:AA64"/>
    <mergeCell ref="AA70:AA71"/>
    <mergeCell ref="AA85:AA86"/>
    <mergeCell ref="AB7:AB8"/>
    <mergeCell ref="AD70:AD71"/>
    <mergeCell ref="AD85:AD86"/>
    <mergeCell ref="AC7:AC8"/>
    <mergeCell ref="AC32:AC33"/>
    <mergeCell ref="AC63:AC64"/>
    <mergeCell ref="AC70:AC71"/>
    <mergeCell ref="AC85:AC86"/>
    <mergeCell ref="AE63:AE64"/>
    <mergeCell ref="AE70:AE71"/>
    <mergeCell ref="AE85:AE86"/>
    <mergeCell ref="AB32:AB33"/>
    <mergeCell ref="AB63:AB64"/>
    <mergeCell ref="AF32:AF33"/>
    <mergeCell ref="AF63:AF64"/>
    <mergeCell ref="AF70:AF71"/>
    <mergeCell ref="AF85:AF86"/>
    <mergeCell ref="AM85:AM86"/>
    <mergeCell ref="AG7:AG8"/>
    <mergeCell ref="AG32:AG33"/>
    <mergeCell ref="AG63:AG64"/>
    <mergeCell ref="AG70:AG71"/>
    <mergeCell ref="AG85:AG86"/>
    <mergeCell ref="AK70:AK71"/>
    <mergeCell ref="AH7:AH8"/>
    <mergeCell ref="AH32:AH33"/>
    <mergeCell ref="AH63:AH64"/>
    <mergeCell ref="AH70:AH71"/>
    <mergeCell ref="AM7:AM8"/>
    <mergeCell ref="AF7:AF8"/>
    <mergeCell ref="AE7:AE8"/>
    <mergeCell ref="AE32:AE33"/>
    <mergeCell ref="AD7:AD8"/>
    <mergeCell ref="AD32:AD33"/>
    <mergeCell ref="AD63:AD64"/>
    <mergeCell ref="BT85:BT86"/>
    <mergeCell ref="BP85:BP86"/>
    <mergeCell ref="BQ85:BQ86"/>
    <mergeCell ref="BR85:BR86"/>
    <mergeCell ref="BS85:BS86"/>
    <mergeCell ref="BT63:BT64"/>
    <mergeCell ref="BN85:BN86"/>
    <mergeCell ref="BO85:BO86"/>
    <mergeCell ref="BL85:BL86"/>
    <mergeCell ref="BM70:BM71"/>
    <mergeCell ref="BT70:BT71"/>
    <mergeCell ref="BQ70:BQ71"/>
    <mergeCell ref="BR70:BR71"/>
    <mergeCell ref="BM85:BM86"/>
    <mergeCell ref="BS70:BS71"/>
    <mergeCell ref="BP70:BP71"/>
    <mergeCell ref="BP63:BP64"/>
    <mergeCell ref="BN63:BN64"/>
    <mergeCell ref="BO70:BO71"/>
    <mergeCell ref="BO63:BO64"/>
    <mergeCell ref="BA7:BA8"/>
    <mergeCell ref="BC32:BC33"/>
    <mergeCell ref="BF70:BF71"/>
    <mergeCell ref="BO32:BO33"/>
    <mergeCell ref="BN7:BN8"/>
    <mergeCell ref="BN70:BN71"/>
    <mergeCell ref="BN32:BN33"/>
    <mergeCell ref="BO7:BO8"/>
    <mergeCell ref="BM7:BM8"/>
    <mergeCell ref="BL63:BL64"/>
    <mergeCell ref="BL70:BL71"/>
    <mergeCell ref="BM63:BM64"/>
    <mergeCell ref="BL7:BL8"/>
    <mergeCell ref="BM32:BM33"/>
    <mergeCell ref="BL32:BL33"/>
    <mergeCell ref="BD7:BD8"/>
    <mergeCell ref="BC7:BC8"/>
    <mergeCell ref="BG7:BG8"/>
    <mergeCell ref="BI63:BI64"/>
    <mergeCell ref="BJ7:BJ8"/>
    <mergeCell ref="BI7:BI8"/>
    <mergeCell ref="BA63:BA64"/>
    <mergeCell ref="BD63:BD64"/>
    <mergeCell ref="BB70:BB71"/>
    <mergeCell ref="BP7:BP8"/>
    <mergeCell ref="BI32:BI33"/>
    <mergeCell ref="BD32:BD33"/>
    <mergeCell ref="AK7:AK8"/>
    <mergeCell ref="AI7:AI8"/>
    <mergeCell ref="AJ70:AJ71"/>
    <mergeCell ref="AL32:AL33"/>
    <mergeCell ref="AM63:AM64"/>
    <mergeCell ref="AM32:AM33"/>
    <mergeCell ref="AS32:AS33"/>
    <mergeCell ref="AU7:AU8"/>
    <mergeCell ref="AU32:AU33"/>
    <mergeCell ref="AN32:AN33"/>
    <mergeCell ref="AL7:AL8"/>
    <mergeCell ref="AP32:AP33"/>
    <mergeCell ref="AP7:AP8"/>
    <mergeCell ref="AQ7:AQ8"/>
    <mergeCell ref="AP63:AP64"/>
    <mergeCell ref="AN7:AN8"/>
    <mergeCell ref="AO7:AO8"/>
    <mergeCell ref="AP70:AP71"/>
    <mergeCell ref="BP32:BP33"/>
    <mergeCell ref="BC70:BC71"/>
    <mergeCell ref="BD70:BD71"/>
    <mergeCell ref="BT7:BT8"/>
    <mergeCell ref="BT32:BT33"/>
    <mergeCell ref="BR63:BR64"/>
    <mergeCell ref="BS7:BS8"/>
    <mergeCell ref="BS32:BS33"/>
    <mergeCell ref="BS63:BS64"/>
    <mergeCell ref="BR7:BR8"/>
    <mergeCell ref="BQ63:BQ64"/>
    <mergeCell ref="BQ7:BQ8"/>
    <mergeCell ref="BR32:BR33"/>
    <mergeCell ref="BQ32:BQ33"/>
    <mergeCell ref="BD85:BD86"/>
    <mergeCell ref="BH63:BH64"/>
    <mergeCell ref="B32:B33"/>
    <mergeCell ref="B7:B8"/>
    <mergeCell ref="C5:E5"/>
    <mergeCell ref="D7:D8"/>
    <mergeCell ref="C32:C33"/>
    <mergeCell ref="D32:D33"/>
    <mergeCell ref="C63:C64"/>
    <mergeCell ref="E63:E64"/>
    <mergeCell ref="C7:C8"/>
    <mergeCell ref="E7:E8"/>
    <mergeCell ref="E32:E33"/>
    <mergeCell ref="AZ7:AZ8"/>
    <mergeCell ref="AR7:AR8"/>
    <mergeCell ref="AT7:AT8"/>
    <mergeCell ref="BC63:BC64"/>
    <mergeCell ref="AY7:AY8"/>
    <mergeCell ref="AX7:AX8"/>
    <mergeCell ref="AS7:AS8"/>
    <mergeCell ref="AV7:AV8"/>
    <mergeCell ref="AW7:AW8"/>
    <mergeCell ref="BB7:BB8"/>
    <mergeCell ref="BE70:BE71"/>
    <mergeCell ref="BC85:BC86"/>
    <mergeCell ref="BH70:BH71"/>
    <mergeCell ref="BG85:BG86"/>
    <mergeCell ref="B85:B86"/>
    <mergeCell ref="BI85:BI86"/>
    <mergeCell ref="B63:B64"/>
    <mergeCell ref="B70:B71"/>
    <mergeCell ref="BI70:BI71"/>
    <mergeCell ref="C70:C71"/>
    <mergeCell ref="E70:E71"/>
    <mergeCell ref="C85:C86"/>
    <mergeCell ref="AU63:AU64"/>
    <mergeCell ref="E85:E86"/>
    <mergeCell ref="AU85:AU86"/>
    <mergeCell ref="BE85:BE86"/>
    <mergeCell ref="BF85:BF86"/>
    <mergeCell ref="AQ70:AQ71"/>
    <mergeCell ref="AK85:AK86"/>
    <mergeCell ref="AS85:AS86"/>
    <mergeCell ref="AL85:AL86"/>
    <mergeCell ref="AN63:AN64"/>
    <mergeCell ref="AJ85:AJ86"/>
    <mergeCell ref="AP85:AP86"/>
    <mergeCell ref="AL63:AL64"/>
    <mergeCell ref="BK85:BK86"/>
    <mergeCell ref="BE32:BE33"/>
    <mergeCell ref="BG63:BG64"/>
    <mergeCell ref="BG70:BG71"/>
    <mergeCell ref="BE7:BE8"/>
    <mergeCell ref="BG32:BG33"/>
    <mergeCell ref="BK70:BK71"/>
    <mergeCell ref="BJ70:BJ71"/>
    <mergeCell ref="BH7:BH8"/>
    <mergeCell ref="BH32:BH33"/>
    <mergeCell ref="BK32:BK33"/>
    <mergeCell ref="BJ63:BJ64"/>
    <mergeCell ref="BJ32:BJ33"/>
    <mergeCell ref="BJ85:BJ86"/>
    <mergeCell ref="BH85:BH86"/>
    <mergeCell ref="BF63:BF64"/>
    <mergeCell ref="BF32:BF33"/>
    <mergeCell ref="BE63:BE64"/>
    <mergeCell ref="BF7:BF8"/>
    <mergeCell ref="BK63:BK64"/>
    <mergeCell ref="BK7:BK8"/>
    <mergeCell ref="BB32:BB33"/>
    <mergeCell ref="AX63:AX64"/>
    <mergeCell ref="BA32:BA33"/>
    <mergeCell ref="AY63:AY64"/>
    <mergeCell ref="BB63:BB64"/>
    <mergeCell ref="BB85:BB86"/>
    <mergeCell ref="AZ63:AZ64"/>
    <mergeCell ref="AZ85:AZ86"/>
    <mergeCell ref="BA70:BA71"/>
    <mergeCell ref="AY70:AY71"/>
    <mergeCell ref="AX85:AX86"/>
    <mergeCell ref="AY85:AY86"/>
    <mergeCell ref="BA85:BA86"/>
    <mergeCell ref="AZ70:AZ71"/>
    <mergeCell ref="AZ32:AZ33"/>
    <mergeCell ref="AY32:AY33"/>
    <mergeCell ref="AT85:AT86"/>
    <mergeCell ref="AQ63:AQ64"/>
    <mergeCell ref="AQ32:AQ33"/>
    <mergeCell ref="AX70:AX71"/>
    <mergeCell ref="AR63:AR64"/>
    <mergeCell ref="AQ85:AQ86"/>
    <mergeCell ref="AR70:AR71"/>
    <mergeCell ref="AS70:AS71"/>
    <mergeCell ref="AR85:AR86"/>
    <mergeCell ref="AV85:AV86"/>
    <mergeCell ref="AT70:AT71"/>
    <mergeCell ref="AU70:AU71"/>
    <mergeCell ref="AS63:AS64"/>
    <mergeCell ref="AR32:AR33"/>
    <mergeCell ref="AX32:AX33"/>
    <mergeCell ref="AT63:AT64"/>
    <mergeCell ref="AT32:AT33"/>
    <mergeCell ref="AV32:AV33"/>
    <mergeCell ref="AV63:AV64"/>
    <mergeCell ref="AV70:AV71"/>
    <mergeCell ref="AW70:AW71"/>
    <mergeCell ref="AW85:AW86"/>
    <mergeCell ref="AW32:AW33"/>
    <mergeCell ref="AW63:AW64"/>
    <mergeCell ref="AO32:AO33"/>
    <mergeCell ref="AO63:AO64"/>
    <mergeCell ref="AO85:AO86"/>
    <mergeCell ref="AH85:AH86"/>
    <mergeCell ref="AJ63:AJ64"/>
    <mergeCell ref="AJ32:AJ33"/>
    <mergeCell ref="AJ7:AJ8"/>
    <mergeCell ref="AK63:AK64"/>
    <mergeCell ref="AK32:AK33"/>
    <mergeCell ref="AN85:AN86"/>
    <mergeCell ref="AM70:AM71"/>
    <mergeCell ref="AI32:AI33"/>
    <mergeCell ref="AI63:AI64"/>
    <mergeCell ref="AI70:AI71"/>
    <mergeCell ref="AO70:AO71"/>
    <mergeCell ref="AL70:AL71"/>
    <mergeCell ref="AI85:AI86"/>
    <mergeCell ref="AN70:AN71"/>
    <mergeCell ref="I7:I8"/>
    <mergeCell ref="I32:I33"/>
    <mergeCell ref="I63:I64"/>
    <mergeCell ref="I70:I71"/>
    <mergeCell ref="I85:I86"/>
    <mergeCell ref="J7:J8"/>
    <mergeCell ref="J32:J33"/>
    <mergeCell ref="J63:J64"/>
    <mergeCell ref="J70:J71"/>
    <mergeCell ref="J85:J86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ignoredErrors>
    <ignoredError sqref="AO29:AQ29 AK29 AL29:AM29" formulaRange="1"/>
  </ignoredError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AZ243"/>
  <sheetViews>
    <sheetView showGridLines="0" zoomScale="70" zoomScaleNormal="70" workbookViewId="0">
      <pane ySplit="5" topLeftCell="A6" activePane="bottomLeft" state="frozen"/>
      <selection activeCell="C12" sqref="C12:E12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5" width="8.7109375" style="1" customWidth="1"/>
    <col min="6" max="6" width="17.5703125" style="301" customWidth="1"/>
    <col min="7" max="13" width="17.5703125" style="1" customWidth="1"/>
    <col min="14" max="37" width="16.7109375" style="1" customWidth="1"/>
    <col min="38" max="16384" width="9.140625" style="1"/>
  </cols>
  <sheetData>
    <row r="1" spans="1:39" x14ac:dyDescent="0.25">
      <c r="A1" s="74">
        <v>1</v>
      </c>
    </row>
    <row r="2" spans="1:39" x14ac:dyDescent="0.25">
      <c r="A2" s="74">
        <v>2</v>
      </c>
    </row>
    <row r="3" spans="1:39" x14ac:dyDescent="0.25">
      <c r="A3" s="74">
        <v>3</v>
      </c>
    </row>
    <row r="4" spans="1:39" x14ac:dyDescent="0.25">
      <c r="A4" s="74">
        <v>4</v>
      </c>
      <c r="C4" s="6"/>
      <c r="D4" s="6"/>
    </row>
    <row r="5" spans="1:39" ht="51" customHeight="1" thickBot="1" x14ac:dyDescent="0.3">
      <c r="A5" s="74">
        <v>5</v>
      </c>
      <c r="B5" s="123" t="s">
        <v>177</v>
      </c>
      <c r="C5" s="490" t="s">
        <v>3</v>
      </c>
      <c r="D5" s="490"/>
      <c r="E5" s="490"/>
      <c r="F5" s="302" t="s">
        <v>0</v>
      </c>
      <c r="G5" s="47" t="s">
        <v>157</v>
      </c>
      <c r="H5" s="120" t="s">
        <v>177</v>
      </c>
      <c r="I5" s="121" t="s">
        <v>1</v>
      </c>
      <c r="J5" s="121" t="s">
        <v>2</v>
      </c>
      <c r="K5" s="60" t="s">
        <v>194</v>
      </c>
    </row>
    <row r="6" spans="1:39" ht="15.75" thickTop="1" x14ac:dyDescent="0.25">
      <c r="A6" s="74">
        <v>6</v>
      </c>
      <c r="B6" s="61"/>
    </row>
    <row r="7" spans="1:39" ht="15.75" customHeight="1" x14ac:dyDescent="0.25">
      <c r="A7" s="74">
        <v>7</v>
      </c>
      <c r="B7" s="453" t="s">
        <v>159</v>
      </c>
      <c r="C7" s="470" t="s">
        <v>201</v>
      </c>
      <c r="D7" s="472" t="s">
        <v>202</v>
      </c>
      <c r="E7" s="468" t="s">
        <v>297</v>
      </c>
      <c r="F7" s="479">
        <v>46203</v>
      </c>
      <c r="G7" s="479">
        <v>46112</v>
      </c>
      <c r="H7" s="446">
        <v>46022</v>
      </c>
      <c r="I7" s="446">
        <v>45930</v>
      </c>
      <c r="J7" s="446">
        <v>45838</v>
      </c>
      <c r="K7" s="446">
        <v>45747</v>
      </c>
      <c r="L7" s="446">
        <v>45657</v>
      </c>
      <c r="M7" s="446">
        <v>45565</v>
      </c>
      <c r="N7" s="446">
        <v>45473</v>
      </c>
      <c r="O7" s="446">
        <v>45382</v>
      </c>
      <c r="P7" s="446">
        <v>45291</v>
      </c>
      <c r="Q7" s="446">
        <v>45199</v>
      </c>
      <c r="R7" s="446">
        <v>45107</v>
      </c>
      <c r="S7" s="446">
        <v>45016</v>
      </c>
      <c r="T7" s="446">
        <v>44926</v>
      </c>
      <c r="U7" s="446">
        <v>44834</v>
      </c>
      <c r="V7" s="446">
        <v>44742</v>
      </c>
      <c r="W7" s="446">
        <v>44651</v>
      </c>
      <c r="X7" s="446">
        <v>44561</v>
      </c>
      <c r="Y7" s="446">
        <v>44469</v>
      </c>
      <c r="Z7" s="446">
        <v>44377</v>
      </c>
      <c r="AA7" s="446">
        <v>44286</v>
      </c>
      <c r="AB7" s="446">
        <v>44196</v>
      </c>
      <c r="AC7" s="479">
        <v>44104</v>
      </c>
      <c r="AD7" s="479">
        <v>44012</v>
      </c>
      <c r="AE7" s="479">
        <v>43921</v>
      </c>
      <c r="AF7" s="446">
        <v>43830</v>
      </c>
      <c r="AG7" s="491">
        <v>43738</v>
      </c>
      <c r="AH7" s="491">
        <v>43646</v>
      </c>
      <c r="AI7" s="491">
        <v>43555</v>
      </c>
      <c r="AJ7" s="446">
        <v>43465</v>
      </c>
      <c r="AK7" s="446">
        <v>43373</v>
      </c>
      <c r="AL7" s="446">
        <v>43281</v>
      </c>
      <c r="AM7" s="446">
        <v>43190</v>
      </c>
    </row>
    <row r="8" spans="1:39" x14ac:dyDescent="0.25">
      <c r="A8" s="74">
        <v>8</v>
      </c>
      <c r="B8" s="454"/>
      <c r="C8" s="471"/>
      <c r="D8" s="487"/>
      <c r="E8" s="478"/>
      <c r="F8" s="493"/>
      <c r="G8" s="493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80"/>
      <c r="AD8" s="480"/>
      <c r="AE8" s="480"/>
      <c r="AF8" s="447"/>
      <c r="AG8" s="492"/>
      <c r="AH8" s="492"/>
      <c r="AI8" s="492"/>
      <c r="AJ8" s="447"/>
      <c r="AK8" s="447"/>
      <c r="AL8" s="447"/>
      <c r="AM8" s="447"/>
    </row>
    <row r="9" spans="1:39" ht="9.75" customHeight="1" x14ac:dyDescent="0.25">
      <c r="A9" s="74">
        <v>9</v>
      </c>
      <c r="B9" s="8" t="s">
        <v>8</v>
      </c>
      <c r="C9" s="89"/>
      <c r="D9" s="57"/>
      <c r="E9" s="90"/>
      <c r="F9" s="303"/>
      <c r="G9" s="303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303"/>
      <c r="AD9" s="303"/>
      <c r="AE9" s="303"/>
      <c r="AF9" s="57"/>
      <c r="AG9" s="57"/>
      <c r="AH9" s="57"/>
      <c r="AI9" s="57"/>
      <c r="AJ9" s="57"/>
      <c r="AK9" s="57"/>
      <c r="AL9" s="57"/>
      <c r="AM9" s="57"/>
    </row>
    <row r="10" spans="1:39" ht="15" customHeight="1" x14ac:dyDescent="0.25">
      <c r="A10" s="74">
        <v>10</v>
      </c>
      <c r="B10" s="245" t="s">
        <v>336</v>
      </c>
      <c r="C10" s="89"/>
      <c r="D10" s="57"/>
      <c r="E10" s="90"/>
      <c r="F10" s="303"/>
      <c r="G10" s="303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303"/>
      <c r="AD10" s="303"/>
      <c r="AE10" s="303"/>
      <c r="AF10" s="57"/>
      <c r="AG10" s="57"/>
      <c r="AH10" s="57"/>
      <c r="AI10" s="57"/>
      <c r="AJ10" s="57"/>
      <c r="AK10" s="57"/>
      <c r="AL10" s="57"/>
      <c r="AM10" s="57"/>
    </row>
    <row r="11" spans="1:39" ht="15" customHeight="1" x14ac:dyDescent="0.25">
      <c r="A11" s="74">
        <v>11</v>
      </c>
      <c r="B11" s="17" t="s">
        <v>49</v>
      </c>
      <c r="C11" s="93"/>
      <c r="D11" s="88"/>
      <c r="E11" s="94"/>
      <c r="F11" s="291"/>
      <c r="G11" s="291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291"/>
      <c r="AD11" s="291"/>
      <c r="AE11" s="291"/>
      <c r="AF11" s="88"/>
      <c r="AG11" s="285"/>
      <c r="AH11" s="285"/>
      <c r="AI11" s="285"/>
      <c r="AJ11" s="285"/>
      <c r="AK11" s="285"/>
      <c r="AL11" s="124"/>
      <c r="AM11" s="124"/>
    </row>
    <row r="12" spans="1:39" ht="15" customHeight="1" x14ac:dyDescent="0.25">
      <c r="A12" s="74">
        <v>12</v>
      </c>
      <c r="B12" s="14" t="s">
        <v>73</v>
      </c>
      <c r="C12" s="93">
        <f ca="1">OFFSET($E$7,$A12-$A$7,1,1,1)/OFFSET($E$7,$A12-$A$7,2,1,1)-1</f>
        <v>3.0336853229648408E-2</v>
      </c>
      <c r="D12" s="88">
        <f ca="1">OFFSET($E$7,$A12-$A$7,1,1,1)/OFFSET($E$7,$A12-$A$7,5,1,1)-1</f>
        <v>0.1770750107739314</v>
      </c>
      <c r="E12" s="94">
        <f ca="1">OFFSET($E$7,$A12-$A$7,1,1,1)/OFFSET($E$7,$A12-$A$7,IF(MONTH(MAX($7:$7))=3,2,IF(MONTH(MAX($7:$7))=6,3,IF(MONTH(MAX($7:$7))=9,4,5)))*1,1)-1</f>
        <v>4.3111463300901987E-2</v>
      </c>
      <c r="F12" s="270">
        <v>729258</v>
      </c>
      <c r="G12" s="270">
        <v>707786</v>
      </c>
      <c r="H12" s="270">
        <v>699118</v>
      </c>
      <c r="I12" s="270">
        <v>703927</v>
      </c>
      <c r="J12" s="270">
        <v>619551</v>
      </c>
      <c r="K12" s="270">
        <v>523002</v>
      </c>
      <c r="L12" s="270">
        <v>529521</v>
      </c>
      <c r="M12" s="270">
        <f>524313+76</f>
        <v>524389</v>
      </c>
      <c r="N12" s="270">
        <v>488700</v>
      </c>
      <c r="O12" s="270">
        <v>472048</v>
      </c>
      <c r="P12" s="270">
        <v>449080</v>
      </c>
      <c r="Q12" s="270">
        <v>428261</v>
      </c>
      <c r="R12" s="270">
        <v>358476</v>
      </c>
      <c r="S12" s="270">
        <v>386186</v>
      </c>
      <c r="T12" s="270">
        <v>356275</v>
      </c>
      <c r="U12" s="400"/>
      <c r="V12" s="400"/>
      <c r="W12" s="400"/>
      <c r="X12" s="270">
        <v>255135</v>
      </c>
      <c r="Y12" s="270">
        <v>259996.31200000001</v>
      </c>
      <c r="Z12" s="270">
        <v>256266.71299999999</v>
      </c>
      <c r="AA12" s="270">
        <v>242563.546</v>
      </c>
      <c r="AB12" s="270">
        <v>216093</v>
      </c>
      <c r="AC12" s="270">
        <v>222804.636</v>
      </c>
      <c r="AD12" s="270">
        <v>191413.416</v>
      </c>
      <c r="AE12" s="270">
        <v>201472.29199999999</v>
      </c>
      <c r="AF12" s="22">
        <v>182215.95600000001</v>
      </c>
      <c r="AG12" s="22">
        <v>167642.55900000001</v>
      </c>
      <c r="AH12" s="22">
        <v>157359.826</v>
      </c>
      <c r="AI12" s="22">
        <v>165923.745</v>
      </c>
      <c r="AJ12" s="22">
        <v>166532.253</v>
      </c>
      <c r="AK12" s="22">
        <v>173432.103</v>
      </c>
      <c r="AL12" s="22">
        <v>152407.774</v>
      </c>
      <c r="AM12" s="22">
        <v>151607.55600000001</v>
      </c>
    </row>
    <row r="13" spans="1:39" ht="15" customHeight="1" x14ac:dyDescent="0.25">
      <c r="A13" s="74">
        <v>13</v>
      </c>
      <c r="B13" s="14" t="s">
        <v>74</v>
      </c>
      <c r="C13" s="93">
        <f ca="1">OFFSET($E$7,$A13-$A$7,1,1,1)/OFFSET($E$7,$A13-$A$7,2,1,1)-1</f>
        <v>0.23781607042517328</v>
      </c>
      <c r="D13" s="88">
        <f ca="1">OFFSET($E$7,$A13-$A$7,1,1,1)/OFFSET($E$7,$A13-$A$7,5,1,1)-1</f>
        <v>0.19582013932868914</v>
      </c>
      <c r="E13" s="94">
        <f ca="1">OFFSET($E$7,$A13-$A$7,1,1,1)/OFFSET($E$7,$A13-$A$7,IF(MONTH(MAX($7:$7))=3,2,IF(MONTH(MAX($7:$7))=6,3,IF(MONTH(MAX($7:$7))=9,4,5)))*1,1)-1</f>
        <v>0.27949120055758847</v>
      </c>
      <c r="F13" s="270">
        <v>66087</v>
      </c>
      <c r="G13" s="270">
        <v>53390</v>
      </c>
      <c r="H13" s="270">
        <v>51651</v>
      </c>
      <c r="I13" s="270">
        <v>54827</v>
      </c>
      <c r="J13" s="270">
        <v>55265</v>
      </c>
      <c r="K13" s="270">
        <v>58078</v>
      </c>
      <c r="L13" s="270">
        <v>50647</v>
      </c>
      <c r="M13" s="270">
        <v>48032</v>
      </c>
      <c r="N13" s="270">
        <v>60646</v>
      </c>
      <c r="O13" s="270">
        <v>68835</v>
      </c>
      <c r="P13" s="270">
        <v>71139</v>
      </c>
      <c r="Q13" s="270">
        <v>66563</v>
      </c>
      <c r="R13" s="270">
        <v>57791</v>
      </c>
      <c r="S13" s="270">
        <v>56960</v>
      </c>
      <c r="T13" s="270">
        <v>51105</v>
      </c>
      <c r="U13" s="400"/>
      <c r="V13" s="400"/>
      <c r="W13" s="400"/>
      <c r="X13" s="270">
        <v>85534</v>
      </c>
      <c r="Y13" s="270">
        <v>90873.516000000003</v>
      </c>
      <c r="Z13" s="270">
        <v>94526.267000000007</v>
      </c>
      <c r="AA13" s="270">
        <v>92107.292000000001</v>
      </c>
      <c r="AB13" s="270">
        <v>98247</v>
      </c>
      <c r="AC13" s="270">
        <v>102394.989</v>
      </c>
      <c r="AD13" s="270">
        <v>87887.557000000001</v>
      </c>
      <c r="AE13" s="270">
        <v>91504.430999999997</v>
      </c>
      <c r="AF13" s="22">
        <v>79935.005000000005</v>
      </c>
      <c r="AG13" s="22">
        <v>90975.101999999999</v>
      </c>
      <c r="AH13" s="22">
        <v>84167.686000000002</v>
      </c>
      <c r="AI13" s="22">
        <v>93085.635999999999</v>
      </c>
      <c r="AJ13" s="22">
        <v>97325.766000000003</v>
      </c>
      <c r="AK13" s="22">
        <v>97062.335999999996</v>
      </c>
      <c r="AL13" s="22">
        <v>98687.941999999995</v>
      </c>
      <c r="AM13" s="22">
        <v>97112.922999999995</v>
      </c>
    </row>
    <row r="14" spans="1:39" ht="15" customHeight="1" x14ac:dyDescent="0.25">
      <c r="A14" s="74">
        <v>14</v>
      </c>
      <c r="B14" s="14" t="s">
        <v>75</v>
      </c>
      <c r="C14" s="93"/>
      <c r="D14" s="88"/>
      <c r="E14" s="94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400"/>
      <c r="V14" s="400"/>
      <c r="W14" s="400"/>
      <c r="X14" s="270">
        <v>25337</v>
      </c>
      <c r="Y14" s="270">
        <v>25887.46</v>
      </c>
      <c r="Z14" s="270">
        <v>24742.786</v>
      </c>
      <c r="AA14" s="270">
        <v>24517.539000000001</v>
      </c>
      <c r="AB14" s="270">
        <v>24520</v>
      </c>
      <c r="AC14" s="270">
        <v>26481.812000000002</v>
      </c>
      <c r="AD14" s="270">
        <v>27285.861000000001</v>
      </c>
      <c r="AE14" s="270">
        <v>30435.032999999999</v>
      </c>
      <c r="AF14" s="22">
        <v>29408.636999999999</v>
      </c>
      <c r="AG14" s="22">
        <v>25888.444</v>
      </c>
      <c r="AH14" s="22">
        <v>23018.678</v>
      </c>
      <c r="AI14" s="22">
        <v>18922.188999999998</v>
      </c>
      <c r="AJ14" s="22">
        <v>20594.945</v>
      </c>
      <c r="AK14" s="22">
        <v>20043.100999999999</v>
      </c>
      <c r="AL14" s="22">
        <v>20750.289000000001</v>
      </c>
      <c r="AM14" s="22">
        <v>18465.973000000002</v>
      </c>
    </row>
    <row r="15" spans="1:39" ht="15" customHeight="1" x14ac:dyDescent="0.25">
      <c r="A15" s="74">
        <v>15</v>
      </c>
      <c r="B15" s="17" t="s">
        <v>76</v>
      </c>
      <c r="C15" s="93"/>
      <c r="D15" s="88"/>
      <c r="E15" s="9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416"/>
      <c r="V15" s="416"/>
      <c r="W15" s="416"/>
      <c r="X15" s="304"/>
      <c r="Y15" s="304"/>
      <c r="Z15" s="304"/>
      <c r="AA15" s="304"/>
      <c r="AB15" s="304"/>
      <c r="AC15" s="304"/>
      <c r="AD15" s="304"/>
      <c r="AE15" s="304"/>
      <c r="AF15" s="285"/>
      <c r="AG15" s="285"/>
      <c r="AH15" s="285"/>
      <c r="AI15" s="285"/>
      <c r="AJ15" s="285"/>
      <c r="AK15" s="285"/>
      <c r="AL15" s="22"/>
      <c r="AM15" s="22"/>
    </row>
    <row r="16" spans="1:39" ht="15" customHeight="1" x14ac:dyDescent="0.25">
      <c r="A16" s="74">
        <v>16</v>
      </c>
      <c r="B16" s="14" t="s">
        <v>77</v>
      </c>
      <c r="C16" s="93">
        <f ca="1">OFFSET($E$7,$A16-$A$7,1,1,1)/OFFSET($E$7,$A16-$A$7,2,1,1)-1</f>
        <v>3.3076284256732702E-2</v>
      </c>
      <c r="D16" s="88">
        <f ca="1">OFFSET($E$7,$A16-$A$7,1,1,1)/OFFSET($E$7,$A16-$A$7,5,1,1)-1</f>
        <v>0.25202913033163421</v>
      </c>
      <c r="E16" s="94">
        <f ca="1">OFFSET($E$7,$A16-$A$7,1,1,1)/OFFSET($E$7,$A16-$A$7,IF(MONTH(MAX($7:$7))=3,2,IF(MONTH(MAX($7:$7))=6,3,IF(MONTH(MAX($7:$7))=9,4,5)))*1,1)-1</f>
        <v>6.034278060214926E-2</v>
      </c>
      <c r="F16" s="270">
        <v>174156</v>
      </c>
      <c r="G16" s="270">
        <v>168580</v>
      </c>
      <c r="H16" s="270">
        <v>164245</v>
      </c>
      <c r="I16" s="270">
        <v>148893</v>
      </c>
      <c r="J16" s="270">
        <v>139099</v>
      </c>
      <c r="K16" s="270">
        <v>134363</v>
      </c>
      <c r="L16" s="270">
        <v>124811</v>
      </c>
      <c r="M16" s="270">
        <v>119488</v>
      </c>
      <c r="N16" s="270">
        <v>118923</v>
      </c>
      <c r="O16" s="270">
        <v>116869</v>
      </c>
      <c r="P16" s="270">
        <v>115906</v>
      </c>
      <c r="Q16" s="270">
        <v>114096</v>
      </c>
      <c r="R16" s="270">
        <v>108852</v>
      </c>
      <c r="S16" s="270">
        <v>104179</v>
      </c>
      <c r="T16" s="270">
        <v>98699</v>
      </c>
      <c r="U16" s="400"/>
      <c r="V16" s="400"/>
      <c r="W16" s="400"/>
      <c r="X16" s="270">
        <v>90160</v>
      </c>
      <c r="Y16" s="270">
        <v>86630.232000000004</v>
      </c>
      <c r="Z16" s="270">
        <v>85351.82</v>
      </c>
      <c r="AA16" s="270">
        <v>80929.661999999997</v>
      </c>
      <c r="AB16" s="270">
        <v>78280</v>
      </c>
      <c r="AC16" s="270">
        <v>73864.001000000004</v>
      </c>
      <c r="AD16" s="270">
        <v>68867.145000000004</v>
      </c>
      <c r="AE16" s="270">
        <v>67608.006999999998</v>
      </c>
      <c r="AF16" s="22">
        <v>67014.562000000005</v>
      </c>
      <c r="AG16" s="22">
        <v>66960.305999999997</v>
      </c>
      <c r="AH16" s="22">
        <v>65911.160999999993</v>
      </c>
      <c r="AI16" s="22">
        <v>62496.106</v>
      </c>
      <c r="AJ16" s="22">
        <v>59978.042000000001</v>
      </c>
      <c r="AK16" s="22">
        <v>58048.008999999998</v>
      </c>
      <c r="AL16" s="22">
        <v>56607.790999999997</v>
      </c>
      <c r="AM16" s="22">
        <v>55368.735000000001</v>
      </c>
    </row>
    <row r="17" spans="1:39" ht="15" hidden="1" customHeight="1" x14ac:dyDescent="0.25">
      <c r="A17" s="74">
        <v>17</v>
      </c>
      <c r="B17" s="14" t="s">
        <v>78</v>
      </c>
      <c r="C17" s="93"/>
      <c r="D17" s="88"/>
      <c r="E17" s="94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400"/>
      <c r="V17" s="400"/>
      <c r="W17" s="400"/>
      <c r="X17" s="270"/>
      <c r="Y17" s="270"/>
      <c r="Z17" s="270"/>
      <c r="AA17" s="270"/>
      <c r="AB17" s="270"/>
      <c r="AC17" s="270"/>
      <c r="AD17" s="270"/>
      <c r="AE17" s="270"/>
      <c r="AF17" s="22"/>
      <c r="AG17" s="22"/>
      <c r="AH17" s="22"/>
      <c r="AI17" s="22"/>
      <c r="AJ17" s="22"/>
      <c r="AK17" s="22"/>
      <c r="AL17" s="22"/>
      <c r="AM17" s="22"/>
    </row>
    <row r="18" spans="1:39" ht="15" customHeight="1" x14ac:dyDescent="0.25">
      <c r="A18" s="74">
        <v>18</v>
      </c>
      <c r="B18" s="14" t="s">
        <v>366</v>
      </c>
      <c r="C18" s="93">
        <f ca="1">OFFSET($E$7,$A18-$A$7,1,1,1)/OFFSET($E$7,$A18-$A$7,2,1,1)-1</f>
        <v>-8.0291970802919721E-2</v>
      </c>
      <c r="D18" s="88">
        <f ca="1">OFFSET($E$7,$A18-$A$7,1,1,1)/OFFSET($E$7,$A18-$A$7,5,1,1)-1</f>
        <v>-0.18446601941747576</v>
      </c>
      <c r="E18" s="94">
        <f ca="1">OFFSET($E$7,$A18-$A$7,1,1,1)/OFFSET($E$7,$A18-$A$7,IF(MONTH(MAX($7:$7))=3,2,IF(MONTH(MAX($7:$7))=6,3,IF(MONTH(MAX($7:$7))=9,4,5)))*1,1)-1</f>
        <v>-0.22102009273570322</v>
      </c>
      <c r="F18" s="270">
        <v>504</v>
      </c>
      <c r="G18" s="270">
        <v>548</v>
      </c>
      <c r="H18" s="270">
        <v>647</v>
      </c>
      <c r="I18" s="270">
        <v>694</v>
      </c>
      <c r="J18" s="270">
        <v>618</v>
      </c>
      <c r="K18" s="270">
        <v>632</v>
      </c>
      <c r="L18" s="270">
        <v>700</v>
      </c>
      <c r="M18" s="270">
        <v>871</v>
      </c>
      <c r="N18" s="270">
        <v>1019</v>
      </c>
      <c r="O18" s="270">
        <v>1131</v>
      </c>
      <c r="P18" s="270">
        <v>2952</v>
      </c>
      <c r="Q18" s="270">
        <v>2801</v>
      </c>
      <c r="R18" s="270">
        <v>2561</v>
      </c>
      <c r="S18" s="270">
        <v>2691</v>
      </c>
      <c r="T18" s="270">
        <v>3713</v>
      </c>
      <c r="U18" s="400"/>
      <c r="V18" s="400"/>
      <c r="W18" s="400"/>
      <c r="X18" s="270">
        <v>3351</v>
      </c>
      <c r="Y18" s="270">
        <v>3423.8829999999998</v>
      </c>
      <c r="Z18" s="270">
        <v>4011.4720000000002</v>
      </c>
      <c r="AA18" s="270">
        <v>3709.596</v>
      </c>
      <c r="AB18" s="270">
        <v>4362</v>
      </c>
      <c r="AC18" s="270">
        <v>4649.5990000000002</v>
      </c>
      <c r="AD18" s="270">
        <v>3977.0140000000001</v>
      </c>
      <c r="AE18" s="270">
        <v>4113.4660000000003</v>
      </c>
      <c r="AF18" s="22">
        <v>3806.7359999999999</v>
      </c>
      <c r="AG18" s="22">
        <v>4622.7709999999997</v>
      </c>
      <c r="AH18" s="22">
        <v>5065.5659999999998</v>
      </c>
      <c r="AI18" s="22">
        <v>5033.1610000000001</v>
      </c>
      <c r="AJ18" s="22">
        <v>5381.12</v>
      </c>
      <c r="AK18" s="22">
        <v>5234.9769999999999</v>
      </c>
      <c r="AL18" s="22">
        <v>5134.1109999999999</v>
      </c>
      <c r="AM18" s="22">
        <v>4323.0370000000003</v>
      </c>
    </row>
    <row r="19" spans="1:39" ht="15" customHeight="1" x14ac:dyDescent="0.25">
      <c r="A19" s="74">
        <v>19</v>
      </c>
      <c r="B19" s="14" t="s">
        <v>215</v>
      </c>
      <c r="C19" s="93">
        <f ca="1">OFFSET($E$7,$A19-$A$7,1,1,1)/OFFSET($E$7,$A19-$A$7,2,1,1)-1</f>
        <v>2.4956015699012069E-2</v>
      </c>
      <c r="D19" s="88">
        <f ca="1">OFFSET($E$7,$A19-$A$7,1,1,1)/OFFSET($E$7,$A19-$A$7,5,1,1)-1</f>
        <v>5.0169171889733244E-2</v>
      </c>
      <c r="E19" s="94">
        <f ca="1">OFFSET($E$7,$A19-$A$7,1,1,1)/OFFSET($E$7,$A19-$A$7,IF(MONTH(MAX($7:$7))=3,2,IF(MONTH(MAX($7:$7))=6,3,IF(MONTH(MAX($7:$7))=9,4,5)))*1,1)-1</f>
        <v>2.50392507173407E-2</v>
      </c>
      <c r="F19" s="270">
        <v>37867</v>
      </c>
      <c r="G19" s="270">
        <v>36945</v>
      </c>
      <c r="H19" s="270">
        <v>36942</v>
      </c>
      <c r="I19" s="270">
        <v>36709</v>
      </c>
      <c r="J19" s="270">
        <v>36058</v>
      </c>
      <c r="K19" s="270">
        <v>36382</v>
      </c>
      <c r="L19" s="270">
        <v>37664</v>
      </c>
      <c r="M19" s="270">
        <v>39193</v>
      </c>
      <c r="N19" s="270">
        <v>39429</v>
      </c>
      <c r="O19" s="270">
        <v>39427</v>
      </c>
      <c r="P19" s="270">
        <v>40011</v>
      </c>
      <c r="Q19" s="270">
        <v>41114</v>
      </c>
      <c r="R19" s="270">
        <v>40183</v>
      </c>
      <c r="S19" s="270">
        <v>39679</v>
      </c>
      <c r="T19" s="270">
        <v>40261</v>
      </c>
      <c r="U19" s="400"/>
      <c r="V19" s="400"/>
      <c r="W19" s="400"/>
      <c r="X19" s="270">
        <v>41758</v>
      </c>
      <c r="Y19" s="270">
        <v>40001.184999999998</v>
      </c>
      <c r="Z19" s="270">
        <v>38373.536</v>
      </c>
      <c r="AA19" s="270">
        <v>34317.849000000002</v>
      </c>
      <c r="AB19" s="270">
        <v>32642</v>
      </c>
      <c r="AC19" s="270">
        <v>33008.074000000001</v>
      </c>
      <c r="AD19" s="270">
        <v>32481.688000000002</v>
      </c>
      <c r="AE19" s="270">
        <v>33120.707999999999</v>
      </c>
      <c r="AF19" s="22">
        <v>32134.153999999999</v>
      </c>
      <c r="AG19" s="22">
        <v>30640.649000000001</v>
      </c>
      <c r="AH19" s="22">
        <v>28057.616999999998</v>
      </c>
      <c r="AI19" s="22">
        <v>25656.577000000001</v>
      </c>
      <c r="AJ19" s="22">
        <v>24377.16</v>
      </c>
      <c r="AK19" s="22">
        <v>22417.059000000001</v>
      </c>
      <c r="AL19" s="22">
        <v>20235.487000000001</v>
      </c>
      <c r="AM19" s="22">
        <v>17995.724999999999</v>
      </c>
    </row>
    <row r="20" spans="1:39" ht="15" customHeight="1" x14ac:dyDescent="0.25">
      <c r="A20" s="74">
        <v>20</v>
      </c>
      <c r="B20" s="14"/>
      <c r="C20" s="93"/>
      <c r="D20" s="88"/>
      <c r="E20" s="94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400"/>
      <c r="V20" s="400"/>
      <c r="W20" s="400"/>
      <c r="X20" s="270"/>
      <c r="Y20" s="270"/>
      <c r="Z20" s="270"/>
      <c r="AA20" s="270"/>
      <c r="AB20" s="270"/>
      <c r="AC20" s="270"/>
      <c r="AD20" s="270"/>
      <c r="AE20" s="270"/>
      <c r="AF20" s="22"/>
      <c r="AG20" s="22"/>
      <c r="AH20" s="22"/>
      <c r="AI20" s="22"/>
      <c r="AJ20" s="22"/>
      <c r="AK20" s="22"/>
      <c r="AL20" s="22"/>
      <c r="AM20" s="22"/>
    </row>
    <row r="21" spans="1:39" ht="15" customHeight="1" x14ac:dyDescent="0.25">
      <c r="A21" s="74">
        <v>21</v>
      </c>
      <c r="B21" s="17" t="s">
        <v>79</v>
      </c>
      <c r="C21" s="93">
        <f ca="1">OFFSET($E$7,$A21-$A$7,1,1,1)/OFFSET($E$7,$A21-$A$7,2,1,1)-1</f>
        <v>0.24780623528572443</v>
      </c>
      <c r="D21" s="88">
        <f ca="1">OFFSET($E$7,$A21-$A$7,1,1,1)/OFFSET($E$7,$A21-$A$7,5,1,1)-1</f>
        <v>-2.7332888443999503E-2</v>
      </c>
      <c r="E21" s="94">
        <f ca="1">OFFSET($E$7,$A21-$A$7,1,1,1)/OFFSET($E$7,$A21-$A$7,IF(MONTH(MAX($7:$7))=3,2,IF(MONTH(MAX($7:$7))=6,3,IF(MONTH(MAX($7:$7))=9,4,5)))*1,1)-1</f>
        <v>0.21318582229312621</v>
      </c>
      <c r="F21" s="270">
        <v>-34981</v>
      </c>
      <c r="G21" s="270">
        <v>-28034</v>
      </c>
      <c r="H21" s="270">
        <v>-28834</v>
      </c>
      <c r="I21" s="270">
        <v>-35084</v>
      </c>
      <c r="J21" s="270">
        <v>-35964</v>
      </c>
      <c r="K21" s="270">
        <v>-31060</v>
      </c>
      <c r="L21" s="270">
        <v>-33283</v>
      </c>
      <c r="M21" s="270">
        <v>-30880</v>
      </c>
      <c r="N21" s="270">
        <v>-29389</v>
      </c>
      <c r="O21" s="270">
        <v>-30143</v>
      </c>
      <c r="P21" s="270">
        <v>-34553</v>
      </c>
      <c r="Q21" s="270">
        <v>-36779</v>
      </c>
      <c r="R21" s="270">
        <v>-37201</v>
      </c>
      <c r="S21" s="270">
        <v>-36188</v>
      </c>
      <c r="T21" s="270">
        <v>-42576</v>
      </c>
      <c r="U21" s="400"/>
      <c r="V21" s="400"/>
      <c r="W21" s="400"/>
      <c r="X21" s="270">
        <v>-40115</v>
      </c>
      <c r="Y21" s="270">
        <v>-42645.008999999998</v>
      </c>
      <c r="Z21" s="270">
        <v>-42485.491000000002</v>
      </c>
      <c r="AA21" s="270">
        <v>-42244.771000000001</v>
      </c>
      <c r="AB21" s="270">
        <v>-39808</v>
      </c>
      <c r="AC21" s="270">
        <v>-41471.828000000001</v>
      </c>
      <c r="AD21" s="270">
        <v>-38747.722999999998</v>
      </c>
      <c r="AE21" s="270">
        <v>-37743.553999999996</v>
      </c>
      <c r="AF21" s="22">
        <v>-33376.584999999999</v>
      </c>
      <c r="AG21" s="22">
        <v>-35824.313999999998</v>
      </c>
      <c r="AH21" s="22">
        <v>-36278.425000000003</v>
      </c>
      <c r="AI21" s="22">
        <v>-36822.692000000003</v>
      </c>
      <c r="AJ21" s="22">
        <v>-36500.28</v>
      </c>
      <c r="AK21" s="22">
        <v>-37689.192000000003</v>
      </c>
      <c r="AL21" s="22">
        <f>-36925.44</f>
        <v>-36925.440000000002</v>
      </c>
      <c r="AM21" s="22">
        <f>-35781.989</f>
        <v>-35781.989000000001</v>
      </c>
    </row>
    <row r="22" spans="1:39" ht="15" customHeight="1" x14ac:dyDescent="0.25">
      <c r="A22" s="74">
        <v>22</v>
      </c>
      <c r="B22" s="17"/>
      <c r="C22" s="93"/>
      <c r="D22" s="88"/>
      <c r="E22" s="94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400"/>
      <c r="V22" s="400"/>
      <c r="W22" s="400"/>
      <c r="X22" s="270"/>
      <c r="Y22" s="270"/>
      <c r="Z22" s="270"/>
      <c r="AA22" s="270"/>
      <c r="AB22" s="270"/>
      <c r="AC22" s="270"/>
      <c r="AD22" s="270"/>
      <c r="AE22" s="270"/>
      <c r="AF22" s="22"/>
      <c r="AG22" s="22"/>
      <c r="AH22" s="22"/>
      <c r="AI22" s="22"/>
      <c r="AJ22" s="22"/>
      <c r="AK22" s="22"/>
      <c r="AL22" s="22"/>
      <c r="AM22" s="22"/>
    </row>
    <row r="23" spans="1:39" ht="15" customHeight="1" x14ac:dyDescent="0.25">
      <c r="A23" s="74">
        <v>23</v>
      </c>
      <c r="B23" s="17" t="s">
        <v>312</v>
      </c>
      <c r="C23" s="93"/>
      <c r="D23" s="88"/>
      <c r="E23" s="94"/>
      <c r="F23" s="270">
        <v>10547</v>
      </c>
      <c r="G23" s="270">
        <v>10097</v>
      </c>
      <c r="H23" s="270">
        <v>9283</v>
      </c>
      <c r="I23" s="270">
        <v>8305</v>
      </c>
      <c r="J23" s="270">
        <v>7208</v>
      </c>
      <c r="K23" s="270">
        <v>7952</v>
      </c>
      <c r="L23" s="270">
        <v>7702</v>
      </c>
      <c r="M23" s="270">
        <v>7690</v>
      </c>
      <c r="N23" s="270">
        <v>7624</v>
      </c>
      <c r="O23" s="270">
        <v>7440</v>
      </c>
      <c r="P23" s="270">
        <v>7222</v>
      </c>
      <c r="Q23" s="270">
        <v>7460</v>
      </c>
      <c r="R23" s="270">
        <v>7927</v>
      </c>
      <c r="S23" s="270">
        <v>7893</v>
      </c>
      <c r="T23" s="270">
        <v>7792</v>
      </c>
      <c r="U23" s="400"/>
      <c r="V23" s="400"/>
      <c r="W23" s="400"/>
      <c r="X23" s="270">
        <v>12639</v>
      </c>
      <c r="Y23" s="270">
        <v>8496.0519999999997</v>
      </c>
      <c r="Z23" s="270">
        <v>4046.893</v>
      </c>
      <c r="AA23" s="270">
        <v>4548.165</v>
      </c>
      <c r="AB23" s="270">
        <v>5129</v>
      </c>
      <c r="AC23" s="270">
        <v>5451.0619999999999</v>
      </c>
      <c r="AD23" s="270">
        <v>5307.22</v>
      </c>
      <c r="AE23" s="270">
        <v>6094.5810000000001</v>
      </c>
      <c r="AF23" s="22">
        <v>6931.1890000000003</v>
      </c>
      <c r="AG23" s="22">
        <v>4040.645</v>
      </c>
      <c r="AH23" s="22">
        <v>2101.1309999999999</v>
      </c>
      <c r="AI23" s="22">
        <v>977.87099999999998</v>
      </c>
      <c r="AJ23" s="22">
        <v>1094.58</v>
      </c>
      <c r="AK23" s="22">
        <v>0</v>
      </c>
      <c r="AL23" s="22">
        <v>1262</v>
      </c>
      <c r="AM23" s="22">
        <v>905.798</v>
      </c>
    </row>
    <row r="24" spans="1:39" s="19" customFormat="1" ht="26.1" customHeight="1" x14ac:dyDescent="0.25">
      <c r="A24" s="74">
        <v>24</v>
      </c>
      <c r="B24" s="19" t="s">
        <v>183</v>
      </c>
      <c r="C24" s="93">
        <f ca="1">OFFSET($E$7,$A24-$A$7,1,1,1)/OFFSET($E$7,$A24-$A$7,2,1,1)-1</f>
        <v>3.5948139284028846E-2</v>
      </c>
      <c r="D24" s="88">
        <f ca="1">OFFSET($E$7,$A24-$A$7,1,1,1)/OFFSET($E$7,$A24-$A$7,5,1,1)-1</f>
        <v>0.19663679449037819</v>
      </c>
      <c r="E24" s="94">
        <f ca="1">OFFSET($E$7,$A24-$A$7,1,1,1)/OFFSET($E$7,$A24-$A$7,IF(MONTH(MAX($7:$7))=3,2,IF(MONTH(MAX($7:$7))=6,3,IF(MONTH(MAX($7:$7))=9,4,5)))*1,1)-1</f>
        <v>5.4001277527940594E-2</v>
      </c>
      <c r="F24" s="271">
        <f>F55+F21</f>
        <v>983438</v>
      </c>
      <c r="G24" s="271">
        <f t="shared" ref="G24" si="0">G55+G21</f>
        <v>949312</v>
      </c>
      <c r="H24" s="271">
        <f t="shared" ref="H24" si="1">H55+H21</f>
        <v>933052</v>
      </c>
      <c r="I24" s="271">
        <f t="shared" ref="I24" si="2">I55+I21</f>
        <v>918271</v>
      </c>
      <c r="J24" s="271">
        <f t="shared" ref="J24:K24" si="3">J55+J21</f>
        <v>821835</v>
      </c>
      <c r="K24" s="271">
        <f t="shared" si="3"/>
        <v>729349</v>
      </c>
      <c r="L24" s="271">
        <f t="shared" ref="L24:R24" si="4">L55+L21</f>
        <v>717762</v>
      </c>
      <c r="M24" s="271">
        <f t="shared" si="4"/>
        <v>708783</v>
      </c>
      <c r="N24" s="271">
        <f t="shared" si="4"/>
        <v>686952</v>
      </c>
      <c r="O24" s="271">
        <f t="shared" si="4"/>
        <v>675607</v>
      </c>
      <c r="P24" s="271">
        <f t="shared" si="4"/>
        <v>651757</v>
      </c>
      <c r="Q24" s="271">
        <f t="shared" si="4"/>
        <v>623516</v>
      </c>
      <c r="R24" s="271">
        <f t="shared" si="4"/>
        <v>538589</v>
      </c>
      <c r="S24" s="271">
        <f t="shared" ref="S24:AE24" si="5">S55+S21</f>
        <v>561400</v>
      </c>
      <c r="T24" s="271">
        <f t="shared" si="5"/>
        <v>515269</v>
      </c>
      <c r="U24" s="412"/>
      <c r="V24" s="412"/>
      <c r="W24" s="412"/>
      <c r="X24" s="271">
        <f t="shared" si="5"/>
        <v>473799</v>
      </c>
      <c r="Y24" s="271">
        <f t="shared" si="5"/>
        <v>472663.63099999999</v>
      </c>
      <c r="Z24" s="271">
        <f t="shared" si="5"/>
        <v>464833.99600000004</v>
      </c>
      <c r="AA24" s="271">
        <f t="shared" si="5"/>
        <v>440448.87799999997</v>
      </c>
      <c r="AB24" s="271">
        <f t="shared" si="5"/>
        <v>419464.58100000001</v>
      </c>
      <c r="AC24" s="271">
        <f t="shared" si="5"/>
        <v>427182.34500000003</v>
      </c>
      <c r="AD24" s="271">
        <f t="shared" si="5"/>
        <v>378472.17800000001</v>
      </c>
      <c r="AE24" s="271">
        <f t="shared" si="5"/>
        <v>396604.96399999998</v>
      </c>
      <c r="AF24" s="66">
        <f t="shared" ref="AF24:AM24" si="6">SUM(AF12:AF23)</f>
        <v>368069.65399999998</v>
      </c>
      <c r="AG24" s="66">
        <f t="shared" si="6"/>
        <v>354946.16200000001</v>
      </c>
      <c r="AH24" s="66">
        <f t="shared" si="6"/>
        <v>329403.24</v>
      </c>
      <c r="AI24" s="66">
        <f t="shared" si="6"/>
        <v>335272.59299999999</v>
      </c>
      <c r="AJ24" s="66">
        <f t="shared" si="6"/>
        <v>338783.58599999995</v>
      </c>
      <c r="AK24" s="66">
        <f t="shared" si="6"/>
        <v>338548.3930000001</v>
      </c>
      <c r="AL24" s="66">
        <f t="shared" si="6"/>
        <v>318159.95399999997</v>
      </c>
      <c r="AM24" s="66">
        <f t="shared" si="6"/>
        <v>309997.75799999997</v>
      </c>
    </row>
    <row r="25" spans="1:39" x14ac:dyDescent="0.25">
      <c r="A25" s="74">
        <v>25</v>
      </c>
      <c r="E25" s="108"/>
      <c r="F25" s="383"/>
      <c r="G25" s="383"/>
      <c r="H25" s="146"/>
      <c r="I25" s="146"/>
      <c r="J25" s="146"/>
      <c r="K25" s="146"/>
      <c r="L25" s="146"/>
      <c r="M25" s="146"/>
      <c r="N25" s="146"/>
      <c r="O25" s="146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  <c r="AC25" s="317"/>
      <c r="AD25" s="317"/>
      <c r="AE25" s="317"/>
      <c r="AF25" s="25"/>
    </row>
    <row r="26" spans="1:39" x14ac:dyDescent="0.25">
      <c r="A26" s="74">
        <v>26</v>
      </c>
      <c r="G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1"/>
      <c r="AJ26"/>
      <c r="AK26"/>
    </row>
    <row r="27" spans="1:39" x14ac:dyDescent="0.25">
      <c r="A27" s="74">
        <v>27</v>
      </c>
      <c r="G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</row>
    <row r="28" spans="1:39" x14ac:dyDescent="0.25">
      <c r="A28" s="74">
        <v>28</v>
      </c>
      <c r="B28" s="453" t="s">
        <v>216</v>
      </c>
      <c r="C28" s="470" t="s">
        <v>201</v>
      </c>
      <c r="D28" s="472" t="s">
        <v>202</v>
      </c>
      <c r="E28" s="468" t="s">
        <v>297</v>
      </c>
      <c r="F28" s="479">
        <v>46203</v>
      </c>
      <c r="G28" s="479">
        <v>46112</v>
      </c>
      <c r="H28" s="446">
        <v>46022</v>
      </c>
      <c r="I28" s="446">
        <v>45930</v>
      </c>
      <c r="J28" s="446">
        <v>45838</v>
      </c>
      <c r="K28" s="446">
        <v>45747</v>
      </c>
      <c r="L28" s="446">
        <v>45657</v>
      </c>
      <c r="M28" s="446">
        <v>45565</v>
      </c>
      <c r="N28" s="446">
        <v>45473</v>
      </c>
      <c r="O28" s="446">
        <v>45382</v>
      </c>
      <c r="P28" s="446">
        <v>45291</v>
      </c>
      <c r="Q28" s="446">
        <v>45199</v>
      </c>
      <c r="R28" s="446">
        <v>45107</v>
      </c>
      <c r="S28" s="446">
        <v>45016</v>
      </c>
      <c r="T28" s="446">
        <v>44926</v>
      </c>
      <c r="U28" s="446">
        <v>44834</v>
      </c>
      <c r="V28" s="446">
        <v>44742</v>
      </c>
      <c r="W28" s="446">
        <v>44651</v>
      </c>
      <c r="X28" s="446">
        <v>44561</v>
      </c>
      <c r="Y28" s="446">
        <v>44469</v>
      </c>
      <c r="Z28" s="446">
        <v>44377</v>
      </c>
      <c r="AA28" s="446">
        <v>44286</v>
      </c>
      <c r="AB28" s="479">
        <v>44196</v>
      </c>
      <c r="AC28" s="479">
        <v>44104</v>
      </c>
      <c r="AD28" s="479">
        <v>44012</v>
      </c>
      <c r="AE28" s="479">
        <v>43921</v>
      </c>
      <c r="AF28" s="446">
        <v>43830</v>
      </c>
      <c r="AG28" s="459">
        <v>43738</v>
      </c>
      <c r="AH28" s="459">
        <v>43646</v>
      </c>
      <c r="AI28" s="459">
        <v>43555</v>
      </c>
      <c r="AJ28" s="446">
        <v>43465</v>
      </c>
      <c r="AK28" s="446">
        <v>43373</v>
      </c>
      <c r="AL28" s="446">
        <v>43281</v>
      </c>
      <c r="AM28" s="446">
        <v>43190</v>
      </c>
    </row>
    <row r="29" spans="1:39" x14ac:dyDescent="0.25">
      <c r="A29" s="74">
        <v>29</v>
      </c>
      <c r="B29" s="454"/>
      <c r="C29" s="471"/>
      <c r="D29" s="487"/>
      <c r="E29" s="478"/>
      <c r="F29" s="493"/>
      <c r="G29" s="493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80"/>
      <c r="AC29" s="480"/>
      <c r="AD29" s="480"/>
      <c r="AE29" s="480"/>
      <c r="AF29" s="447"/>
      <c r="AG29" s="460"/>
      <c r="AH29" s="460"/>
      <c r="AI29" s="460"/>
      <c r="AJ29" s="447"/>
      <c r="AK29" s="447"/>
      <c r="AL29" s="447"/>
      <c r="AM29" s="447"/>
    </row>
    <row r="30" spans="1:39" ht="9.75" customHeight="1" x14ac:dyDescent="0.25">
      <c r="A30" s="74">
        <v>30</v>
      </c>
      <c r="B30" s="8" t="s">
        <v>8</v>
      </c>
      <c r="C30" s="135"/>
      <c r="D30" s="278"/>
      <c r="E30" s="136"/>
      <c r="F30" s="305"/>
      <c r="G30" s="305"/>
      <c r="H30" s="39"/>
      <c r="I30" s="39"/>
      <c r="J30" s="39"/>
      <c r="K30" s="39"/>
      <c r="L30" s="39"/>
      <c r="M30" s="39"/>
      <c r="N30" s="39"/>
      <c r="O30" s="39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9"/>
      <c r="AG30" s="39"/>
      <c r="AH30" s="39"/>
      <c r="AI30" s="39"/>
      <c r="AJ30" s="39"/>
      <c r="AK30" s="39"/>
      <c r="AL30" s="39"/>
      <c r="AM30" s="39"/>
    </row>
    <row r="31" spans="1:39" s="62" customFormat="1" x14ac:dyDescent="0.25">
      <c r="A31" s="74">
        <v>31</v>
      </c>
      <c r="B31" s="137" t="s">
        <v>220</v>
      </c>
      <c r="C31" s="93">
        <f ca="1">OFFSET($E$7,$A31-$A$7,1,1,1)/OFFSET($E$7,$A31-$A$7,2,1,1)-1</f>
        <v>3.1616591655516446E-2</v>
      </c>
      <c r="D31" s="88">
        <f ca="1">OFFSET($E$7,$A31-$A$7,1,1,1)/OFFSET($E$7,$A31-$A$7,5,1,1)-1</f>
        <v>0.21047403186855229</v>
      </c>
      <c r="E31" s="94">
        <f ca="1">OFFSET($E$7,$A31-$A$7,1,1,1)/OFFSET($E$7,$A31-$A$7,IF(MONTH(MAX($7:$7))=3,2,IF(MONTH(MAX($7:$7))=6,3,IF(MONTH(MAX($7:$7))=9,4,5)))*1,1)-1</f>
        <v>5.3860338888695569E-2</v>
      </c>
      <c r="F31" s="306">
        <f t="shared" ref="F31:G31" si="7">F16+F19</f>
        <v>212023</v>
      </c>
      <c r="G31" s="306">
        <f t="shared" si="7"/>
        <v>205525</v>
      </c>
      <c r="H31" s="306">
        <f t="shared" ref="H31:M31" si="8">H16+H19</f>
        <v>201187</v>
      </c>
      <c r="I31" s="306">
        <f t="shared" si="8"/>
        <v>185602</v>
      </c>
      <c r="J31" s="306">
        <f t="shared" si="8"/>
        <v>175157</v>
      </c>
      <c r="K31" s="306">
        <f t="shared" si="8"/>
        <v>170745</v>
      </c>
      <c r="L31" s="306">
        <f t="shared" si="8"/>
        <v>162475</v>
      </c>
      <c r="M31" s="306">
        <f t="shared" si="8"/>
        <v>158681</v>
      </c>
      <c r="N31" s="306">
        <f t="shared" ref="N31:S31" si="9">N16+N19</f>
        <v>158352</v>
      </c>
      <c r="O31" s="306">
        <f t="shared" si="9"/>
        <v>156296</v>
      </c>
      <c r="P31" s="306">
        <f t="shared" si="9"/>
        <v>155917</v>
      </c>
      <c r="Q31" s="306">
        <f t="shared" si="9"/>
        <v>155210</v>
      </c>
      <c r="R31" s="306">
        <f t="shared" si="9"/>
        <v>149035</v>
      </c>
      <c r="S31" s="306">
        <f t="shared" si="9"/>
        <v>143858</v>
      </c>
      <c r="T31" s="306">
        <f t="shared" ref="T31:AM31" si="10">T16+T19</f>
        <v>138960</v>
      </c>
      <c r="U31" s="417"/>
      <c r="V31" s="417"/>
      <c r="W31" s="417"/>
      <c r="X31" s="306">
        <f t="shared" si="10"/>
        <v>131918</v>
      </c>
      <c r="Y31" s="306">
        <f t="shared" si="10"/>
        <v>126631.417</v>
      </c>
      <c r="Z31" s="306">
        <f t="shared" si="10"/>
        <v>123725.356</v>
      </c>
      <c r="AA31" s="306">
        <f t="shared" si="10"/>
        <v>115247.511</v>
      </c>
      <c r="AB31" s="306">
        <f t="shared" si="10"/>
        <v>110922</v>
      </c>
      <c r="AC31" s="306">
        <f t="shared" si="10"/>
        <v>106872.07500000001</v>
      </c>
      <c r="AD31" s="306">
        <f t="shared" si="10"/>
        <v>101348.83300000001</v>
      </c>
      <c r="AE31" s="306">
        <f t="shared" si="10"/>
        <v>100728.715</v>
      </c>
      <c r="AF31" s="72">
        <f t="shared" si="10"/>
        <v>99148.716</v>
      </c>
      <c r="AG31" s="72">
        <f t="shared" si="10"/>
        <v>97600.955000000002</v>
      </c>
      <c r="AH31" s="72">
        <f t="shared" si="10"/>
        <v>93968.777999999991</v>
      </c>
      <c r="AI31" s="72">
        <f t="shared" si="10"/>
        <v>88152.683000000005</v>
      </c>
      <c r="AJ31" s="72">
        <f t="shared" si="10"/>
        <v>84355.202000000005</v>
      </c>
      <c r="AK31" s="72">
        <f t="shared" si="10"/>
        <v>80465.067999999999</v>
      </c>
      <c r="AL31" s="72">
        <f t="shared" si="10"/>
        <v>76843.277999999991</v>
      </c>
      <c r="AM31" s="72">
        <f t="shared" si="10"/>
        <v>73364.459999999992</v>
      </c>
    </row>
    <row r="32" spans="1:39" x14ac:dyDescent="0.25">
      <c r="A32" s="74">
        <v>32</v>
      </c>
      <c r="G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</row>
    <row r="33" spans="1:52" x14ac:dyDescent="0.25">
      <c r="A33" s="74">
        <v>33</v>
      </c>
      <c r="G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</row>
    <row r="34" spans="1:52" x14ac:dyDescent="0.25">
      <c r="A34" s="74">
        <v>34</v>
      </c>
      <c r="G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</row>
    <row r="35" spans="1:52" ht="15.75" customHeight="1" x14ac:dyDescent="0.25">
      <c r="A35" s="74">
        <v>35</v>
      </c>
      <c r="B35" s="453" t="s">
        <v>445</v>
      </c>
      <c r="C35" s="470" t="s">
        <v>201</v>
      </c>
      <c r="D35" s="472" t="s">
        <v>202</v>
      </c>
      <c r="E35" s="468" t="s">
        <v>297</v>
      </c>
      <c r="F35" s="479">
        <v>46203</v>
      </c>
      <c r="G35" s="479">
        <v>46112</v>
      </c>
      <c r="H35" s="446">
        <v>46022</v>
      </c>
      <c r="I35" s="446">
        <v>45930</v>
      </c>
      <c r="J35" s="446">
        <v>45838</v>
      </c>
      <c r="K35" s="446">
        <v>45747</v>
      </c>
      <c r="L35" s="446">
        <v>45657</v>
      </c>
      <c r="M35" s="446">
        <v>45565</v>
      </c>
      <c r="N35" s="446">
        <v>45473</v>
      </c>
      <c r="O35" s="446">
        <v>45382</v>
      </c>
      <c r="P35" s="446">
        <v>45291</v>
      </c>
      <c r="Q35" s="446">
        <v>45199</v>
      </c>
      <c r="R35" s="446">
        <v>45107</v>
      </c>
      <c r="S35" s="446">
        <v>45016</v>
      </c>
      <c r="T35" s="446">
        <v>44926</v>
      </c>
      <c r="U35" s="446">
        <v>44834</v>
      </c>
      <c r="V35" s="446">
        <v>44742</v>
      </c>
      <c r="W35" s="446">
        <v>44651</v>
      </c>
      <c r="X35" s="446">
        <v>44561</v>
      </c>
      <c r="Y35" s="446">
        <v>44469</v>
      </c>
      <c r="Z35" s="446">
        <v>44377</v>
      </c>
      <c r="AA35" s="446">
        <v>44286</v>
      </c>
      <c r="AB35" s="479">
        <v>44196</v>
      </c>
      <c r="AC35" s="479">
        <v>44104</v>
      </c>
      <c r="AD35" s="479">
        <v>44012</v>
      </c>
      <c r="AE35" s="479">
        <v>43921</v>
      </c>
      <c r="AF35" s="446">
        <v>43830</v>
      </c>
      <c r="AG35" s="459">
        <v>43738</v>
      </c>
      <c r="AH35" s="459">
        <v>43646</v>
      </c>
      <c r="AI35" s="459">
        <v>43555</v>
      </c>
      <c r="AJ35" s="446">
        <v>43465</v>
      </c>
      <c r="AK35" s="446">
        <v>43373</v>
      </c>
      <c r="AL35" s="446">
        <v>43281</v>
      </c>
      <c r="AM35" s="446">
        <v>43190</v>
      </c>
    </row>
    <row r="36" spans="1:52" x14ac:dyDescent="0.25">
      <c r="A36" s="74">
        <v>36</v>
      </c>
      <c r="B36" s="454"/>
      <c r="C36" s="471"/>
      <c r="D36" s="487"/>
      <c r="E36" s="478"/>
      <c r="F36" s="493"/>
      <c r="G36" s="493"/>
      <c r="H36" s="447"/>
      <c r="I36" s="447"/>
      <c r="J36" s="447"/>
      <c r="K36" s="447"/>
      <c r="L36" s="447"/>
      <c r="M36" s="447"/>
      <c r="N36" s="447"/>
      <c r="O36" s="447"/>
      <c r="P36" s="447"/>
      <c r="Q36" s="447"/>
      <c r="R36" s="447"/>
      <c r="S36" s="447"/>
      <c r="T36" s="447"/>
      <c r="U36" s="447"/>
      <c r="V36" s="447"/>
      <c r="W36" s="447"/>
      <c r="X36" s="447"/>
      <c r="Y36" s="447"/>
      <c r="Z36" s="447"/>
      <c r="AA36" s="447"/>
      <c r="AB36" s="480"/>
      <c r="AC36" s="480"/>
      <c r="AD36" s="480"/>
      <c r="AE36" s="480"/>
      <c r="AF36" s="447"/>
      <c r="AG36" s="460"/>
      <c r="AH36" s="460"/>
      <c r="AI36" s="460"/>
      <c r="AJ36" s="447"/>
      <c r="AK36" s="447"/>
      <c r="AL36" s="447"/>
      <c r="AM36" s="447"/>
    </row>
    <row r="37" spans="1:52" ht="9.75" customHeight="1" x14ac:dyDescent="0.25">
      <c r="A37" s="74">
        <v>37</v>
      </c>
      <c r="B37" s="8"/>
      <c r="C37" s="89"/>
      <c r="D37" s="57"/>
      <c r="E37" s="90"/>
      <c r="F37" s="303"/>
      <c r="G37" s="303"/>
      <c r="H37" s="57"/>
      <c r="I37" s="57"/>
      <c r="J37" s="57"/>
      <c r="K37" s="57"/>
      <c r="L37" s="57"/>
      <c r="M37" s="57"/>
      <c r="N37" s="57"/>
      <c r="O37" s="57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57"/>
      <c r="AG37" s="57"/>
      <c r="AH37" s="57"/>
      <c r="AI37" s="57"/>
      <c r="AJ37" s="57"/>
      <c r="AK37" s="57"/>
      <c r="AL37" s="57"/>
      <c r="AM37" s="57"/>
    </row>
    <row r="38" spans="1:52" ht="15" customHeight="1" x14ac:dyDescent="0.25">
      <c r="A38" s="74">
        <v>38</v>
      </c>
      <c r="B38" s="190" t="s">
        <v>56</v>
      </c>
      <c r="C38" s="152"/>
      <c r="D38" s="170"/>
      <c r="E38" s="153"/>
      <c r="F38" s="307">
        <f>212527/$F$55</f>
        <v>0.20868326297918638</v>
      </c>
      <c r="G38" s="307">
        <f>206073/$G$55</f>
        <v>0.21084958653332597</v>
      </c>
      <c r="H38" s="307">
        <f>201834/$H$55</f>
        <v>0.20983151849595483</v>
      </c>
      <c r="I38" s="307">
        <f>186296/$I$55</f>
        <v>0.19541094345757876</v>
      </c>
      <c r="J38" s="307">
        <f>175774/$J$55</f>
        <v>0.2049128059137397</v>
      </c>
      <c r="K38" s="307">
        <f>171377/$K$55</f>
        <v>0.22537476542229248</v>
      </c>
      <c r="L38" s="307">
        <f>163175/$L$55</f>
        <v>0.21726394556917361</v>
      </c>
      <c r="M38" s="355"/>
      <c r="N38" s="355"/>
      <c r="O38" s="355"/>
      <c r="P38" s="307">
        <f>158869/$P$55</f>
        <v>0.23148285760079265</v>
      </c>
      <c r="Q38" s="355"/>
      <c r="R38" s="355"/>
      <c r="S38" s="355"/>
      <c r="T38" s="355"/>
      <c r="U38" s="355"/>
      <c r="V38" s="355"/>
      <c r="W38" s="355"/>
      <c r="X38" s="307"/>
      <c r="Y38" s="307"/>
      <c r="Z38" s="307"/>
      <c r="AA38" s="307"/>
      <c r="AB38" s="307"/>
      <c r="AC38" s="307"/>
      <c r="AD38" s="307"/>
      <c r="AE38" s="307"/>
      <c r="AF38" s="129"/>
      <c r="AG38" s="129"/>
      <c r="AH38" s="129"/>
      <c r="AI38" s="129"/>
      <c r="AJ38" s="129"/>
      <c r="AK38" s="129"/>
      <c r="AL38" s="129"/>
      <c r="AM38" s="129"/>
    </row>
    <row r="39" spans="1:52" s="39" customFormat="1" ht="15" customHeight="1" x14ac:dyDescent="0.25">
      <c r="A39" s="74">
        <v>39</v>
      </c>
      <c r="B39" s="189" t="s">
        <v>257</v>
      </c>
      <c r="C39" s="152"/>
      <c r="D39" s="170"/>
      <c r="E39" s="153"/>
      <c r="F39" s="307">
        <f>207186/$F$55</f>
        <v>0.20343885964421324</v>
      </c>
      <c r="G39" s="307">
        <f>164601/$G$55</f>
        <v>0.16841630292649687</v>
      </c>
      <c r="H39" s="307">
        <f>156135/$H$55</f>
        <v>0.16232173043375203</v>
      </c>
      <c r="I39" s="307">
        <f>146903/$I$55</f>
        <v>0.15409055388601309</v>
      </c>
      <c r="J39" s="307">
        <f>131710/$J$55</f>
        <v>0.15354412863619565</v>
      </c>
      <c r="K39" s="307">
        <f>124193/$K$55</f>
        <v>0.1633239480332295</v>
      </c>
      <c r="L39" s="307">
        <f>125866/$L$55</f>
        <v>0.16758782762683994</v>
      </c>
      <c r="M39" s="355"/>
      <c r="N39" s="355"/>
      <c r="O39" s="355"/>
      <c r="P39" s="307">
        <f>99513/$P$55</f>
        <v>0.14499715871836341</v>
      </c>
      <c r="Q39" s="355"/>
      <c r="R39" s="355"/>
      <c r="S39" s="355"/>
      <c r="T39" s="355"/>
      <c r="U39" s="355"/>
      <c r="V39" s="355"/>
      <c r="W39" s="355"/>
      <c r="X39" s="307"/>
      <c r="Y39" s="307"/>
      <c r="Z39" s="307"/>
      <c r="AA39" s="307"/>
      <c r="AB39" s="307"/>
      <c r="AC39" s="307"/>
      <c r="AD39" s="307"/>
      <c r="AE39" s="307"/>
      <c r="AF39" s="129"/>
      <c r="AG39" s="129"/>
      <c r="AH39" s="129"/>
      <c r="AI39" s="129"/>
      <c r="AJ39" s="129"/>
      <c r="AK39" s="129"/>
      <c r="AL39" s="129"/>
      <c r="AM39" s="129"/>
    </row>
    <row r="40" spans="1:52" s="39" customFormat="1" ht="15" customHeight="1" x14ac:dyDescent="0.25">
      <c r="A40" s="74">
        <v>40</v>
      </c>
      <c r="B40" s="190" t="s">
        <v>84</v>
      </c>
      <c r="C40" s="152"/>
      <c r="D40" s="170"/>
      <c r="E40" s="153"/>
      <c r="F40" s="307">
        <f>147540/$F$55</f>
        <v>0.14487160981874847</v>
      </c>
      <c r="G40" s="307">
        <f>153928/$G$55</f>
        <v>0.15749591239949823</v>
      </c>
      <c r="H40" s="307">
        <f>151594/$H$55</f>
        <v>0.15760079676801617</v>
      </c>
      <c r="I40" s="307">
        <f>144608/$I$55</f>
        <v>0.15168326593976011</v>
      </c>
      <c r="J40" s="307">
        <f>35764/$J$55</f>
        <v>4.1692750865878835E-2</v>
      </c>
      <c r="K40" s="307">
        <f>47049/$K$55</f>
        <v>6.1873281352535281E-2</v>
      </c>
      <c r="L40" s="307">
        <f>52912/$L$55</f>
        <v>7.0451171367894069E-2</v>
      </c>
      <c r="M40" s="355"/>
      <c r="N40" s="355"/>
      <c r="O40" s="355"/>
      <c r="P40" s="307">
        <f>70217/$P$55</f>
        <v>0.10231090906441695</v>
      </c>
      <c r="Q40" s="355"/>
      <c r="R40" s="355"/>
      <c r="S40" s="355"/>
      <c r="T40" s="355"/>
      <c r="U40" s="355"/>
      <c r="V40" s="355"/>
      <c r="W40" s="355"/>
      <c r="X40" s="307"/>
      <c r="Y40" s="307"/>
      <c r="Z40" s="307"/>
      <c r="AA40" s="307"/>
      <c r="AB40" s="307"/>
      <c r="AC40" s="307"/>
      <c r="AD40" s="307"/>
      <c r="AE40" s="307"/>
      <c r="AF40" s="129"/>
      <c r="AG40" s="129"/>
      <c r="AH40" s="129"/>
      <c r="AI40" s="129"/>
      <c r="AJ40" s="129"/>
      <c r="AK40" s="129"/>
      <c r="AL40" s="129"/>
      <c r="AM40" s="129"/>
    </row>
    <row r="41" spans="1:52" s="39" customFormat="1" ht="15" customHeight="1" x14ac:dyDescent="0.25">
      <c r="A41" s="74">
        <v>41</v>
      </c>
      <c r="B41" s="190" t="s">
        <v>81</v>
      </c>
      <c r="C41" s="152"/>
      <c r="D41" s="170"/>
      <c r="E41" s="153"/>
      <c r="F41" s="307">
        <f>108849/$F$55</f>
        <v>0.10688037045656061</v>
      </c>
      <c r="G41" s="307">
        <f>100739/$G$55</f>
        <v>0.1030740392859847</v>
      </c>
      <c r="H41" s="307">
        <f>83573/$H$55</f>
        <v>8.688451646037057E-2</v>
      </c>
      <c r="I41" s="307">
        <f>90413/$I$55</f>
        <v>9.4836655810270051E-2</v>
      </c>
      <c r="J41" s="307">
        <f>84023/$J$55</f>
        <v>9.7951851191246428E-2</v>
      </c>
      <c r="K41" s="307">
        <f>68865/$K$55</f>
        <v>9.0563104855413343E-2</v>
      </c>
      <c r="L41" s="307">
        <f>67553/$L$55</f>
        <v>8.9945342822334212E-2</v>
      </c>
      <c r="M41" s="355"/>
      <c r="N41" s="355"/>
      <c r="O41" s="355"/>
      <c r="P41" s="307">
        <f>64506/$P$55</f>
        <v>9.3989596538007605E-2</v>
      </c>
      <c r="Q41" s="355"/>
      <c r="R41" s="355"/>
      <c r="S41" s="355"/>
      <c r="T41" s="355"/>
      <c r="U41" s="355"/>
      <c r="V41" s="355"/>
      <c r="W41" s="355"/>
      <c r="X41" s="307"/>
      <c r="Y41" s="307"/>
      <c r="Z41" s="307"/>
      <c r="AA41" s="307"/>
      <c r="AB41" s="307"/>
      <c r="AC41" s="307"/>
      <c r="AD41" s="307"/>
      <c r="AE41" s="307"/>
      <c r="AF41" s="129"/>
      <c r="AG41" s="129"/>
      <c r="AH41" s="129"/>
      <c r="AI41" s="129"/>
      <c r="AJ41" s="129"/>
      <c r="AK41" s="129"/>
      <c r="AL41" s="129"/>
      <c r="AM41" s="129"/>
    </row>
    <row r="42" spans="1:52" s="39" customFormat="1" ht="15" customHeight="1" x14ac:dyDescent="0.25">
      <c r="A42" s="74">
        <v>42</v>
      </c>
      <c r="B42" s="190" t="s">
        <v>439</v>
      </c>
      <c r="C42" s="152"/>
      <c r="D42" s="170"/>
      <c r="E42" s="153"/>
      <c r="F42" s="307">
        <f>68281/$F$55</f>
        <v>6.7046078284085431E-2</v>
      </c>
      <c r="G42" s="307">
        <f>86960/$G$55</f>
        <v>8.8975654476510874E-2</v>
      </c>
      <c r="H42" s="307">
        <f>62595/$H$55</f>
        <v>6.5075279191089172E-2</v>
      </c>
      <c r="I42" s="307">
        <f>87582/$I$55</f>
        <v>9.1867142879619862E-2</v>
      </c>
      <c r="J42" s="307">
        <f>100583/$J$55</f>
        <v>0.11725707304391822</v>
      </c>
      <c r="K42" s="307">
        <f>48071/$K$55</f>
        <v>6.3217294903137655E-2</v>
      </c>
      <c r="L42" s="307">
        <f>35748/$L$55</f>
        <v>4.759768056507932E-2</v>
      </c>
      <c r="M42" s="355"/>
      <c r="N42" s="355"/>
      <c r="O42" s="355"/>
      <c r="P42" s="307">
        <f>30287/$P$55</f>
        <v>4.4130203552330577E-2</v>
      </c>
      <c r="Q42" s="355"/>
      <c r="R42" s="355"/>
      <c r="S42" s="355"/>
      <c r="T42" s="355"/>
      <c r="U42" s="355"/>
      <c r="V42" s="355"/>
      <c r="W42" s="355"/>
      <c r="X42" s="307"/>
      <c r="Y42" s="307"/>
      <c r="Z42" s="307"/>
      <c r="AA42" s="307"/>
      <c r="AB42" s="307"/>
      <c r="AC42" s="307"/>
      <c r="AD42" s="307"/>
      <c r="AE42" s="307"/>
      <c r="AF42" s="129"/>
      <c r="AG42" s="129"/>
      <c r="AH42" s="129"/>
      <c r="AI42" s="129"/>
      <c r="AJ42" s="129"/>
      <c r="AK42" s="129"/>
      <c r="AL42" s="129"/>
      <c r="AM42" s="129"/>
    </row>
    <row r="43" spans="1:52" s="39" customFormat="1" ht="15" customHeight="1" x14ac:dyDescent="0.25">
      <c r="A43" s="74">
        <v>43</v>
      </c>
      <c r="B43" s="190" t="s">
        <v>443</v>
      </c>
      <c r="C43" s="152"/>
      <c r="D43" s="170"/>
      <c r="E43" s="153"/>
      <c r="F43" s="307">
        <f>62840/$F$55</f>
        <v>6.1703483536736846E-2</v>
      </c>
      <c r="G43" s="307">
        <f>59136/$G$55</f>
        <v>6.0506719217145205E-2</v>
      </c>
      <c r="H43" s="307">
        <f>66857/$H$55</f>
        <v>6.9506157694362955E-2</v>
      </c>
      <c r="I43" s="307">
        <f>69045/$I$55</f>
        <v>7.2423179193479875E-2</v>
      </c>
      <c r="J43" s="307">
        <f>82937/$J$55</f>
        <v>9.66858203378647E-2</v>
      </c>
      <c r="K43" s="307">
        <f>66758/$K$55</f>
        <v>8.7792227603828987E-2</v>
      </c>
      <c r="L43" s="307">
        <f>66092/$L$55</f>
        <v>8.8000053259125618E-2</v>
      </c>
      <c r="M43" s="355"/>
      <c r="N43" s="355"/>
      <c r="O43" s="355"/>
      <c r="P43" s="307">
        <f>72519/$P$55</f>
        <v>0.10566507846308519</v>
      </c>
      <c r="Q43" s="355"/>
      <c r="R43" s="355"/>
      <c r="S43" s="355"/>
      <c r="T43" s="355"/>
      <c r="U43" s="355"/>
      <c r="V43" s="355"/>
      <c r="W43" s="355"/>
      <c r="X43" s="307"/>
      <c r="Y43" s="307"/>
      <c r="Z43" s="307"/>
      <c r="AA43" s="307"/>
      <c r="AB43" s="307"/>
      <c r="AC43" s="307"/>
      <c r="AD43" s="307"/>
      <c r="AE43" s="307"/>
      <c r="AF43" s="129"/>
      <c r="AG43" s="129"/>
      <c r="AH43" s="129"/>
      <c r="AI43" s="129"/>
      <c r="AJ43" s="129"/>
      <c r="AK43" s="129"/>
      <c r="AL43" s="129"/>
      <c r="AM43" s="129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s="39" customFormat="1" ht="15" customHeight="1" x14ac:dyDescent="0.25">
      <c r="A44" s="74">
        <v>44</v>
      </c>
      <c r="B44" s="190" t="s">
        <v>441</v>
      </c>
      <c r="C44" s="152"/>
      <c r="D44" s="170"/>
      <c r="E44" s="153"/>
      <c r="F44" s="307">
        <f>56217/$F$55</f>
        <v>5.5200266295110365E-2</v>
      </c>
      <c r="G44" s="307">
        <f>61690/$G$55</f>
        <v>6.3119918636798028E-2</v>
      </c>
      <c r="H44" s="307">
        <f>84655/$H$55</f>
        <v>8.800938988611956E-2</v>
      </c>
      <c r="I44" s="307">
        <f>82057/$I$55</f>
        <v>8.6071820046047909E-2</v>
      </c>
      <c r="J44" s="307">
        <f>102806/$J$55</f>
        <v>0.11984858923827144</v>
      </c>
      <c r="K44" s="307">
        <f>95211/$K$55</f>
        <v>0.12521024869511013</v>
      </c>
      <c r="L44" s="307">
        <f>85128/$L$55</f>
        <v>0.11334607114087704</v>
      </c>
      <c r="M44" s="355"/>
      <c r="N44" s="355"/>
      <c r="O44" s="355"/>
      <c r="P44" s="307">
        <f>75365/$P$55</f>
        <v>0.10981189258498346</v>
      </c>
      <c r="Q44" s="355"/>
      <c r="R44" s="355"/>
      <c r="S44" s="355"/>
      <c r="T44" s="355"/>
      <c r="U44" s="355"/>
      <c r="V44" s="355"/>
      <c r="W44" s="355"/>
      <c r="X44" s="307"/>
      <c r="Y44" s="307"/>
      <c r="Z44" s="307"/>
      <c r="AA44" s="307"/>
      <c r="AB44" s="307"/>
      <c r="AC44" s="307"/>
      <c r="AD44" s="307"/>
      <c r="AE44" s="307"/>
      <c r="AF44" s="129"/>
      <c r="AG44" s="129"/>
      <c r="AH44" s="129"/>
      <c r="AI44" s="129"/>
      <c r="AJ44" s="129"/>
      <c r="AK44" s="129"/>
      <c r="AL44" s="129"/>
      <c r="AM44" s="129"/>
    </row>
    <row r="45" spans="1:52" s="39" customFormat="1" ht="15" customHeight="1" x14ac:dyDescent="0.25">
      <c r="A45" s="74">
        <v>45</v>
      </c>
      <c r="B45" s="190" t="s">
        <v>444</v>
      </c>
      <c r="C45" s="152"/>
      <c r="D45" s="170"/>
      <c r="E45" s="153"/>
      <c r="F45" s="307">
        <f>49703/$F$55</f>
        <v>4.8804077692973125E-2</v>
      </c>
      <c r="G45" s="307">
        <f>60237/$G$55</f>
        <v>6.1633239405492014E-2</v>
      </c>
      <c r="H45" s="307">
        <f>53680/$H$55</f>
        <v>5.5807029107399424E-2</v>
      </c>
      <c r="I45" s="307">
        <f>46853/$I$55</f>
        <v>4.914538655589995E-2</v>
      </c>
      <c r="J45" s="307">
        <f>33730/$J$55</f>
        <v>3.932156600788763E-2</v>
      </c>
      <c r="K45" s="307">
        <f>29746/$K$55</f>
        <v>3.9118421796690991E-2</v>
      </c>
      <c r="L45" s="307">
        <f>40798/$L$55</f>
        <v>5.4321645174390351E-2</v>
      </c>
      <c r="M45" s="355"/>
      <c r="N45" s="355"/>
      <c r="O45" s="355"/>
      <c r="P45" s="307">
        <f>41024/$P$55</f>
        <v>5.9774737363582055E-2</v>
      </c>
      <c r="Q45" s="355"/>
      <c r="R45" s="355"/>
      <c r="S45" s="355"/>
      <c r="T45" s="355"/>
      <c r="U45" s="355"/>
      <c r="V45" s="355"/>
      <c r="W45" s="355"/>
      <c r="X45" s="307"/>
      <c r="Y45" s="307"/>
      <c r="Z45" s="307"/>
      <c r="AA45" s="307"/>
      <c r="AB45" s="307"/>
      <c r="AC45" s="307"/>
      <c r="AD45" s="307"/>
      <c r="AE45" s="307"/>
      <c r="AF45" s="129"/>
      <c r="AG45" s="129"/>
      <c r="AH45" s="129"/>
      <c r="AI45" s="129"/>
      <c r="AJ45" s="129"/>
      <c r="AK45" s="129"/>
      <c r="AL45" s="129"/>
      <c r="AM45" s="129"/>
    </row>
    <row r="46" spans="1:52" ht="15" customHeight="1" x14ac:dyDescent="0.25">
      <c r="A46" s="74">
        <v>46</v>
      </c>
      <c r="B46" s="189" t="s">
        <v>463</v>
      </c>
      <c r="C46" s="152"/>
      <c r="D46" s="170"/>
      <c r="E46" s="153"/>
      <c r="F46" s="307">
        <f>41921/$F$55</f>
        <v>4.1162821981915107E-2</v>
      </c>
      <c r="G46" s="307">
        <f>31806/$G$55</f>
        <v>3.2543234432841593E-2</v>
      </c>
      <c r="H46" s="307">
        <f>39714/$H$55</f>
        <v>4.1287636996483988E-2</v>
      </c>
      <c r="I46" s="307">
        <f>26434/$I$55</f>
        <v>2.7727341861111549E-2</v>
      </c>
      <c r="J46" s="307">
        <f>26733/$J$55</f>
        <v>3.1164643465427216E-2</v>
      </c>
      <c r="K46" s="307">
        <f>18948/$K$55</f>
        <v>2.4918169037978246E-2</v>
      </c>
      <c r="L46" s="307">
        <f>28617/$L$55</f>
        <v>3.8102909945475973E-2</v>
      </c>
      <c r="M46" s="355"/>
      <c r="N46" s="355"/>
      <c r="O46" s="355"/>
      <c r="P46" s="307">
        <f>553/$P$55</f>
        <v>8.0575833078346524E-4</v>
      </c>
      <c r="Q46" s="355"/>
      <c r="R46" s="355"/>
      <c r="S46" s="355"/>
      <c r="T46" s="355"/>
      <c r="U46" s="355"/>
      <c r="V46" s="355"/>
      <c r="W46" s="355"/>
      <c r="X46" s="307"/>
      <c r="Y46" s="307"/>
      <c r="Z46" s="307"/>
      <c r="AA46" s="307"/>
      <c r="AB46" s="307"/>
      <c r="AC46" s="307"/>
      <c r="AD46" s="307"/>
      <c r="AE46" s="307"/>
      <c r="AF46" s="129"/>
      <c r="AG46" s="129"/>
      <c r="AH46" s="129"/>
      <c r="AI46" s="129"/>
      <c r="AJ46" s="129"/>
      <c r="AK46" s="129"/>
      <c r="AL46" s="129"/>
      <c r="AM46" s="129"/>
      <c r="AV46" s="39"/>
      <c r="AW46" s="39"/>
      <c r="AX46" s="39"/>
      <c r="AY46" s="39"/>
      <c r="AZ46" s="39"/>
    </row>
    <row r="47" spans="1:52" ht="15" customHeight="1" x14ac:dyDescent="0.25">
      <c r="A47" s="74">
        <v>47</v>
      </c>
      <c r="B47" s="190" t="s">
        <v>442</v>
      </c>
      <c r="C47" s="231"/>
      <c r="D47" s="223"/>
      <c r="E47" s="232"/>
      <c r="F47" s="307">
        <f>41277/$F$55</f>
        <v>4.0530469286217168E-2</v>
      </c>
      <c r="G47" s="307">
        <f>28585/$G$55</f>
        <v>2.9247574553945072E-2</v>
      </c>
      <c r="H47" s="307">
        <f>41005/$H$55</f>
        <v>4.2629791888019991E-2</v>
      </c>
      <c r="I47" s="307">
        <f>44572/$I$55</f>
        <v>4.6752783590582735E-2</v>
      </c>
      <c r="J47" s="307">
        <f>44400/$J$55</f>
        <v>5.1760377431076511E-2</v>
      </c>
      <c r="K47" s="307">
        <f>43243/$K$55</f>
        <v>5.6868080204205897E-2</v>
      </c>
      <c r="L47" s="307">
        <f>35518/$L$55</f>
        <v>4.729144059277407E-2</v>
      </c>
      <c r="M47" s="355"/>
      <c r="N47" s="355"/>
      <c r="O47" s="355"/>
      <c r="P47" s="307">
        <f>33403/$P$55</f>
        <v>4.8670425900831989E-2</v>
      </c>
      <c r="Q47" s="355"/>
      <c r="R47" s="355"/>
      <c r="S47" s="355"/>
      <c r="T47" s="355"/>
      <c r="U47" s="355"/>
      <c r="V47" s="355"/>
      <c r="W47" s="355"/>
      <c r="X47" s="307"/>
      <c r="Y47" s="307"/>
      <c r="Z47" s="307"/>
      <c r="AA47" s="307"/>
      <c r="AB47" s="307"/>
      <c r="AC47" s="307"/>
      <c r="AD47" s="307"/>
      <c r="AE47" s="307"/>
      <c r="AF47" s="129"/>
      <c r="AG47" s="129"/>
      <c r="AH47" s="129"/>
      <c r="AI47" s="129"/>
      <c r="AJ47" s="129"/>
      <c r="AK47" s="129"/>
      <c r="AL47" s="129"/>
      <c r="AM47" s="129"/>
      <c r="AN47" s="39"/>
      <c r="AO47" s="39"/>
      <c r="AP47" s="39"/>
      <c r="AQ47" s="39"/>
      <c r="AR47" s="39"/>
      <c r="AS47" s="39"/>
      <c r="AT47" s="39"/>
      <c r="AU47" s="39"/>
    </row>
    <row r="48" spans="1:52" ht="15" customHeight="1" x14ac:dyDescent="0.25">
      <c r="A48" s="74">
        <v>48</v>
      </c>
      <c r="B48" s="189" t="s">
        <v>464</v>
      </c>
      <c r="C48" s="152"/>
      <c r="D48" s="170"/>
      <c r="E48" s="153"/>
      <c r="F48" s="307">
        <f>11701/$F$55</f>
        <v>1.1489377162052162E-2</v>
      </c>
      <c r="G48" s="307">
        <f>11555/$G$55</f>
        <v>1.1822834492595254E-2</v>
      </c>
      <c r="H48" s="307">
        <f>8552/$H$55</f>
        <v>8.8908664852175821E-3</v>
      </c>
      <c r="I48" s="307">
        <f>13643/$I$55</f>
        <v>1.4310513921886391E-2</v>
      </c>
      <c r="J48" s="307">
        <f>20464/$J$55</f>
        <v>2.3856404588953821E-2</v>
      </c>
      <c r="K48" s="307">
        <f>20606/$K$55</f>
        <v>2.7098574582888946E-2</v>
      </c>
      <c r="L48" s="307">
        <f>20963/$L$55</f>
        <v>2.7911776258413276E-2</v>
      </c>
      <c r="M48" s="355"/>
      <c r="N48" s="355"/>
      <c r="O48" s="355"/>
      <c r="P48" s="307">
        <f>8221/$P$55</f>
        <v>1.19785519663126E-2</v>
      </c>
      <c r="Q48" s="355"/>
      <c r="R48" s="355"/>
      <c r="S48" s="355"/>
      <c r="T48" s="355"/>
      <c r="U48" s="355"/>
      <c r="V48" s="355"/>
      <c r="W48" s="355"/>
      <c r="X48" s="307"/>
      <c r="Y48" s="307"/>
      <c r="Z48" s="307"/>
      <c r="AA48" s="307"/>
      <c r="AB48" s="307"/>
      <c r="AC48" s="307"/>
      <c r="AD48" s="307"/>
      <c r="AE48" s="307"/>
      <c r="AF48" s="129"/>
      <c r="AG48" s="129"/>
      <c r="AH48" s="129"/>
      <c r="AI48" s="129"/>
      <c r="AJ48" s="129"/>
      <c r="AK48" s="129"/>
      <c r="AL48" s="129"/>
      <c r="AM48" s="129"/>
      <c r="AN48" s="39"/>
      <c r="AO48" s="39"/>
      <c r="AP48" s="39"/>
      <c r="AQ48" s="39"/>
      <c r="AR48" s="39"/>
      <c r="AS48" s="39"/>
      <c r="AT48" s="39"/>
      <c r="AU48" s="39"/>
    </row>
    <row r="49" spans="1:47" ht="15" customHeight="1" x14ac:dyDescent="0.25">
      <c r="A49" s="74">
        <v>49</v>
      </c>
      <c r="B49" s="189" t="s">
        <v>85</v>
      </c>
      <c r="C49" s="152"/>
      <c r="D49" s="170"/>
      <c r="E49" s="153"/>
      <c r="F49" s="307">
        <f>5751/$F$55</f>
        <v>5.6469881257125015E-3</v>
      </c>
      <c r="G49" s="307">
        <f>7461/$G$55</f>
        <v>7.6339392599959486E-3</v>
      </c>
      <c r="H49" s="307">
        <f>7401/$H$55</f>
        <v>7.694258987031727E-3</v>
      </c>
      <c r="I49" s="307">
        <f>9758/$I$55</f>
        <v>1.0235431712216331E-2</v>
      </c>
      <c r="J49" s="307">
        <f>13277/$J$55</f>
        <v>1.5477984935864929E-2</v>
      </c>
      <c r="K49" s="307">
        <f>21661/$K$55</f>
        <v>2.8485985831309204E-2</v>
      </c>
      <c r="L49" s="307">
        <f>20959/$L$55</f>
        <v>2.7906450345851447E-2</v>
      </c>
      <c r="M49" s="355"/>
      <c r="N49" s="355"/>
      <c r="O49" s="355"/>
      <c r="P49" s="307">
        <f>22859/$P$55</f>
        <v>3.3307106118226459E-2</v>
      </c>
      <c r="Q49" s="355"/>
      <c r="R49" s="355"/>
      <c r="S49" s="355"/>
      <c r="T49" s="355"/>
      <c r="U49" s="355"/>
      <c r="V49" s="355"/>
      <c r="W49" s="355"/>
      <c r="X49" s="307"/>
      <c r="Y49" s="307"/>
      <c r="Z49" s="307"/>
      <c r="AA49" s="307"/>
      <c r="AB49" s="307"/>
      <c r="AC49" s="307"/>
      <c r="AD49" s="307"/>
      <c r="AE49" s="307"/>
      <c r="AF49" s="129"/>
      <c r="AG49" s="129"/>
      <c r="AH49" s="129"/>
      <c r="AI49" s="129"/>
      <c r="AJ49" s="129"/>
      <c r="AK49" s="129"/>
      <c r="AL49" s="129"/>
      <c r="AM49" s="129"/>
      <c r="AN49" s="39"/>
      <c r="AO49" s="39"/>
      <c r="AP49" s="39"/>
      <c r="AQ49" s="39"/>
      <c r="AR49" s="39"/>
      <c r="AS49" s="39"/>
      <c r="AT49" s="39"/>
      <c r="AU49" s="39"/>
    </row>
    <row r="50" spans="1:47" ht="15" customHeight="1" x14ac:dyDescent="0.25">
      <c r="A50" s="74">
        <v>50</v>
      </c>
      <c r="B50" s="190" t="s">
        <v>60</v>
      </c>
      <c r="C50" s="152"/>
      <c r="D50" s="170"/>
      <c r="E50" s="153"/>
      <c r="F50" s="307">
        <f>4626/$F$55</f>
        <v>4.5423347364886161E-3</v>
      </c>
      <c r="G50" s="307">
        <f>5075/$G$55</f>
        <v>5.1926339290282054E-3</v>
      </c>
      <c r="H50" s="307">
        <f>4291/$H$55</f>
        <v>4.4610276061820215E-3</v>
      </c>
      <c r="I50" s="307">
        <f>5191/$I$55</f>
        <v>5.4449811455334054E-3</v>
      </c>
      <c r="J50" s="307">
        <f>5598/$J$55</f>
        <v>6.5260043436749168E-3</v>
      </c>
      <c r="K50" s="307">
        <f>(K55-SUM(K38:K49)*K55)/K55</f>
        <v>6.1558976813792096E-3</v>
      </c>
      <c r="L50" s="307">
        <f>(L55-SUM(L38:L49)*L55)/L55</f>
        <v>1.0273685331771221E-2</v>
      </c>
      <c r="M50" s="355"/>
      <c r="N50" s="355"/>
      <c r="O50" s="355"/>
      <c r="P50" s="307">
        <f>(P55-SUM(P38:P49)*P55)/P55</f>
        <v>1.3075723798283406E-2</v>
      </c>
      <c r="Q50" s="355"/>
      <c r="R50" s="355"/>
      <c r="S50" s="355"/>
      <c r="T50" s="355"/>
      <c r="U50" s="355"/>
      <c r="V50" s="355"/>
      <c r="W50" s="355"/>
      <c r="X50" s="307"/>
      <c r="Y50" s="307"/>
      <c r="Z50" s="307"/>
      <c r="AA50" s="307"/>
      <c r="AB50" s="307"/>
      <c r="AC50" s="307"/>
      <c r="AD50" s="307"/>
      <c r="AE50" s="307"/>
      <c r="AF50" s="129"/>
      <c r="AG50" s="129"/>
      <c r="AH50" s="129"/>
      <c r="AI50" s="129"/>
      <c r="AJ50" s="129"/>
      <c r="AK50" s="129"/>
      <c r="AL50" s="129"/>
      <c r="AM50" s="129"/>
    </row>
    <row r="51" spans="1:47" ht="15" customHeight="1" x14ac:dyDescent="0.25">
      <c r="A51" s="74">
        <v>51</v>
      </c>
      <c r="B51" s="189"/>
      <c r="C51" s="152"/>
      <c r="D51" s="170"/>
      <c r="E51" s="153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129"/>
      <c r="AG51" s="129"/>
      <c r="AH51" s="129"/>
      <c r="AI51" s="129"/>
      <c r="AJ51" s="129"/>
      <c r="AK51" s="129"/>
      <c r="AL51" s="129"/>
      <c r="AM51" s="129"/>
    </row>
    <row r="52" spans="1:47" ht="15" customHeight="1" x14ac:dyDescent="0.25">
      <c r="A52" s="74">
        <v>52</v>
      </c>
      <c r="B52" s="5"/>
      <c r="C52" s="93"/>
      <c r="D52" s="88"/>
      <c r="E52" s="94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129"/>
      <c r="AG52" s="129"/>
      <c r="AH52" s="129"/>
      <c r="AI52" s="129"/>
      <c r="AJ52" s="129"/>
      <c r="AK52" s="129"/>
      <c r="AL52" s="129"/>
      <c r="AM52" s="129"/>
    </row>
    <row r="53" spans="1:47" s="39" customFormat="1" ht="15" customHeight="1" x14ac:dyDescent="0.25">
      <c r="A53" s="74">
        <v>53</v>
      </c>
      <c r="B53" s="5"/>
      <c r="C53" s="93"/>
      <c r="D53" s="88"/>
      <c r="E53" s="94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129"/>
      <c r="AG53" s="129"/>
      <c r="AH53" s="129"/>
      <c r="AI53" s="129"/>
      <c r="AJ53" s="129"/>
      <c r="AK53" s="129"/>
      <c r="AL53" s="129"/>
      <c r="AM53" s="129"/>
    </row>
    <row r="54" spans="1:47" s="39" customFormat="1" ht="15" customHeight="1" x14ac:dyDescent="0.25">
      <c r="A54" s="74">
        <v>54</v>
      </c>
      <c r="B54" s="5"/>
      <c r="C54" s="93"/>
      <c r="D54" s="88"/>
      <c r="E54" s="94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129"/>
      <c r="AG54" s="129"/>
      <c r="AH54" s="129"/>
      <c r="AI54" s="129"/>
      <c r="AJ54" s="129"/>
      <c r="AK54" s="129"/>
      <c r="AL54" s="129"/>
      <c r="AM54" s="129"/>
    </row>
    <row r="55" spans="1:47" s="19" customFormat="1" ht="26.1" customHeight="1" x14ac:dyDescent="0.25">
      <c r="A55" s="74">
        <v>55</v>
      </c>
      <c r="B55" s="19" t="s">
        <v>178</v>
      </c>
      <c r="C55" s="93">
        <f ca="1">OFFSET($E$7,$A55-$A$7,1,1,1)/OFFSET($E$7,$A55-$A$7,2,1,1)-1</f>
        <v>4.202503514620215E-2</v>
      </c>
      <c r="D55" s="88">
        <f ca="1">OFFSET($E$7,$A55-$A$7,1,1,1)/OFFSET($E$7,$A55-$A$7,5,1,1)-1</f>
        <v>0.18724666267971868</v>
      </c>
      <c r="E55" s="94">
        <f ca="1">OFFSET($E$7,$A55-$A$7,1,1,1)/OFFSET($E$7,$A55-$A$7,IF(MONTH(MAX($7:$7))=3,2,IF(MONTH(MAX($7:$7))=6,3,IF(MONTH(MAX($7:$7))=9,4,5)))*1,1)-1</f>
        <v>5.877307705902779E-2</v>
      </c>
      <c r="F55" s="308">
        <v>1018419</v>
      </c>
      <c r="G55" s="308">
        <v>977346</v>
      </c>
      <c r="H55" s="308">
        <v>961886</v>
      </c>
      <c r="I55" s="308">
        <v>953355</v>
      </c>
      <c r="J55" s="308">
        <v>857799</v>
      </c>
      <c r="K55" s="308">
        <v>760409</v>
      </c>
      <c r="L55" s="308">
        <v>751045</v>
      </c>
      <c r="M55" s="308">
        <v>739663</v>
      </c>
      <c r="N55" s="308">
        <v>716341</v>
      </c>
      <c r="O55" s="308">
        <v>705750</v>
      </c>
      <c r="P55" s="308">
        <v>686310</v>
      </c>
      <c r="Q55" s="308">
        <v>660295</v>
      </c>
      <c r="R55" s="308">
        <v>575790</v>
      </c>
      <c r="S55" s="308">
        <v>597588</v>
      </c>
      <c r="T55" s="308">
        <v>557845</v>
      </c>
      <c r="U55" s="308">
        <v>541463</v>
      </c>
      <c r="V55" s="308">
        <v>488854</v>
      </c>
      <c r="W55" s="308">
        <v>538958</v>
      </c>
      <c r="X55" s="308">
        <v>513914</v>
      </c>
      <c r="Y55" s="308">
        <v>515308.64</v>
      </c>
      <c r="Z55" s="308">
        <v>507319.48700000002</v>
      </c>
      <c r="AA55" s="308">
        <v>482693.64899999998</v>
      </c>
      <c r="AB55" s="308">
        <v>459272.58100000001</v>
      </c>
      <c r="AC55" s="308">
        <v>468654.17300000001</v>
      </c>
      <c r="AD55" s="308">
        <v>417219.90100000001</v>
      </c>
      <c r="AE55" s="308">
        <v>434348.51799999998</v>
      </c>
      <c r="AF55" s="20">
        <v>401446.239</v>
      </c>
      <c r="AG55" s="20">
        <v>390770.47600000002</v>
      </c>
      <c r="AH55" s="20">
        <f>AH24-AH21</f>
        <v>365681.66499999998</v>
      </c>
      <c r="AI55" s="20">
        <f>AI24-AI21</f>
        <v>372095.28499999997</v>
      </c>
      <c r="AJ55" s="20">
        <v>375283.86599999998</v>
      </c>
      <c r="AK55" s="20">
        <v>376237.58500000002</v>
      </c>
      <c r="AL55" s="20">
        <f>AL24-AL21</f>
        <v>355085.39399999997</v>
      </c>
      <c r="AM55" s="20">
        <f>AM24-AM21</f>
        <v>345779.74699999997</v>
      </c>
    </row>
    <row r="56" spans="1:47" x14ac:dyDescent="0.25">
      <c r="A56" s="74">
        <v>56</v>
      </c>
      <c r="E56" s="262"/>
      <c r="F56" s="309"/>
      <c r="G56" s="309"/>
      <c r="H56" s="262"/>
      <c r="I56" s="262"/>
      <c r="J56" s="262"/>
      <c r="K56" s="262"/>
      <c r="L56" s="262"/>
      <c r="M56" s="262"/>
      <c r="N56" s="262"/>
      <c r="O56" s="262"/>
      <c r="P56" s="309"/>
      <c r="Q56" s="309"/>
      <c r="R56" s="309"/>
      <c r="S56" s="309"/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262"/>
    </row>
    <row r="57" spans="1:47" x14ac:dyDescent="0.25">
      <c r="A57" s="74">
        <v>57</v>
      </c>
      <c r="G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</row>
    <row r="58" spans="1:47" x14ac:dyDescent="0.25">
      <c r="A58" s="74">
        <v>58</v>
      </c>
      <c r="G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</row>
    <row r="59" spans="1:47" ht="15.75" customHeight="1" x14ac:dyDescent="0.25">
      <c r="A59" s="74">
        <v>59</v>
      </c>
      <c r="B59" s="453" t="s">
        <v>146</v>
      </c>
      <c r="C59" s="470" t="s">
        <v>201</v>
      </c>
      <c r="D59" s="472" t="s">
        <v>202</v>
      </c>
      <c r="E59" s="468" t="s">
        <v>297</v>
      </c>
      <c r="F59" s="479">
        <v>46203</v>
      </c>
      <c r="G59" s="479">
        <v>46112</v>
      </c>
      <c r="H59" s="446">
        <v>46022</v>
      </c>
      <c r="I59" s="446">
        <v>45930</v>
      </c>
      <c r="J59" s="446">
        <v>45838</v>
      </c>
      <c r="K59" s="446">
        <v>45747</v>
      </c>
      <c r="L59" s="446">
        <v>45657</v>
      </c>
      <c r="M59" s="446">
        <v>45565</v>
      </c>
      <c r="N59" s="446">
        <v>45473</v>
      </c>
      <c r="O59" s="446">
        <v>45382</v>
      </c>
      <c r="P59" s="446">
        <v>45291</v>
      </c>
      <c r="Q59" s="446">
        <v>45199</v>
      </c>
      <c r="R59" s="446">
        <v>45107</v>
      </c>
      <c r="S59" s="446">
        <v>45016</v>
      </c>
      <c r="T59" s="446">
        <v>44926</v>
      </c>
      <c r="U59" s="446">
        <v>44834</v>
      </c>
      <c r="V59" s="446">
        <v>44742</v>
      </c>
      <c r="W59" s="446">
        <v>44651</v>
      </c>
      <c r="X59" s="446">
        <v>44561</v>
      </c>
      <c r="Y59" s="446">
        <v>44469</v>
      </c>
      <c r="Z59" s="446">
        <v>44377</v>
      </c>
      <c r="AA59" s="446">
        <v>44286</v>
      </c>
      <c r="AB59" s="479">
        <v>44196</v>
      </c>
      <c r="AC59" s="479">
        <v>44104</v>
      </c>
      <c r="AD59" s="479">
        <v>44012</v>
      </c>
      <c r="AE59" s="479">
        <v>43921</v>
      </c>
      <c r="AF59" s="446">
        <v>43830</v>
      </c>
      <c r="AG59" s="459">
        <v>43738</v>
      </c>
      <c r="AH59" s="459">
        <v>43646</v>
      </c>
      <c r="AI59" s="459">
        <v>43555</v>
      </c>
      <c r="AJ59" s="446">
        <v>43465</v>
      </c>
      <c r="AK59" s="446">
        <v>43373</v>
      </c>
      <c r="AL59" s="446">
        <v>43281</v>
      </c>
      <c r="AM59" s="446">
        <v>43190</v>
      </c>
    </row>
    <row r="60" spans="1:47" x14ac:dyDescent="0.25">
      <c r="A60" s="74">
        <v>60</v>
      </c>
      <c r="B60" s="454"/>
      <c r="C60" s="471"/>
      <c r="D60" s="487"/>
      <c r="E60" s="478"/>
      <c r="F60" s="493"/>
      <c r="G60" s="493"/>
      <c r="H60" s="447"/>
      <c r="I60" s="447"/>
      <c r="J60" s="447"/>
      <c r="K60" s="447"/>
      <c r="L60" s="447"/>
      <c r="M60" s="447"/>
      <c r="N60" s="447"/>
      <c r="O60" s="447"/>
      <c r="P60" s="447"/>
      <c r="Q60" s="447"/>
      <c r="R60" s="447"/>
      <c r="S60" s="447"/>
      <c r="T60" s="447"/>
      <c r="U60" s="447"/>
      <c r="V60" s="447"/>
      <c r="W60" s="447"/>
      <c r="X60" s="447"/>
      <c r="Y60" s="447"/>
      <c r="Z60" s="447"/>
      <c r="AA60" s="447"/>
      <c r="AB60" s="480"/>
      <c r="AC60" s="480"/>
      <c r="AD60" s="480"/>
      <c r="AE60" s="480"/>
      <c r="AF60" s="447"/>
      <c r="AG60" s="460"/>
      <c r="AH60" s="460"/>
      <c r="AI60" s="460"/>
      <c r="AJ60" s="447"/>
      <c r="AK60" s="447"/>
      <c r="AL60" s="447"/>
      <c r="AM60" s="447"/>
    </row>
    <row r="61" spans="1:47" ht="9.75" customHeight="1" x14ac:dyDescent="0.25">
      <c r="A61" s="74">
        <v>61</v>
      </c>
      <c r="B61" s="8" t="s">
        <v>8</v>
      </c>
      <c r="C61" s="89"/>
      <c r="D61" s="57"/>
      <c r="E61" s="90"/>
      <c r="F61" s="303"/>
      <c r="G61" s="303"/>
      <c r="H61" s="57"/>
      <c r="I61" s="57"/>
      <c r="J61" s="57"/>
      <c r="K61" s="57"/>
      <c r="L61" s="57"/>
      <c r="M61" s="57"/>
      <c r="N61" s="57"/>
      <c r="O61" s="57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E61" s="303"/>
      <c r="AF61" s="57"/>
      <c r="AG61" s="57"/>
      <c r="AH61" s="57"/>
      <c r="AI61" s="57"/>
      <c r="AJ61" s="57"/>
      <c r="AK61" s="57"/>
      <c r="AL61" s="57"/>
      <c r="AM61" s="57"/>
    </row>
    <row r="62" spans="1:47" ht="30" customHeight="1" x14ac:dyDescent="0.25">
      <c r="A62" s="74">
        <v>62</v>
      </c>
      <c r="B62" s="246" t="s">
        <v>340</v>
      </c>
      <c r="C62" s="91"/>
      <c r="D62" s="124"/>
      <c r="E62" s="92"/>
      <c r="F62" s="310"/>
      <c r="G62" s="310"/>
      <c r="H62" s="124"/>
      <c r="I62" s="124"/>
      <c r="J62" s="124"/>
      <c r="K62" s="124"/>
      <c r="L62" s="124"/>
      <c r="M62" s="124"/>
      <c r="N62" s="124"/>
      <c r="O62" s="124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310"/>
      <c r="AE62" s="310"/>
      <c r="AF62" s="124"/>
      <c r="AG62" s="124"/>
      <c r="AH62" s="124"/>
      <c r="AI62" s="124"/>
      <c r="AJ62" s="124"/>
      <c r="AK62" s="124"/>
      <c r="AL62" s="124"/>
      <c r="AM62" s="124"/>
    </row>
    <row r="63" spans="1:47" ht="15" customHeight="1" x14ac:dyDescent="0.25">
      <c r="A63" s="74">
        <v>63</v>
      </c>
      <c r="B63" s="236" t="s">
        <v>331</v>
      </c>
      <c r="C63" s="231"/>
      <c r="D63" s="223"/>
      <c r="E63" s="232"/>
      <c r="F63" s="310"/>
      <c r="G63" s="310"/>
      <c r="H63" s="223"/>
      <c r="I63" s="223"/>
      <c r="J63" s="223"/>
      <c r="K63" s="223"/>
      <c r="L63" s="223"/>
      <c r="M63" s="223"/>
      <c r="N63" s="223"/>
      <c r="O63" s="223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0"/>
      <c r="AA63" s="310"/>
      <c r="AB63" s="310"/>
      <c r="AC63" s="310"/>
      <c r="AD63" s="310"/>
      <c r="AE63" s="310"/>
      <c r="AF63" s="223"/>
      <c r="AG63" s="223"/>
      <c r="AH63" s="223"/>
      <c r="AI63" s="223"/>
      <c r="AJ63" s="223"/>
      <c r="AK63" s="223"/>
      <c r="AL63" s="223"/>
      <c r="AM63" s="223"/>
    </row>
    <row r="64" spans="1:47" ht="15" customHeight="1" x14ac:dyDescent="0.25">
      <c r="A64" s="74">
        <v>64</v>
      </c>
      <c r="B64" s="224" t="s">
        <v>351</v>
      </c>
      <c r="C64" s="231"/>
      <c r="D64" s="223"/>
      <c r="E64" s="232"/>
      <c r="F64" s="252">
        <v>453989</v>
      </c>
      <c r="G64" s="252">
        <v>528175</v>
      </c>
      <c r="H64" s="252">
        <v>524908</v>
      </c>
      <c r="I64" s="252">
        <v>521698</v>
      </c>
      <c r="J64" s="252">
        <v>478422</v>
      </c>
      <c r="K64" s="252">
        <v>466410</v>
      </c>
      <c r="L64" s="252">
        <v>464395</v>
      </c>
      <c r="M64" s="252">
        <v>463359</v>
      </c>
      <c r="N64" s="252">
        <v>418453</v>
      </c>
      <c r="O64" s="252">
        <v>404882</v>
      </c>
      <c r="P64" s="252">
        <v>389783</v>
      </c>
      <c r="Q64" s="252">
        <v>345077</v>
      </c>
      <c r="R64" s="252">
        <v>276931</v>
      </c>
      <c r="S64" s="252">
        <v>314757</v>
      </c>
      <c r="T64" s="252">
        <v>259774</v>
      </c>
      <c r="U64" s="418"/>
      <c r="V64" s="418"/>
      <c r="W64" s="418"/>
      <c r="X64" s="252">
        <v>179427</v>
      </c>
      <c r="Y64" s="252">
        <v>193088.64300000001</v>
      </c>
      <c r="Z64" s="252">
        <v>176526.58300000001</v>
      </c>
      <c r="AA64" s="252">
        <v>156752.19899999999</v>
      </c>
      <c r="AB64" s="263">
        <v>150081.93299999999</v>
      </c>
      <c r="AC64" s="263">
        <v>130852.52</v>
      </c>
      <c r="AD64" s="263">
        <v>93964.938999999998</v>
      </c>
      <c r="AE64" s="263">
        <v>105053.66499999999</v>
      </c>
      <c r="AF64" s="171">
        <v>94343.376000000004</v>
      </c>
      <c r="AG64" s="171">
        <v>85323.231</v>
      </c>
      <c r="AH64" s="171">
        <v>74608.004000000001</v>
      </c>
      <c r="AI64" s="171">
        <v>90348.680999999997</v>
      </c>
      <c r="AJ64" s="171">
        <v>89831.91</v>
      </c>
      <c r="AK64" s="171">
        <v>67378.202999999994</v>
      </c>
      <c r="AL64" s="171">
        <v>56808.057999999997</v>
      </c>
      <c r="AM64" s="171">
        <v>42992.9406921111</v>
      </c>
    </row>
    <row r="65" spans="1:39" ht="15" customHeight="1" x14ac:dyDescent="0.25">
      <c r="A65" s="74">
        <v>65</v>
      </c>
      <c r="B65" s="224" t="s">
        <v>352</v>
      </c>
      <c r="C65" s="231"/>
      <c r="D65" s="223"/>
      <c r="E65" s="232"/>
      <c r="F65" s="252">
        <v>211897</v>
      </c>
      <c r="G65" s="252">
        <v>183245</v>
      </c>
      <c r="H65" s="252">
        <v>171295</v>
      </c>
      <c r="I65" s="252">
        <v>167515</v>
      </c>
      <c r="J65" s="252">
        <v>120500</v>
      </c>
      <c r="K65" s="252">
        <v>60415</v>
      </c>
      <c r="L65" s="252">
        <v>56816</v>
      </c>
      <c r="M65" s="252">
        <v>68978</v>
      </c>
      <c r="N65" s="252">
        <v>94361</v>
      </c>
      <c r="O65" s="252">
        <v>95183</v>
      </c>
      <c r="P65" s="252">
        <v>87341</v>
      </c>
      <c r="Q65" s="252">
        <v>101903</v>
      </c>
      <c r="R65" s="252">
        <v>89651</v>
      </c>
      <c r="S65" s="252">
        <v>80517</v>
      </c>
      <c r="T65" s="252">
        <v>89243</v>
      </c>
      <c r="U65" s="418"/>
      <c r="V65" s="418"/>
      <c r="W65" s="418"/>
      <c r="X65" s="252">
        <v>116016</v>
      </c>
      <c r="Y65" s="252">
        <v>105367.432</v>
      </c>
      <c r="Z65" s="252">
        <v>114297.058</v>
      </c>
      <c r="AA65" s="252">
        <v>104562.197</v>
      </c>
      <c r="AB65" s="263">
        <v>91167.921000000002</v>
      </c>
      <c r="AC65" s="263">
        <v>105644.42600000001</v>
      </c>
      <c r="AD65" s="263">
        <v>97414.404999999999</v>
      </c>
      <c r="AE65" s="263">
        <v>107042.883</v>
      </c>
      <c r="AF65" s="171">
        <v>95287.061000000002</v>
      </c>
      <c r="AG65" s="171">
        <v>90070.587</v>
      </c>
      <c r="AH65" s="171">
        <v>78302.922999999995</v>
      </c>
      <c r="AI65" s="171">
        <v>72391.369000000006</v>
      </c>
      <c r="AJ65" s="171">
        <v>73991.343999999997</v>
      </c>
      <c r="AK65" s="171">
        <v>92997.25</v>
      </c>
      <c r="AL65" s="171">
        <v>87545.264999999999</v>
      </c>
      <c r="AM65" s="171">
        <v>112525.838195875</v>
      </c>
    </row>
    <row r="66" spans="1:39" ht="15" customHeight="1" x14ac:dyDescent="0.25">
      <c r="A66" s="74">
        <v>66</v>
      </c>
      <c r="B66" s="224" t="s">
        <v>353</v>
      </c>
      <c r="C66" s="152"/>
      <c r="D66" s="170"/>
      <c r="E66" s="153"/>
      <c r="F66" s="252">
        <v>11334</v>
      </c>
      <c r="G66" s="252">
        <v>2918</v>
      </c>
      <c r="H66" s="252">
        <v>1805</v>
      </c>
      <c r="I66" s="252">
        <v>10008</v>
      </c>
      <c r="J66" s="252">
        <v>9670</v>
      </c>
      <c r="K66" s="252">
        <v>12263</v>
      </c>
      <c r="L66" s="252">
        <v>7758</v>
      </c>
      <c r="M66" s="252">
        <v>1033</v>
      </c>
      <c r="N66" s="252">
        <v>1030</v>
      </c>
      <c r="O66" s="252">
        <v>1012</v>
      </c>
      <c r="P66" s="252">
        <v>1097</v>
      </c>
      <c r="Q66" s="252">
        <v>1222</v>
      </c>
      <c r="R66" s="252">
        <v>1355</v>
      </c>
      <c r="S66" s="252">
        <v>491</v>
      </c>
      <c r="T66" s="252">
        <v>2970</v>
      </c>
      <c r="U66" s="418"/>
      <c r="V66" s="418"/>
      <c r="W66" s="418"/>
      <c r="X66" s="252">
        <v>11935</v>
      </c>
      <c r="Y66" s="252">
        <v>16479.588</v>
      </c>
      <c r="Z66" s="252">
        <v>20175.897000000001</v>
      </c>
      <c r="AA66" s="252">
        <v>23899.975999999999</v>
      </c>
      <c r="AB66" s="263">
        <v>22156.987000000001</v>
      </c>
      <c r="AC66" s="263">
        <v>34886.436000000002</v>
      </c>
      <c r="AD66" s="263">
        <v>38953.81</v>
      </c>
      <c r="AE66" s="263">
        <v>39091.275000000001</v>
      </c>
      <c r="AF66" s="171">
        <v>33755.972999999998</v>
      </c>
      <c r="AG66" s="171">
        <v>33643.271000000001</v>
      </c>
      <c r="AH66" s="171">
        <v>30070.272000000001</v>
      </c>
      <c r="AI66" s="171">
        <v>33266.339</v>
      </c>
      <c r="AJ66" s="171">
        <v>42668.271999999997</v>
      </c>
      <c r="AK66" s="171">
        <v>27776.754000000001</v>
      </c>
      <c r="AL66" s="171">
        <v>22738.966</v>
      </c>
      <c r="AM66" s="171">
        <v>21769.737774626399</v>
      </c>
    </row>
    <row r="67" spans="1:39" ht="15" customHeight="1" x14ac:dyDescent="0.25">
      <c r="A67" s="74">
        <v>67</v>
      </c>
      <c r="B67" s="224" t="s">
        <v>354</v>
      </c>
      <c r="C67" s="152"/>
      <c r="D67" s="170"/>
      <c r="E67" s="153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418"/>
      <c r="V67" s="418"/>
      <c r="W67" s="418"/>
      <c r="X67" s="252"/>
      <c r="Y67" s="252"/>
      <c r="Z67" s="252"/>
      <c r="AA67" s="252"/>
      <c r="AB67" s="263"/>
      <c r="AC67" s="263"/>
      <c r="AD67" s="263"/>
      <c r="AE67" s="263"/>
      <c r="AF67" s="171"/>
      <c r="AG67" s="171"/>
      <c r="AH67" s="171"/>
      <c r="AI67" s="171"/>
      <c r="AJ67" s="171"/>
      <c r="AK67" s="171">
        <v>18545.731</v>
      </c>
      <c r="AL67" s="171">
        <v>15647.134</v>
      </c>
      <c r="AM67" s="171">
        <v>10634.4053179128</v>
      </c>
    </row>
    <row r="68" spans="1:39" ht="15" customHeight="1" x14ac:dyDescent="0.25">
      <c r="A68" s="74">
        <v>68</v>
      </c>
      <c r="B68" s="224" t="s">
        <v>355</v>
      </c>
      <c r="C68" s="152"/>
      <c r="D68" s="170"/>
      <c r="E68" s="153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418"/>
      <c r="V68" s="418"/>
      <c r="W68" s="418"/>
      <c r="X68" s="252"/>
      <c r="Y68" s="252"/>
      <c r="Z68" s="252"/>
      <c r="AA68" s="252"/>
      <c r="AB68" s="263"/>
      <c r="AC68" s="263"/>
      <c r="AD68" s="263"/>
      <c r="AE68" s="263"/>
      <c r="AF68" s="171"/>
      <c r="AG68" s="171"/>
      <c r="AH68" s="171"/>
      <c r="AI68" s="171"/>
      <c r="AJ68" s="171"/>
      <c r="AK68" s="171"/>
      <c r="AL68" s="171"/>
      <c r="AM68" s="171">
        <v>81.152552986720806</v>
      </c>
    </row>
    <row r="69" spans="1:39" ht="15" customHeight="1" x14ac:dyDescent="0.25">
      <c r="A69" s="74">
        <v>69</v>
      </c>
      <c r="B69" s="238" t="s">
        <v>316</v>
      </c>
      <c r="C69" s="152"/>
      <c r="D69" s="170"/>
      <c r="E69" s="153"/>
      <c r="F69" s="329">
        <f t="shared" ref="F69:G69" si="11">SUM(F64:F68)</f>
        <v>677220</v>
      </c>
      <c r="G69" s="329">
        <f t="shared" si="11"/>
        <v>714338</v>
      </c>
      <c r="H69" s="329">
        <f t="shared" ref="H69" si="12">SUM(H64:H68)</f>
        <v>698008</v>
      </c>
      <c r="I69" s="329">
        <f t="shared" ref="I69:N69" si="13">SUM(I64:I68)</f>
        <v>699221</v>
      </c>
      <c r="J69" s="329">
        <f t="shared" si="13"/>
        <v>608592</v>
      </c>
      <c r="K69" s="329">
        <f t="shared" si="13"/>
        <v>539088</v>
      </c>
      <c r="L69" s="329">
        <f t="shared" si="13"/>
        <v>528969</v>
      </c>
      <c r="M69" s="329">
        <f t="shared" si="13"/>
        <v>533370</v>
      </c>
      <c r="N69" s="329">
        <f t="shared" si="13"/>
        <v>513844</v>
      </c>
      <c r="O69" s="329">
        <f t="shared" ref="O69:T69" si="14">SUM(O64:O68)</f>
        <v>501077</v>
      </c>
      <c r="P69" s="329">
        <f t="shared" si="14"/>
        <v>478221</v>
      </c>
      <c r="Q69" s="329">
        <f t="shared" si="14"/>
        <v>448202</v>
      </c>
      <c r="R69" s="329">
        <f t="shared" si="14"/>
        <v>367937</v>
      </c>
      <c r="S69" s="329">
        <f t="shared" si="14"/>
        <v>395765</v>
      </c>
      <c r="T69" s="329">
        <f t="shared" si="14"/>
        <v>351987</v>
      </c>
      <c r="U69" s="419"/>
      <c r="V69" s="419"/>
      <c r="W69" s="419"/>
      <c r="X69" s="329">
        <f t="shared" ref="X69:AG69" si="15">SUM(X64:X68)</f>
        <v>307378</v>
      </c>
      <c r="Y69" s="329">
        <f t="shared" si="15"/>
        <v>314935.663</v>
      </c>
      <c r="Z69" s="329">
        <f t="shared" si="15"/>
        <v>310999.538</v>
      </c>
      <c r="AA69" s="329">
        <f t="shared" si="15"/>
        <v>285214.37200000003</v>
      </c>
      <c r="AB69" s="311">
        <f t="shared" si="15"/>
        <v>263406.84100000001</v>
      </c>
      <c r="AC69" s="311">
        <f t="shared" si="15"/>
        <v>271383.38199999998</v>
      </c>
      <c r="AD69" s="311">
        <f t="shared" si="15"/>
        <v>230333.15399999998</v>
      </c>
      <c r="AE69" s="311">
        <f t="shared" si="15"/>
        <v>251187.823</v>
      </c>
      <c r="AF69" s="219">
        <f t="shared" si="15"/>
        <v>223386.41</v>
      </c>
      <c r="AG69" s="219">
        <f t="shared" si="15"/>
        <v>209037.08900000001</v>
      </c>
      <c r="AH69" s="219">
        <f t="shared" ref="AH69:AM69" si="16">SUM(AH64:AH68)</f>
        <v>182981.19899999999</v>
      </c>
      <c r="AI69" s="219">
        <f t="shared" si="16"/>
        <v>196006.389</v>
      </c>
      <c r="AJ69" s="219">
        <f t="shared" si="16"/>
        <v>206491.52600000001</v>
      </c>
      <c r="AK69" s="219">
        <f t="shared" si="16"/>
        <v>206697.93799999999</v>
      </c>
      <c r="AL69" s="219">
        <f t="shared" si="16"/>
        <v>182739.42299999998</v>
      </c>
      <c r="AM69" s="219">
        <f t="shared" si="16"/>
        <v>188004.07453351203</v>
      </c>
    </row>
    <row r="70" spans="1:39" ht="15" customHeight="1" x14ac:dyDescent="0.25">
      <c r="A70" s="74">
        <v>70</v>
      </c>
      <c r="B70" s="239" t="s">
        <v>79</v>
      </c>
      <c r="C70" s="152"/>
      <c r="D70" s="170"/>
      <c r="E70" s="153"/>
      <c r="F70" s="252">
        <v>-4485</v>
      </c>
      <c r="G70" s="252">
        <v>-3598</v>
      </c>
      <c r="H70" s="252">
        <v>-3058</v>
      </c>
      <c r="I70" s="252">
        <v>-2977</v>
      </c>
      <c r="J70" s="252">
        <v>-3371</v>
      </c>
      <c r="K70" s="252">
        <v>-3264</v>
      </c>
      <c r="L70" s="252">
        <v>-3330</v>
      </c>
      <c r="M70" s="252">
        <v>-2548</v>
      </c>
      <c r="N70" s="252">
        <v>-2897</v>
      </c>
      <c r="O70" s="252">
        <v>-2728</v>
      </c>
      <c r="P70" s="252">
        <v>-2946</v>
      </c>
      <c r="Q70" s="252">
        <v>-2998</v>
      </c>
      <c r="R70" s="252">
        <v>-2645</v>
      </c>
      <c r="S70" s="252">
        <v>-2668</v>
      </c>
      <c r="T70" s="252">
        <v>-3139</v>
      </c>
      <c r="U70" s="418"/>
      <c r="V70" s="418"/>
      <c r="W70" s="418"/>
      <c r="X70" s="252">
        <v>-1707</v>
      </c>
      <c r="Y70" s="252">
        <v>-2655.92</v>
      </c>
      <c r="Z70" s="252">
        <v>-3659.42</v>
      </c>
      <c r="AA70" s="252">
        <v>-3326.598</v>
      </c>
      <c r="AB70" s="263">
        <v>-4703.2209999999995</v>
      </c>
      <c r="AC70" s="263">
        <v>-4784.3459999999995</v>
      </c>
      <c r="AD70" s="263">
        <v>-3735.3490000000002</v>
      </c>
      <c r="AE70" s="263">
        <v>-3583.9090000000001</v>
      </c>
      <c r="AF70" s="171">
        <v>-2543.8440000000001</v>
      </c>
      <c r="AG70" s="171">
        <v>-3714.1410000000001</v>
      </c>
      <c r="AH70" s="171">
        <v>-3042.9369999999999</v>
      </c>
      <c r="AI70" s="171">
        <v>-3390.6149999999998</v>
      </c>
      <c r="AJ70" s="171">
        <v>-4369.8549999999996</v>
      </c>
      <c r="AK70" s="171">
        <v>-5483.223</v>
      </c>
      <c r="AL70" s="171">
        <v>-4882.5649999999996</v>
      </c>
      <c r="AM70" s="171">
        <v>-5199.2280000000001</v>
      </c>
    </row>
    <row r="71" spans="1:39" ht="15" customHeight="1" x14ac:dyDescent="0.25">
      <c r="A71" s="74">
        <v>71</v>
      </c>
      <c r="B71" s="238" t="s">
        <v>317</v>
      </c>
      <c r="C71" s="152"/>
      <c r="D71" s="170"/>
      <c r="E71" s="153"/>
      <c r="F71" s="329">
        <f t="shared" ref="F71:G71" si="17">F69+F70</f>
        <v>672735</v>
      </c>
      <c r="G71" s="329">
        <f t="shared" si="17"/>
        <v>710740</v>
      </c>
      <c r="H71" s="329">
        <f t="shared" ref="H71" si="18">H69+H70</f>
        <v>694950</v>
      </c>
      <c r="I71" s="329">
        <f t="shared" ref="I71" si="19">I69+I70</f>
        <v>696244</v>
      </c>
      <c r="J71" s="329">
        <f t="shared" ref="J71:K71" si="20">J69+J70</f>
        <v>605221</v>
      </c>
      <c r="K71" s="329">
        <f t="shared" si="20"/>
        <v>535824</v>
      </c>
      <c r="L71" s="329">
        <f t="shared" ref="L71:AG71" si="21">L69+L70</f>
        <v>525639</v>
      </c>
      <c r="M71" s="329">
        <f t="shared" si="21"/>
        <v>530822</v>
      </c>
      <c r="N71" s="329">
        <f t="shared" si="21"/>
        <v>510947</v>
      </c>
      <c r="O71" s="329">
        <f t="shared" si="21"/>
        <v>498349</v>
      </c>
      <c r="P71" s="329">
        <f t="shared" si="21"/>
        <v>475275</v>
      </c>
      <c r="Q71" s="329">
        <f t="shared" si="21"/>
        <v>445204</v>
      </c>
      <c r="R71" s="329">
        <f t="shared" si="21"/>
        <v>365292</v>
      </c>
      <c r="S71" s="329">
        <f t="shared" si="21"/>
        <v>393097</v>
      </c>
      <c r="T71" s="329">
        <f t="shared" si="21"/>
        <v>348848</v>
      </c>
      <c r="U71" s="419"/>
      <c r="V71" s="419"/>
      <c r="W71" s="419"/>
      <c r="X71" s="329">
        <f t="shared" si="21"/>
        <v>305671</v>
      </c>
      <c r="Y71" s="329">
        <f t="shared" si="21"/>
        <v>312279.74300000002</v>
      </c>
      <c r="Z71" s="329">
        <f t="shared" si="21"/>
        <v>307340.11800000002</v>
      </c>
      <c r="AA71" s="329">
        <f t="shared" si="21"/>
        <v>281887.77400000003</v>
      </c>
      <c r="AB71" s="311">
        <f t="shared" si="21"/>
        <v>258703.62000000002</v>
      </c>
      <c r="AC71" s="311">
        <f t="shared" si="21"/>
        <v>266599.03599999996</v>
      </c>
      <c r="AD71" s="311">
        <f t="shared" si="21"/>
        <v>226597.80499999999</v>
      </c>
      <c r="AE71" s="311">
        <f t="shared" si="21"/>
        <v>247603.91399999999</v>
      </c>
      <c r="AF71" s="219">
        <f t="shared" si="21"/>
        <v>220842.56599999999</v>
      </c>
      <c r="AG71" s="219">
        <f t="shared" si="21"/>
        <v>205322.948</v>
      </c>
      <c r="AH71" s="219">
        <f t="shared" ref="AH71:AM71" si="22">AH69+AH70</f>
        <v>179938.26199999999</v>
      </c>
      <c r="AI71" s="219">
        <f t="shared" si="22"/>
        <v>192615.774</v>
      </c>
      <c r="AJ71" s="219">
        <f t="shared" si="22"/>
        <v>202121.671</v>
      </c>
      <c r="AK71" s="219">
        <f t="shared" si="22"/>
        <v>201214.715</v>
      </c>
      <c r="AL71" s="219">
        <f t="shared" si="22"/>
        <v>177856.85799999998</v>
      </c>
      <c r="AM71" s="219">
        <f t="shared" si="22"/>
        <v>182804.84653351203</v>
      </c>
    </row>
    <row r="72" spans="1:39" ht="21" customHeight="1" x14ac:dyDescent="0.25">
      <c r="A72" s="74">
        <v>72</v>
      </c>
      <c r="B72" s="240" t="s">
        <v>332</v>
      </c>
      <c r="C72" s="152"/>
      <c r="D72" s="170"/>
      <c r="E72" s="153"/>
      <c r="F72" s="345"/>
      <c r="G72" s="345"/>
      <c r="H72" s="345"/>
      <c r="I72" s="345"/>
      <c r="J72" s="345"/>
      <c r="K72" s="345"/>
      <c r="L72" s="345"/>
      <c r="M72" s="345"/>
      <c r="N72" s="345"/>
      <c r="O72" s="345"/>
      <c r="P72" s="345"/>
      <c r="Q72" s="345"/>
      <c r="R72" s="345"/>
      <c r="S72" s="345"/>
      <c r="T72" s="345"/>
      <c r="U72" s="420"/>
      <c r="V72" s="420"/>
      <c r="W72" s="420"/>
      <c r="X72" s="345"/>
      <c r="Y72" s="345"/>
      <c r="Z72" s="345"/>
      <c r="AA72" s="345"/>
      <c r="AB72" s="291"/>
      <c r="AC72" s="291"/>
      <c r="AD72" s="291"/>
      <c r="AE72" s="291"/>
      <c r="AF72" s="170"/>
      <c r="AG72" s="170"/>
      <c r="AH72" s="170"/>
      <c r="AI72" s="170"/>
      <c r="AJ72" s="170"/>
      <c r="AK72" s="170"/>
      <c r="AL72" s="170"/>
      <c r="AM72" s="171"/>
    </row>
    <row r="73" spans="1:39" ht="21" customHeight="1" x14ac:dyDescent="0.25">
      <c r="A73" s="74">
        <v>73</v>
      </c>
      <c r="B73" s="224" t="s">
        <v>351</v>
      </c>
      <c r="C73" s="152"/>
      <c r="D73" s="170"/>
      <c r="E73" s="153"/>
      <c r="F73" s="252">
        <v>50190</v>
      </c>
      <c r="G73" s="252">
        <v>335</v>
      </c>
      <c r="H73" s="252">
        <v>122</v>
      </c>
      <c r="I73" s="252">
        <v>1178</v>
      </c>
      <c r="J73" s="252">
        <v>0</v>
      </c>
      <c r="K73" s="252">
        <v>85</v>
      </c>
      <c r="L73" s="252">
        <v>73</v>
      </c>
      <c r="M73" s="252">
        <v>87</v>
      </c>
      <c r="N73" s="252">
        <v>27</v>
      </c>
      <c r="O73" s="252">
        <v>0</v>
      </c>
      <c r="P73" s="252">
        <v>27</v>
      </c>
      <c r="Q73" s="252"/>
      <c r="R73" s="252"/>
      <c r="S73" s="252">
        <v>179</v>
      </c>
      <c r="T73" s="252">
        <v>250</v>
      </c>
      <c r="U73" s="418"/>
      <c r="V73" s="418"/>
      <c r="W73" s="418"/>
      <c r="X73" s="252">
        <v>0</v>
      </c>
      <c r="Y73" s="252">
        <v>1.03</v>
      </c>
      <c r="Z73" s="252">
        <v>33.326999999999998</v>
      </c>
      <c r="AA73" s="252">
        <v>979.09900000000005</v>
      </c>
      <c r="AB73" s="263">
        <v>988.68399999999997</v>
      </c>
      <c r="AC73" s="263">
        <v>105.782</v>
      </c>
      <c r="AD73" s="263">
        <v>26.994</v>
      </c>
      <c r="AE73" s="263">
        <v>79.741</v>
      </c>
      <c r="AF73" s="171">
        <v>71.897999999999996</v>
      </c>
      <c r="AG73" s="171">
        <v>1990.579</v>
      </c>
      <c r="AH73" s="171">
        <v>264.25099999999998</v>
      </c>
      <c r="AI73" s="171">
        <v>437.74599999999998</v>
      </c>
      <c r="AJ73" s="171">
        <v>472.601</v>
      </c>
      <c r="AK73" s="171">
        <v>180.09200000000001</v>
      </c>
      <c r="AL73" s="171">
        <v>253.61600000000001</v>
      </c>
      <c r="AM73" s="171">
        <v>2406.5680961390599</v>
      </c>
    </row>
    <row r="74" spans="1:39" ht="15" customHeight="1" x14ac:dyDescent="0.25">
      <c r="A74" s="74">
        <v>74</v>
      </c>
      <c r="B74" s="224" t="s">
        <v>352</v>
      </c>
      <c r="C74" s="152"/>
      <c r="D74" s="170"/>
      <c r="E74" s="153"/>
      <c r="F74" s="252">
        <v>22538</v>
      </c>
      <c r="G74" s="252">
        <v>5747</v>
      </c>
      <c r="H74" s="252">
        <v>8967</v>
      </c>
      <c r="I74" s="252">
        <v>17943</v>
      </c>
      <c r="J74" s="252">
        <v>15190</v>
      </c>
      <c r="K74" s="252">
        <v>2746</v>
      </c>
      <c r="L74" s="252">
        <v>9845</v>
      </c>
      <c r="M74" s="252">
        <v>8104</v>
      </c>
      <c r="N74" s="252">
        <v>2099</v>
      </c>
      <c r="O74" s="252">
        <v>8518</v>
      </c>
      <c r="P74" s="252">
        <v>5922</v>
      </c>
      <c r="Q74" s="252">
        <v>6195</v>
      </c>
      <c r="R74" s="252">
        <v>6294</v>
      </c>
      <c r="S74" s="252">
        <v>4488</v>
      </c>
      <c r="T74" s="252">
        <v>2622</v>
      </c>
      <c r="U74" s="418"/>
      <c r="V74" s="418"/>
      <c r="W74" s="418"/>
      <c r="X74" s="252">
        <v>6749</v>
      </c>
      <c r="Y74" s="252">
        <v>5790.9920000000002</v>
      </c>
      <c r="Z74" s="252">
        <v>6683.7280000000001</v>
      </c>
      <c r="AA74" s="252">
        <v>6590.223</v>
      </c>
      <c r="AB74" s="263">
        <v>2510.8820000000001</v>
      </c>
      <c r="AC74" s="263">
        <v>6098.4719999999998</v>
      </c>
      <c r="AD74" s="263">
        <v>5285.9579999999996</v>
      </c>
      <c r="AE74" s="263">
        <v>2624.5909999999999</v>
      </c>
      <c r="AF74" s="171">
        <v>2541.6750000000002</v>
      </c>
      <c r="AG74" s="171">
        <v>4184.9849999999997</v>
      </c>
      <c r="AH74" s="171">
        <v>7887.12</v>
      </c>
      <c r="AI74" s="171">
        <v>9458.7000000000007</v>
      </c>
      <c r="AJ74" s="171">
        <v>17180.732</v>
      </c>
      <c r="AK74" s="171">
        <v>9813.0810000000001</v>
      </c>
      <c r="AL74" s="171">
        <v>13807.227999999999</v>
      </c>
      <c r="AM74" s="171">
        <v>5926.6966975648402</v>
      </c>
    </row>
    <row r="75" spans="1:39" ht="15" customHeight="1" x14ac:dyDescent="0.25">
      <c r="A75" s="74">
        <v>75</v>
      </c>
      <c r="B75" s="224" t="s">
        <v>353</v>
      </c>
      <c r="C75" s="152"/>
      <c r="D75" s="170"/>
      <c r="E75" s="153"/>
      <c r="F75" s="252">
        <v>6203</v>
      </c>
      <c r="G75" s="252">
        <v>534</v>
      </c>
      <c r="H75" s="252">
        <v>1712</v>
      </c>
      <c r="I75" s="252">
        <v>10090</v>
      </c>
      <c r="J75" s="252">
        <v>3278</v>
      </c>
      <c r="K75" s="252">
        <v>10562</v>
      </c>
      <c r="L75" s="252">
        <v>10289</v>
      </c>
      <c r="M75" s="252">
        <v>176</v>
      </c>
      <c r="N75" s="252">
        <v>226</v>
      </c>
      <c r="O75" s="252">
        <v>4702</v>
      </c>
      <c r="P75" s="252">
        <v>4697</v>
      </c>
      <c r="Q75" s="252">
        <v>6394</v>
      </c>
      <c r="R75" s="252">
        <v>7256</v>
      </c>
      <c r="S75" s="252">
        <v>7162</v>
      </c>
      <c r="T75" s="252">
        <v>8216</v>
      </c>
      <c r="U75" s="418"/>
      <c r="V75" s="418"/>
      <c r="W75" s="418"/>
      <c r="X75" s="252">
        <v>8409</v>
      </c>
      <c r="Y75" s="252">
        <v>8977.3469999999998</v>
      </c>
      <c r="Z75" s="252">
        <v>9494.0920000000006</v>
      </c>
      <c r="AA75" s="252">
        <v>14706.130999999999</v>
      </c>
      <c r="AB75" s="263">
        <v>21707.416000000001</v>
      </c>
      <c r="AC75" s="263">
        <v>26144.651999999998</v>
      </c>
      <c r="AD75" s="263">
        <v>24106.172999999999</v>
      </c>
      <c r="AE75" s="263">
        <v>21759.298999999999</v>
      </c>
      <c r="AF75" s="171">
        <v>21805.687999999998</v>
      </c>
      <c r="AG75" s="171">
        <v>22811.179</v>
      </c>
      <c r="AH75" s="171">
        <v>31070.285</v>
      </c>
      <c r="AI75" s="171">
        <v>29836.421999999999</v>
      </c>
      <c r="AJ75" s="171">
        <v>16324.537</v>
      </c>
      <c r="AK75" s="171">
        <v>22563.323</v>
      </c>
      <c r="AL75" s="171">
        <v>21375.091</v>
      </c>
      <c r="AM75" s="171">
        <v>18141.812976971501</v>
      </c>
    </row>
    <row r="76" spans="1:39" ht="15" customHeight="1" x14ac:dyDescent="0.25">
      <c r="A76" s="74">
        <v>76</v>
      </c>
      <c r="B76" s="224" t="s">
        <v>354</v>
      </c>
      <c r="C76" s="152"/>
      <c r="D76" s="170"/>
      <c r="E76" s="153"/>
      <c r="F76" s="252">
        <v>3647</v>
      </c>
      <c r="G76" s="252">
        <v>9484</v>
      </c>
      <c r="H76" s="252">
        <v>10129</v>
      </c>
      <c r="I76" s="252">
        <v>810</v>
      </c>
      <c r="J76" s="252">
        <v>10906</v>
      </c>
      <c r="K76" s="252">
        <v>269</v>
      </c>
      <c r="L76" s="252">
        <v>264</v>
      </c>
      <c r="M76" s="252">
        <v>118</v>
      </c>
      <c r="N76" s="252">
        <v>4911</v>
      </c>
      <c r="O76" s="252">
        <v>151</v>
      </c>
      <c r="P76" s="252">
        <v>353</v>
      </c>
      <c r="Q76" s="252">
        <v>904</v>
      </c>
      <c r="R76" s="252">
        <v>368</v>
      </c>
      <c r="S76" s="252">
        <v>1896</v>
      </c>
      <c r="T76" s="252">
        <v>1969</v>
      </c>
      <c r="U76" s="418"/>
      <c r="V76" s="418"/>
      <c r="W76" s="418"/>
      <c r="X76" s="252">
        <v>1708</v>
      </c>
      <c r="Y76" s="252">
        <v>2884.69</v>
      </c>
      <c r="Z76" s="252">
        <v>1819.5719999999999</v>
      </c>
      <c r="AA76" s="252">
        <v>5942.9709999999995</v>
      </c>
      <c r="AB76" s="263">
        <v>7420.973</v>
      </c>
      <c r="AC76" s="263">
        <v>9061.3410000000003</v>
      </c>
      <c r="AD76" s="263">
        <v>7333.5479999999998</v>
      </c>
      <c r="AE76" s="263">
        <v>9262.6039999999994</v>
      </c>
      <c r="AF76" s="171">
        <v>10687.518</v>
      </c>
      <c r="AG76" s="171">
        <v>8779.2610000000004</v>
      </c>
      <c r="AH76" s="171">
        <v>8689.6720000000005</v>
      </c>
      <c r="AI76" s="171">
        <v>7195.8459999999995</v>
      </c>
      <c r="AJ76" s="171">
        <v>7762.6580000000004</v>
      </c>
      <c r="AK76" s="171">
        <v>14149.789000000001</v>
      </c>
      <c r="AL76" s="171">
        <v>14897.083000000001</v>
      </c>
      <c r="AM76" s="171">
        <v>16368.852089603201</v>
      </c>
    </row>
    <row r="77" spans="1:39" ht="15" customHeight="1" x14ac:dyDescent="0.25">
      <c r="A77" s="74">
        <v>77</v>
      </c>
      <c r="B77" s="224" t="s">
        <v>355</v>
      </c>
      <c r="C77" s="152"/>
      <c r="D77" s="170"/>
      <c r="E77" s="153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418"/>
      <c r="V77" s="418"/>
      <c r="W77" s="418"/>
      <c r="X77" s="252"/>
      <c r="Y77" s="252"/>
      <c r="Z77" s="252"/>
      <c r="AA77" s="252"/>
      <c r="AB77" s="263"/>
      <c r="AC77" s="263"/>
      <c r="AD77" s="263"/>
      <c r="AE77" s="263"/>
      <c r="AF77" s="171"/>
      <c r="AG77" s="171"/>
      <c r="AH77" s="171"/>
      <c r="AI77" s="171"/>
      <c r="AJ77" s="171"/>
      <c r="AK77" s="171"/>
      <c r="AL77" s="171"/>
      <c r="AM77" s="171"/>
    </row>
    <row r="78" spans="1:39" ht="15" customHeight="1" x14ac:dyDescent="0.25">
      <c r="A78" s="74">
        <v>78</v>
      </c>
      <c r="B78" s="241" t="s">
        <v>314</v>
      </c>
      <c r="C78" s="152"/>
      <c r="D78" s="170"/>
      <c r="E78" s="153"/>
      <c r="F78" s="329">
        <f t="shared" ref="F78:G78" si="23">SUM(F73:F77)</f>
        <v>82578</v>
      </c>
      <c r="G78" s="329">
        <f t="shared" si="23"/>
        <v>16100</v>
      </c>
      <c r="H78" s="329">
        <f t="shared" ref="H78" si="24">SUM(H73:H77)</f>
        <v>20930</v>
      </c>
      <c r="I78" s="329">
        <f t="shared" ref="I78" si="25">SUM(I73:I77)</f>
        <v>30021</v>
      </c>
      <c r="J78" s="329">
        <f t="shared" ref="J78:K78" si="26">SUM(J73:J77)</f>
        <v>29374</v>
      </c>
      <c r="K78" s="329">
        <f t="shared" si="26"/>
        <v>13662</v>
      </c>
      <c r="L78" s="329">
        <f t="shared" ref="L78:AG78" si="27">SUM(L73:L77)</f>
        <v>20471</v>
      </c>
      <c r="M78" s="329">
        <f t="shared" si="27"/>
        <v>8485</v>
      </c>
      <c r="N78" s="329">
        <f t="shared" si="27"/>
        <v>7263</v>
      </c>
      <c r="O78" s="329">
        <f t="shared" si="27"/>
        <v>13371</v>
      </c>
      <c r="P78" s="329">
        <f t="shared" si="27"/>
        <v>10999</v>
      </c>
      <c r="Q78" s="329">
        <f t="shared" si="27"/>
        <v>13493</v>
      </c>
      <c r="R78" s="329">
        <f t="shared" si="27"/>
        <v>13918</v>
      </c>
      <c r="S78" s="329">
        <f t="shared" si="27"/>
        <v>13725</v>
      </c>
      <c r="T78" s="329">
        <f t="shared" si="27"/>
        <v>13057</v>
      </c>
      <c r="U78" s="419"/>
      <c r="V78" s="419"/>
      <c r="W78" s="419"/>
      <c r="X78" s="329">
        <f t="shared" si="27"/>
        <v>16866</v>
      </c>
      <c r="Y78" s="329">
        <f t="shared" si="27"/>
        <v>17654.058999999997</v>
      </c>
      <c r="Z78" s="329">
        <f t="shared" si="27"/>
        <v>18030.719000000001</v>
      </c>
      <c r="AA78" s="329">
        <f t="shared" si="27"/>
        <v>28218.423999999999</v>
      </c>
      <c r="AB78" s="311">
        <f t="shared" si="27"/>
        <v>32627.955000000002</v>
      </c>
      <c r="AC78" s="311">
        <f t="shared" si="27"/>
        <v>41410.247000000003</v>
      </c>
      <c r="AD78" s="311">
        <f t="shared" si="27"/>
        <v>36752.673000000003</v>
      </c>
      <c r="AE78" s="311">
        <f t="shared" si="27"/>
        <v>33726.235000000001</v>
      </c>
      <c r="AF78" s="219">
        <f t="shared" si="27"/>
        <v>35106.778999999995</v>
      </c>
      <c r="AG78" s="219">
        <f t="shared" si="27"/>
        <v>37766.004000000001</v>
      </c>
      <c r="AH78" s="219">
        <f t="shared" ref="AH78:AM78" si="28">SUM(AH73:AH77)</f>
        <v>47911.328000000001</v>
      </c>
      <c r="AI78" s="219">
        <f t="shared" si="28"/>
        <v>46928.714</v>
      </c>
      <c r="AJ78" s="219">
        <f t="shared" si="28"/>
        <v>41740.527999999998</v>
      </c>
      <c r="AK78" s="219">
        <f t="shared" si="28"/>
        <v>46706.285000000003</v>
      </c>
      <c r="AL78" s="219">
        <f t="shared" si="28"/>
        <v>50333.017999999996</v>
      </c>
      <c r="AM78" s="219">
        <f t="shared" si="28"/>
        <v>42843.9298602786</v>
      </c>
    </row>
    <row r="79" spans="1:39" ht="15" customHeight="1" x14ac:dyDescent="0.25">
      <c r="A79" s="74">
        <v>79</v>
      </c>
      <c r="B79" s="239" t="s">
        <v>79</v>
      </c>
      <c r="C79" s="152"/>
      <c r="D79" s="170"/>
      <c r="E79" s="153"/>
      <c r="F79" s="252">
        <v>-2772</v>
      </c>
      <c r="G79" s="252">
        <v>-912</v>
      </c>
      <c r="H79" s="252">
        <v>-757</v>
      </c>
      <c r="I79" s="252">
        <v>-781</v>
      </c>
      <c r="J79" s="252">
        <v>-1090</v>
      </c>
      <c r="K79" s="252">
        <v>-897</v>
      </c>
      <c r="L79" s="252">
        <v>-1213</v>
      </c>
      <c r="M79" s="252">
        <v>-337</v>
      </c>
      <c r="N79" s="252">
        <v>-445</v>
      </c>
      <c r="O79" s="252">
        <v>-1546</v>
      </c>
      <c r="P79" s="252">
        <v>-1302</v>
      </c>
      <c r="Q79" s="252">
        <v>-1045</v>
      </c>
      <c r="R79" s="252">
        <v>-521</v>
      </c>
      <c r="S79" s="252">
        <v>-905</v>
      </c>
      <c r="T79" s="252">
        <v>-1004</v>
      </c>
      <c r="U79" s="418"/>
      <c r="V79" s="418"/>
      <c r="W79" s="418"/>
      <c r="X79" s="252">
        <v>-1173</v>
      </c>
      <c r="Y79" s="252">
        <v>-605.54399999999998</v>
      </c>
      <c r="Z79" s="252">
        <v>-687.96799999999996</v>
      </c>
      <c r="AA79" s="252">
        <v>-2070.2049999999999</v>
      </c>
      <c r="AB79" s="263">
        <v>-2305.1909999999998</v>
      </c>
      <c r="AC79" s="263">
        <v>-3999.4110000000001</v>
      </c>
      <c r="AD79" s="263">
        <v>-2526.0230000000001</v>
      </c>
      <c r="AE79" s="263">
        <v>-4008.5010000000002</v>
      </c>
      <c r="AF79" s="171">
        <v>-4519.95</v>
      </c>
      <c r="AG79" s="171">
        <v>-3937.2289999999998</v>
      </c>
      <c r="AH79" s="171">
        <v>-6582.8310000000001</v>
      </c>
      <c r="AI79" s="171">
        <v>-5884.05</v>
      </c>
      <c r="AJ79" s="171">
        <v>-3575.1860000000001</v>
      </c>
      <c r="AK79" s="171">
        <v>-4777.6509999999998</v>
      </c>
      <c r="AL79" s="171">
        <v>-5044.0630000000001</v>
      </c>
      <c r="AM79" s="171">
        <v>-4107.777</v>
      </c>
    </row>
    <row r="80" spans="1:39" ht="15" customHeight="1" x14ac:dyDescent="0.25">
      <c r="A80" s="74">
        <v>80</v>
      </c>
      <c r="B80" s="241" t="s">
        <v>315</v>
      </c>
      <c r="C80" s="152"/>
      <c r="D80" s="170"/>
      <c r="E80" s="153"/>
      <c r="F80" s="329">
        <f t="shared" ref="F80:G80" si="29">F78+F79</f>
        <v>79806</v>
      </c>
      <c r="G80" s="329">
        <f t="shared" si="29"/>
        <v>15188</v>
      </c>
      <c r="H80" s="329">
        <f t="shared" ref="H80" si="30">H78+H79</f>
        <v>20173</v>
      </c>
      <c r="I80" s="329">
        <f t="shared" ref="I80" si="31">I78+I79</f>
        <v>29240</v>
      </c>
      <c r="J80" s="329">
        <f t="shared" ref="J80:K80" si="32">J78+J79</f>
        <v>28284</v>
      </c>
      <c r="K80" s="329">
        <f t="shared" si="32"/>
        <v>12765</v>
      </c>
      <c r="L80" s="329">
        <f t="shared" ref="L80:AG80" si="33">L78+L79</f>
        <v>19258</v>
      </c>
      <c r="M80" s="329">
        <f t="shared" si="33"/>
        <v>8148</v>
      </c>
      <c r="N80" s="329">
        <f t="shared" si="33"/>
        <v>6818</v>
      </c>
      <c r="O80" s="329">
        <f t="shared" si="33"/>
        <v>11825</v>
      </c>
      <c r="P80" s="329">
        <f t="shared" si="33"/>
        <v>9697</v>
      </c>
      <c r="Q80" s="329">
        <f t="shared" si="33"/>
        <v>12448</v>
      </c>
      <c r="R80" s="329">
        <f t="shared" si="33"/>
        <v>13397</v>
      </c>
      <c r="S80" s="329">
        <f t="shared" si="33"/>
        <v>12820</v>
      </c>
      <c r="T80" s="329">
        <f t="shared" si="33"/>
        <v>12053</v>
      </c>
      <c r="U80" s="419"/>
      <c r="V80" s="419"/>
      <c r="W80" s="419"/>
      <c r="X80" s="329">
        <f t="shared" si="33"/>
        <v>15693</v>
      </c>
      <c r="Y80" s="329">
        <f t="shared" si="33"/>
        <v>17048.514999999996</v>
      </c>
      <c r="Z80" s="329">
        <f t="shared" si="33"/>
        <v>17342.751</v>
      </c>
      <c r="AA80" s="329">
        <f t="shared" si="33"/>
        <v>26148.218999999997</v>
      </c>
      <c r="AB80" s="311">
        <f t="shared" si="33"/>
        <v>30322.764000000003</v>
      </c>
      <c r="AC80" s="311">
        <f t="shared" si="33"/>
        <v>37410.836000000003</v>
      </c>
      <c r="AD80" s="311">
        <f t="shared" si="33"/>
        <v>34226.65</v>
      </c>
      <c r="AE80" s="311">
        <f t="shared" si="33"/>
        <v>29717.734</v>
      </c>
      <c r="AF80" s="219">
        <f t="shared" si="33"/>
        <v>30586.828999999994</v>
      </c>
      <c r="AG80" s="219">
        <f t="shared" si="33"/>
        <v>33828.775000000001</v>
      </c>
      <c r="AH80" s="219">
        <f t="shared" ref="AH80:AM80" si="34">AH78+AH79</f>
        <v>41328.497000000003</v>
      </c>
      <c r="AI80" s="219">
        <f t="shared" si="34"/>
        <v>41044.663999999997</v>
      </c>
      <c r="AJ80" s="219">
        <f t="shared" si="34"/>
        <v>38165.341999999997</v>
      </c>
      <c r="AK80" s="219">
        <f t="shared" si="34"/>
        <v>41928.634000000005</v>
      </c>
      <c r="AL80" s="219">
        <f t="shared" si="34"/>
        <v>45288.954999999994</v>
      </c>
      <c r="AM80" s="219">
        <f t="shared" si="34"/>
        <v>38736.152860278598</v>
      </c>
    </row>
    <row r="81" spans="1:39" ht="21" customHeight="1" x14ac:dyDescent="0.25">
      <c r="A81" s="74">
        <v>81</v>
      </c>
      <c r="B81" s="240" t="s">
        <v>333</v>
      </c>
      <c r="C81" s="152"/>
      <c r="D81" s="170"/>
      <c r="E81" s="153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420"/>
      <c r="V81" s="420"/>
      <c r="W81" s="420"/>
      <c r="X81" s="345"/>
      <c r="Y81" s="345"/>
      <c r="Z81" s="345"/>
      <c r="AA81" s="345"/>
      <c r="AB81" s="291"/>
      <c r="AC81" s="291"/>
      <c r="AD81" s="291"/>
      <c r="AE81" s="291"/>
      <c r="AF81" s="170"/>
      <c r="AG81" s="170"/>
      <c r="AH81" s="170"/>
      <c r="AI81" s="170"/>
      <c r="AJ81" s="170"/>
      <c r="AK81" s="170"/>
      <c r="AL81" s="170"/>
      <c r="AM81" s="171"/>
    </row>
    <row r="82" spans="1:39" ht="15" customHeight="1" x14ac:dyDescent="0.25">
      <c r="A82" s="74">
        <v>82</v>
      </c>
      <c r="B82" s="224" t="s">
        <v>351</v>
      </c>
      <c r="C82" s="152"/>
      <c r="D82" s="170"/>
      <c r="E82" s="153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418"/>
      <c r="V82" s="418"/>
      <c r="W82" s="418"/>
      <c r="X82" s="252"/>
      <c r="Y82" s="252"/>
      <c r="Z82" s="252"/>
      <c r="AA82" s="252"/>
      <c r="AB82" s="263"/>
      <c r="AC82" s="263"/>
      <c r="AD82" s="263"/>
      <c r="AE82" s="263"/>
      <c r="AF82" s="171"/>
      <c r="AG82" s="171"/>
      <c r="AH82" s="171"/>
      <c r="AI82" s="171"/>
      <c r="AJ82" s="171"/>
      <c r="AK82" s="171"/>
      <c r="AL82" s="171"/>
      <c r="AM82" s="171"/>
    </row>
    <row r="83" spans="1:39" ht="15" customHeight="1" x14ac:dyDescent="0.25">
      <c r="A83" s="74">
        <v>83</v>
      </c>
      <c r="B83" s="224" t="s">
        <v>352</v>
      </c>
      <c r="C83" s="152"/>
      <c r="D83" s="170"/>
      <c r="E83" s="153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418"/>
      <c r="V83" s="418"/>
      <c r="W83" s="418"/>
      <c r="X83" s="252"/>
      <c r="Y83" s="252"/>
      <c r="Z83" s="252"/>
      <c r="AA83" s="252"/>
      <c r="AB83" s="263"/>
      <c r="AC83" s="263"/>
      <c r="AD83" s="263"/>
      <c r="AE83" s="263"/>
      <c r="AF83" s="171"/>
      <c r="AG83" s="171"/>
      <c r="AH83" s="171"/>
      <c r="AI83" s="171"/>
      <c r="AJ83" s="171"/>
      <c r="AK83" s="171"/>
      <c r="AL83" s="171"/>
      <c r="AM83" s="171"/>
    </row>
    <row r="84" spans="1:39" ht="15" customHeight="1" x14ac:dyDescent="0.25">
      <c r="A84" s="74">
        <v>84</v>
      </c>
      <c r="B84" s="224" t="s">
        <v>353</v>
      </c>
      <c r="C84" s="152"/>
      <c r="D84" s="170"/>
      <c r="E84" s="153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418"/>
      <c r="V84" s="418"/>
      <c r="W84" s="418"/>
      <c r="X84" s="252"/>
      <c r="Y84" s="252"/>
      <c r="Z84" s="252"/>
      <c r="AA84" s="252"/>
      <c r="AB84" s="263"/>
      <c r="AC84" s="263"/>
      <c r="AD84" s="263"/>
      <c r="AE84" s="263"/>
      <c r="AF84" s="171"/>
      <c r="AG84" s="171"/>
      <c r="AH84" s="171"/>
      <c r="AI84" s="171"/>
      <c r="AJ84" s="171"/>
      <c r="AK84" s="171"/>
      <c r="AL84" s="171"/>
      <c r="AM84" s="171"/>
    </row>
    <row r="85" spans="1:39" ht="15" customHeight="1" x14ac:dyDescent="0.25">
      <c r="A85" s="74">
        <v>85</v>
      </c>
      <c r="B85" s="224" t="s">
        <v>354</v>
      </c>
      <c r="C85" s="152"/>
      <c r="D85" s="170"/>
      <c r="E85" s="153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418"/>
      <c r="V85" s="418"/>
      <c r="W85" s="418"/>
      <c r="X85" s="252"/>
      <c r="Y85" s="252"/>
      <c r="Z85" s="252"/>
      <c r="AA85" s="252"/>
      <c r="AB85" s="263"/>
      <c r="AC85" s="263"/>
      <c r="AD85" s="263"/>
      <c r="AE85" s="263"/>
      <c r="AF85" s="171"/>
      <c r="AG85" s="171"/>
      <c r="AH85" s="171"/>
      <c r="AI85" s="171"/>
      <c r="AJ85" s="171"/>
      <c r="AK85" s="171"/>
      <c r="AL85" s="171"/>
      <c r="AM85" s="171"/>
    </row>
    <row r="86" spans="1:39" ht="15" customHeight="1" x14ac:dyDescent="0.25">
      <c r="A86" s="74">
        <v>86</v>
      </c>
      <c r="B86" s="224" t="s">
        <v>355</v>
      </c>
      <c r="C86" s="152"/>
      <c r="D86" s="170"/>
      <c r="E86" s="153"/>
      <c r="F86" s="252">
        <v>35547</v>
      </c>
      <c r="G86" s="252">
        <v>30738</v>
      </c>
      <c r="H86" s="252">
        <v>31831</v>
      </c>
      <c r="I86" s="252">
        <v>29512</v>
      </c>
      <c r="J86" s="252">
        <v>36643</v>
      </c>
      <c r="K86" s="252">
        <v>28120</v>
      </c>
      <c r="L86" s="252">
        <v>30522</v>
      </c>
      <c r="M86" s="252">
        <v>30365</v>
      </c>
      <c r="N86" s="252">
        <v>28038</v>
      </c>
      <c r="O86" s="252">
        <v>26233</v>
      </c>
      <c r="P86" s="252">
        <v>30800</v>
      </c>
      <c r="Q86" s="252">
        <v>32932</v>
      </c>
      <c r="R86" s="252">
        <v>34213</v>
      </c>
      <c r="S86" s="252">
        <v>33444</v>
      </c>
      <c r="T86" s="252">
        <v>42123</v>
      </c>
      <c r="U86" s="418"/>
      <c r="V86" s="418"/>
      <c r="W86" s="418"/>
      <c r="X86" s="252">
        <v>41357</v>
      </c>
      <c r="Y86" s="252">
        <v>43773.26</v>
      </c>
      <c r="Z86" s="252">
        <v>44395.896000000001</v>
      </c>
      <c r="AA86" s="252">
        <v>43661.637000000002</v>
      </c>
      <c r="AB86" s="263">
        <v>40696.482000000004</v>
      </c>
      <c r="AC86" s="263">
        <v>36403.144999999997</v>
      </c>
      <c r="AD86" s="263">
        <v>36386.394999999997</v>
      </c>
      <c r="AE86" s="263">
        <v>35161.974000000002</v>
      </c>
      <c r="AF86" s="171">
        <v>29569.388999999999</v>
      </c>
      <c r="AG86" s="171">
        <v>34852.341</v>
      </c>
      <c r="AH86" s="171">
        <v>30913.358</v>
      </c>
      <c r="AI86" s="171">
        <v>32696.728999999999</v>
      </c>
      <c r="AJ86" s="171">
        <v>34134.374000000003</v>
      </c>
      <c r="AK86" s="171">
        <v>35020.402999999998</v>
      </c>
      <c r="AL86" s="171">
        <v>36698.998</v>
      </c>
      <c r="AM86" s="171">
        <v>34194.228000000003</v>
      </c>
    </row>
    <row r="87" spans="1:39" ht="15" customHeight="1" x14ac:dyDescent="0.25">
      <c r="A87" s="74">
        <v>87</v>
      </c>
      <c r="B87" s="241" t="s">
        <v>318</v>
      </c>
      <c r="C87" s="152"/>
      <c r="D87" s="170"/>
      <c r="E87" s="153"/>
      <c r="F87" s="329">
        <f t="shared" ref="F87:G87" si="35">SUM(F82:F86)</f>
        <v>35547</v>
      </c>
      <c r="G87" s="329">
        <f t="shared" si="35"/>
        <v>30738</v>
      </c>
      <c r="H87" s="329">
        <f t="shared" ref="H87" si="36">SUM(H82:H86)</f>
        <v>31831</v>
      </c>
      <c r="I87" s="329">
        <f>SUM(I82:I86)</f>
        <v>29512</v>
      </c>
      <c r="J87" s="329">
        <f>SUM(J82:J86)</f>
        <v>36643</v>
      </c>
      <c r="K87" s="329">
        <f t="shared" ref="K87" si="37">SUM(K82:K86)</f>
        <v>28120</v>
      </c>
      <c r="L87" s="329">
        <f t="shared" ref="L87:AG87" si="38">SUM(L82:L86)</f>
        <v>30522</v>
      </c>
      <c r="M87" s="329">
        <f t="shared" si="38"/>
        <v>30365</v>
      </c>
      <c r="N87" s="329">
        <f t="shared" si="38"/>
        <v>28038</v>
      </c>
      <c r="O87" s="329">
        <f t="shared" si="38"/>
        <v>26233</v>
      </c>
      <c r="P87" s="329">
        <f t="shared" si="38"/>
        <v>30800</v>
      </c>
      <c r="Q87" s="329">
        <f t="shared" si="38"/>
        <v>32932</v>
      </c>
      <c r="R87" s="329">
        <f t="shared" si="38"/>
        <v>34213</v>
      </c>
      <c r="S87" s="329">
        <f t="shared" si="38"/>
        <v>33444</v>
      </c>
      <c r="T87" s="329">
        <f t="shared" si="38"/>
        <v>42123</v>
      </c>
      <c r="U87" s="419"/>
      <c r="V87" s="419"/>
      <c r="W87" s="419"/>
      <c r="X87" s="329">
        <f t="shared" si="38"/>
        <v>41357</v>
      </c>
      <c r="Y87" s="329">
        <f t="shared" si="38"/>
        <v>43773.26</v>
      </c>
      <c r="Z87" s="329">
        <f t="shared" si="38"/>
        <v>44395.896000000001</v>
      </c>
      <c r="AA87" s="329">
        <f t="shared" si="38"/>
        <v>43661.637000000002</v>
      </c>
      <c r="AB87" s="311">
        <f t="shared" si="38"/>
        <v>40696.482000000004</v>
      </c>
      <c r="AC87" s="311">
        <f t="shared" si="38"/>
        <v>36403.144999999997</v>
      </c>
      <c r="AD87" s="311">
        <f t="shared" si="38"/>
        <v>36386.394999999997</v>
      </c>
      <c r="AE87" s="311">
        <f t="shared" si="38"/>
        <v>35161.974000000002</v>
      </c>
      <c r="AF87" s="219">
        <f t="shared" si="38"/>
        <v>29569.388999999999</v>
      </c>
      <c r="AG87" s="219">
        <f t="shared" si="38"/>
        <v>34852.341</v>
      </c>
      <c r="AH87" s="219">
        <f t="shared" ref="AH87:AM87" si="39">SUM(AH82:AH86)</f>
        <v>30913.358</v>
      </c>
      <c r="AI87" s="219">
        <f t="shared" si="39"/>
        <v>32696.728999999999</v>
      </c>
      <c r="AJ87" s="219">
        <f t="shared" si="39"/>
        <v>34134.374000000003</v>
      </c>
      <c r="AK87" s="219">
        <f t="shared" si="39"/>
        <v>35020.402999999998</v>
      </c>
      <c r="AL87" s="219">
        <f t="shared" si="39"/>
        <v>36698.998</v>
      </c>
      <c r="AM87" s="219">
        <f t="shared" si="39"/>
        <v>34194.228000000003</v>
      </c>
    </row>
    <row r="88" spans="1:39" ht="15" customHeight="1" x14ac:dyDescent="0.25">
      <c r="A88" s="74">
        <v>88</v>
      </c>
      <c r="B88" s="239" t="s">
        <v>79</v>
      </c>
      <c r="C88" s="152"/>
      <c r="D88" s="170"/>
      <c r="E88" s="153"/>
      <c r="F88" s="252">
        <v>-22766</v>
      </c>
      <c r="G88" s="252">
        <v>-18438</v>
      </c>
      <c r="H88" s="252">
        <v>-19813</v>
      </c>
      <c r="I88" s="252">
        <v>-25977</v>
      </c>
      <c r="J88" s="252">
        <v>-26278</v>
      </c>
      <c r="K88" s="252">
        <v>-21731</v>
      </c>
      <c r="L88" s="252">
        <v>-23610</v>
      </c>
      <c r="M88" s="252">
        <v>-22918</v>
      </c>
      <c r="N88" s="252">
        <v>-20994</v>
      </c>
      <c r="O88" s="252">
        <v>-20640</v>
      </c>
      <c r="P88" s="252">
        <v>-25236</v>
      </c>
      <c r="Q88" s="252">
        <v>-27490</v>
      </c>
      <c r="R88" s="252">
        <v>-28709</v>
      </c>
      <c r="S88" s="252">
        <v>-27272</v>
      </c>
      <c r="T88" s="252">
        <v>-32656</v>
      </c>
      <c r="U88" s="418"/>
      <c r="V88" s="418"/>
      <c r="W88" s="418"/>
      <c r="X88" s="252">
        <v>-33003</v>
      </c>
      <c r="Y88" s="252">
        <v>-34534.463000000003</v>
      </c>
      <c r="Z88" s="252">
        <v>-32137.661</v>
      </c>
      <c r="AA88" s="252">
        <v>-29894.244999999999</v>
      </c>
      <c r="AB88" s="263">
        <v>-26008.982</v>
      </c>
      <c r="AC88" s="263">
        <v>-25951.292000000001</v>
      </c>
      <c r="AD88" s="263">
        <v>-26159.766</v>
      </c>
      <c r="AE88" s="263">
        <v>-24531.355</v>
      </c>
      <c r="AF88" s="171">
        <v>-20879.550999999999</v>
      </c>
      <c r="AG88" s="171">
        <v>-23452.578000000001</v>
      </c>
      <c r="AH88" s="171">
        <v>-21698.787</v>
      </c>
      <c r="AI88" s="171">
        <v>-22600.241000000002</v>
      </c>
      <c r="AJ88" s="171">
        <v>-24246.074000000001</v>
      </c>
      <c r="AK88" s="171">
        <v>-23691.562000000002</v>
      </c>
      <c r="AL88" s="171">
        <v>-23229.016</v>
      </c>
      <c r="AM88" s="171">
        <v>-22878.98</v>
      </c>
    </row>
    <row r="89" spans="1:39" ht="15" customHeight="1" x14ac:dyDescent="0.25">
      <c r="A89" s="74">
        <v>89</v>
      </c>
      <c r="B89" s="241" t="s">
        <v>319</v>
      </c>
      <c r="C89" s="152"/>
      <c r="D89" s="170"/>
      <c r="E89" s="153"/>
      <c r="F89" s="329">
        <f t="shared" ref="F89:G89" si="40">F87+F88</f>
        <v>12781</v>
      </c>
      <c r="G89" s="329">
        <f t="shared" si="40"/>
        <v>12300</v>
      </c>
      <c r="H89" s="329">
        <f t="shared" ref="H89" si="41">H87+H88</f>
        <v>12018</v>
      </c>
      <c r="I89" s="329">
        <f t="shared" ref="I89" si="42">I87+I88</f>
        <v>3535</v>
      </c>
      <c r="J89" s="329">
        <f t="shared" ref="J89:K89" si="43">J87+J88</f>
        <v>10365</v>
      </c>
      <c r="K89" s="329">
        <f t="shared" si="43"/>
        <v>6389</v>
      </c>
      <c r="L89" s="329">
        <f t="shared" ref="L89:AG89" si="44">L87+L88</f>
        <v>6912</v>
      </c>
      <c r="M89" s="329">
        <f t="shared" si="44"/>
        <v>7447</v>
      </c>
      <c r="N89" s="329">
        <f t="shared" si="44"/>
        <v>7044</v>
      </c>
      <c r="O89" s="329">
        <f t="shared" si="44"/>
        <v>5593</v>
      </c>
      <c r="P89" s="329">
        <f t="shared" si="44"/>
        <v>5564</v>
      </c>
      <c r="Q89" s="329">
        <f t="shared" si="44"/>
        <v>5442</v>
      </c>
      <c r="R89" s="329">
        <f t="shared" si="44"/>
        <v>5504</v>
      </c>
      <c r="S89" s="329">
        <f t="shared" si="44"/>
        <v>6172</v>
      </c>
      <c r="T89" s="329">
        <f t="shared" si="44"/>
        <v>9467</v>
      </c>
      <c r="U89" s="419"/>
      <c r="V89" s="419"/>
      <c r="W89" s="419"/>
      <c r="X89" s="329">
        <f t="shared" si="44"/>
        <v>8354</v>
      </c>
      <c r="Y89" s="329">
        <f t="shared" si="44"/>
        <v>9238.7969999999987</v>
      </c>
      <c r="Z89" s="329">
        <f t="shared" si="44"/>
        <v>12258.235000000001</v>
      </c>
      <c r="AA89" s="329">
        <f t="shared" si="44"/>
        <v>13767.392000000003</v>
      </c>
      <c r="AB89" s="311">
        <f t="shared" si="44"/>
        <v>14687.500000000004</v>
      </c>
      <c r="AC89" s="311">
        <f t="shared" si="44"/>
        <v>10451.852999999996</v>
      </c>
      <c r="AD89" s="311">
        <f t="shared" si="44"/>
        <v>10226.628999999997</v>
      </c>
      <c r="AE89" s="311">
        <f t="shared" si="44"/>
        <v>10630.619000000002</v>
      </c>
      <c r="AF89" s="219">
        <f t="shared" si="44"/>
        <v>8689.8379999999997</v>
      </c>
      <c r="AG89" s="219">
        <f t="shared" si="44"/>
        <v>11399.762999999999</v>
      </c>
      <c r="AH89" s="219">
        <f t="shared" ref="AH89:AM89" si="45">AH87+AH88</f>
        <v>9214.5709999999999</v>
      </c>
      <c r="AI89" s="219">
        <f t="shared" si="45"/>
        <v>10096.487999999998</v>
      </c>
      <c r="AJ89" s="219">
        <f t="shared" si="45"/>
        <v>9888.3000000000029</v>
      </c>
      <c r="AK89" s="219">
        <f t="shared" si="45"/>
        <v>11328.840999999997</v>
      </c>
      <c r="AL89" s="219">
        <f t="shared" si="45"/>
        <v>13469.982</v>
      </c>
      <c r="AM89" s="219">
        <f t="shared" si="45"/>
        <v>11315.248000000003</v>
      </c>
    </row>
    <row r="90" spans="1:39" ht="21" customHeight="1" x14ac:dyDescent="0.25">
      <c r="A90" s="74">
        <v>90</v>
      </c>
      <c r="B90" s="228" t="s">
        <v>337</v>
      </c>
      <c r="C90" s="93"/>
      <c r="D90" s="88"/>
      <c r="E90" s="94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420"/>
      <c r="V90" s="420"/>
      <c r="W90" s="420"/>
      <c r="X90" s="345"/>
      <c r="Y90" s="345"/>
      <c r="Z90" s="345"/>
      <c r="AA90" s="345"/>
      <c r="AB90" s="291"/>
      <c r="AC90" s="291"/>
      <c r="AD90" s="291"/>
      <c r="AE90" s="291"/>
      <c r="AF90" s="170"/>
      <c r="AG90" s="170"/>
      <c r="AH90" s="170"/>
      <c r="AI90" s="170"/>
      <c r="AJ90" s="170"/>
      <c r="AK90" s="170"/>
      <c r="AL90" s="170"/>
      <c r="AM90" s="85"/>
    </row>
    <row r="91" spans="1:39" ht="15" customHeight="1" x14ac:dyDescent="0.25">
      <c r="A91" s="74">
        <v>91</v>
      </c>
      <c r="B91" s="224" t="s">
        <v>351</v>
      </c>
      <c r="C91" s="152"/>
      <c r="D91" s="170"/>
      <c r="E91" s="153"/>
      <c r="F91" s="252"/>
      <c r="G91" s="252"/>
      <c r="H91" s="252"/>
      <c r="I91" s="252"/>
      <c r="J91" s="252"/>
      <c r="K91" s="252"/>
      <c r="L91" s="252"/>
      <c r="M91" s="252"/>
      <c r="N91" s="252"/>
      <c r="O91" s="252"/>
      <c r="P91" s="252"/>
      <c r="Q91" s="252"/>
      <c r="R91" s="252"/>
      <c r="S91" s="252"/>
      <c r="T91" s="252"/>
      <c r="U91" s="418"/>
      <c r="V91" s="418"/>
      <c r="W91" s="418"/>
      <c r="X91" s="252"/>
      <c r="Y91" s="252"/>
      <c r="Z91" s="252"/>
      <c r="AA91" s="252"/>
      <c r="AB91" s="263"/>
      <c r="AC91" s="263"/>
      <c r="AD91" s="263"/>
      <c r="AE91" s="263"/>
      <c r="AF91" s="171"/>
      <c r="AG91" s="171"/>
      <c r="AH91" s="171"/>
      <c r="AI91" s="171"/>
      <c r="AJ91" s="171"/>
      <c r="AK91" s="171"/>
      <c r="AL91" s="171"/>
      <c r="AM91" s="171"/>
    </row>
    <row r="92" spans="1:39" ht="15" customHeight="1" x14ac:dyDescent="0.25">
      <c r="A92" s="74">
        <v>92</v>
      </c>
      <c r="B92" s="224" t="s">
        <v>352</v>
      </c>
      <c r="C92" s="152"/>
      <c r="D92" s="170"/>
      <c r="E92" s="153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418"/>
      <c r="V92" s="418"/>
      <c r="W92" s="418"/>
      <c r="X92" s="252"/>
      <c r="Y92" s="252"/>
      <c r="Z92" s="252"/>
      <c r="AA92" s="252"/>
      <c r="AB92" s="263"/>
      <c r="AC92" s="263"/>
      <c r="AD92" s="263"/>
      <c r="AE92" s="263"/>
      <c r="AF92" s="171"/>
      <c r="AG92" s="171"/>
      <c r="AH92" s="171"/>
      <c r="AI92" s="171"/>
      <c r="AJ92" s="171"/>
      <c r="AK92" s="171"/>
      <c r="AL92" s="171"/>
      <c r="AM92" s="171"/>
    </row>
    <row r="93" spans="1:39" ht="15" customHeight="1" x14ac:dyDescent="0.25">
      <c r="A93" s="74">
        <v>93</v>
      </c>
      <c r="B93" s="224" t="s">
        <v>353</v>
      </c>
      <c r="C93" s="152"/>
      <c r="D93" s="170"/>
      <c r="E93" s="153"/>
      <c r="F93" s="346"/>
      <c r="G93" s="346"/>
      <c r="H93" s="346"/>
      <c r="I93" s="346"/>
      <c r="J93" s="346"/>
      <c r="K93" s="346"/>
      <c r="L93" s="346"/>
      <c r="M93" s="346"/>
      <c r="N93" s="346"/>
      <c r="O93" s="346"/>
      <c r="P93" s="346"/>
      <c r="Q93" s="346"/>
      <c r="R93" s="346"/>
      <c r="S93" s="346"/>
      <c r="T93" s="346"/>
      <c r="U93" s="421"/>
      <c r="V93" s="421"/>
      <c r="W93" s="421"/>
      <c r="X93" s="346"/>
      <c r="Y93" s="346"/>
      <c r="Z93" s="346"/>
      <c r="AA93" s="346"/>
      <c r="AB93" s="305"/>
      <c r="AC93" s="305"/>
      <c r="AD93" s="305"/>
      <c r="AE93" s="305"/>
      <c r="AF93" s="39"/>
      <c r="AG93" s="39"/>
      <c r="AH93" s="39"/>
      <c r="AI93" s="39"/>
      <c r="AJ93" s="39"/>
      <c r="AL93" s="39"/>
      <c r="AM93" s="171"/>
    </row>
    <row r="94" spans="1:39" ht="15" customHeight="1" x14ac:dyDescent="0.25">
      <c r="A94" s="74">
        <v>94</v>
      </c>
      <c r="B94" s="224" t="s">
        <v>354</v>
      </c>
      <c r="C94" s="152"/>
      <c r="D94" s="170"/>
      <c r="E94" s="153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2"/>
      <c r="U94" s="418"/>
      <c r="V94" s="418"/>
      <c r="W94" s="418"/>
      <c r="X94" s="252"/>
      <c r="Y94" s="252"/>
      <c r="Z94" s="252"/>
      <c r="AA94" s="252"/>
      <c r="AB94" s="263"/>
      <c r="AC94" s="263"/>
      <c r="AD94" s="263"/>
      <c r="AE94" s="263"/>
      <c r="AF94" s="171"/>
      <c r="AG94" s="171"/>
      <c r="AH94" s="171"/>
      <c r="AI94" s="171"/>
      <c r="AJ94" s="171"/>
      <c r="AK94" s="171">
        <v>1110.373</v>
      </c>
      <c r="AL94" s="171">
        <v>1127.2429999999999</v>
      </c>
      <c r="AM94" s="171">
        <v>1178.511</v>
      </c>
    </row>
    <row r="95" spans="1:39" ht="15" customHeight="1" x14ac:dyDescent="0.25">
      <c r="A95" s="74">
        <v>95</v>
      </c>
      <c r="B95" s="224" t="s">
        <v>355</v>
      </c>
      <c r="C95" s="152"/>
      <c r="D95" s="170"/>
      <c r="E95" s="153"/>
      <c r="F95" s="252"/>
      <c r="G95" s="252"/>
      <c r="H95" s="252"/>
      <c r="I95" s="252">
        <v>0</v>
      </c>
      <c r="J95" s="252">
        <v>207</v>
      </c>
      <c r="K95" s="252">
        <v>210</v>
      </c>
      <c r="L95" s="252">
        <v>206</v>
      </c>
      <c r="M95" s="252">
        <v>201</v>
      </c>
      <c r="N95" s="252">
        <v>201</v>
      </c>
      <c r="O95" s="252">
        <v>202</v>
      </c>
      <c r="P95" s="252">
        <v>199</v>
      </c>
      <c r="Q95" s="252">
        <v>197</v>
      </c>
      <c r="R95" s="252">
        <v>199</v>
      </c>
      <c r="S95" s="252">
        <v>212</v>
      </c>
      <c r="T95" s="252">
        <v>213</v>
      </c>
      <c r="U95" s="418"/>
      <c r="V95" s="418"/>
      <c r="W95" s="418"/>
      <c r="X95" s="252">
        <v>405</v>
      </c>
      <c r="Y95" s="252">
        <v>394.30599999999998</v>
      </c>
      <c r="Z95" s="252">
        <v>2109.6080000000002</v>
      </c>
      <c r="AA95" s="252">
        <v>2093.944</v>
      </c>
      <c r="AB95" s="263">
        <v>2128.8240000000001</v>
      </c>
      <c r="AC95" s="263">
        <v>2484.663</v>
      </c>
      <c r="AD95" s="263">
        <v>3114.6120000000001</v>
      </c>
      <c r="AE95" s="263">
        <v>3335.7240000000002</v>
      </c>
      <c r="AF95" s="171">
        <v>3497.02</v>
      </c>
      <c r="AG95" s="171">
        <v>2850.6709999999998</v>
      </c>
      <c r="AH95" s="171">
        <v>2740.3049999999998</v>
      </c>
      <c r="AI95" s="171">
        <v>2299.7379999999998</v>
      </c>
      <c r="AJ95" s="171">
        <v>2086.5360000000001</v>
      </c>
      <c r="AK95" s="171">
        <v>1002.5410000000001</v>
      </c>
      <c r="AL95" s="171">
        <v>947.32299999999998</v>
      </c>
      <c r="AM95" s="171">
        <v>965.70699999999999</v>
      </c>
    </row>
    <row r="96" spans="1:39" x14ac:dyDescent="0.25">
      <c r="A96" s="74">
        <v>96</v>
      </c>
      <c r="B96" s="227" t="s">
        <v>338</v>
      </c>
      <c r="C96" s="93"/>
      <c r="D96" s="88"/>
      <c r="E96" s="94"/>
      <c r="F96" s="329">
        <f t="shared" ref="F96:G96" si="46">SUM(F91:F95)</f>
        <v>0</v>
      </c>
      <c r="G96" s="329">
        <f t="shared" si="46"/>
        <v>0</v>
      </c>
      <c r="H96" s="329">
        <f t="shared" ref="H96" si="47">SUM(H91:H95)</f>
        <v>0</v>
      </c>
      <c r="I96" s="329">
        <f t="shared" ref="I96" si="48">SUM(I91:I95)</f>
        <v>0</v>
      </c>
      <c r="J96" s="329">
        <f t="shared" ref="J96:K96" si="49">SUM(J91:J95)</f>
        <v>207</v>
      </c>
      <c r="K96" s="329">
        <f t="shared" si="49"/>
        <v>210</v>
      </c>
      <c r="L96" s="329">
        <f t="shared" ref="L96:AG96" si="50">SUM(L91:L95)</f>
        <v>206</v>
      </c>
      <c r="M96" s="329">
        <f t="shared" si="50"/>
        <v>201</v>
      </c>
      <c r="N96" s="329">
        <f t="shared" si="50"/>
        <v>201</v>
      </c>
      <c r="O96" s="329">
        <f t="shared" si="50"/>
        <v>202</v>
      </c>
      <c r="P96" s="329">
        <f t="shared" si="50"/>
        <v>199</v>
      </c>
      <c r="Q96" s="329">
        <f t="shared" si="50"/>
        <v>197</v>
      </c>
      <c r="R96" s="329">
        <f t="shared" si="50"/>
        <v>199</v>
      </c>
      <c r="S96" s="329">
        <f t="shared" si="50"/>
        <v>212</v>
      </c>
      <c r="T96" s="329">
        <f t="shared" si="50"/>
        <v>213</v>
      </c>
      <c r="U96" s="419"/>
      <c r="V96" s="419"/>
      <c r="W96" s="419"/>
      <c r="X96" s="329">
        <f t="shared" si="50"/>
        <v>405</v>
      </c>
      <c r="Y96" s="329">
        <f t="shared" si="50"/>
        <v>394.30599999999998</v>
      </c>
      <c r="Z96" s="329">
        <f t="shared" si="50"/>
        <v>2109.6080000000002</v>
      </c>
      <c r="AA96" s="329">
        <f t="shared" si="50"/>
        <v>2093.944</v>
      </c>
      <c r="AB96" s="311">
        <f t="shared" si="50"/>
        <v>2128.8240000000001</v>
      </c>
      <c r="AC96" s="311">
        <f t="shared" si="50"/>
        <v>2484.663</v>
      </c>
      <c r="AD96" s="311">
        <f t="shared" si="50"/>
        <v>3114.6120000000001</v>
      </c>
      <c r="AE96" s="311">
        <f t="shared" si="50"/>
        <v>3335.7240000000002</v>
      </c>
      <c r="AF96" s="219">
        <f t="shared" si="50"/>
        <v>3497.02</v>
      </c>
      <c r="AG96" s="219">
        <f t="shared" si="50"/>
        <v>2850.6709999999998</v>
      </c>
      <c r="AH96" s="219">
        <f t="shared" ref="AH96:AM96" si="51">SUM(AH91:AH95)</f>
        <v>2740.3049999999998</v>
      </c>
      <c r="AI96" s="219">
        <f t="shared" si="51"/>
        <v>2299.7379999999998</v>
      </c>
      <c r="AJ96" s="219">
        <f t="shared" si="51"/>
        <v>2086.5360000000001</v>
      </c>
      <c r="AK96" s="219">
        <f t="shared" si="51"/>
        <v>2112.9140000000002</v>
      </c>
      <c r="AL96" s="219">
        <f t="shared" si="51"/>
        <v>2074.5659999999998</v>
      </c>
      <c r="AM96" s="212">
        <f t="shared" si="51"/>
        <v>2144.2179999999998</v>
      </c>
    </row>
    <row r="97" spans="1:39" x14ac:dyDescent="0.25">
      <c r="A97" s="74">
        <v>97</v>
      </c>
      <c r="B97" s="42" t="s">
        <v>79</v>
      </c>
      <c r="C97" s="93"/>
      <c r="D97" s="88"/>
      <c r="E97" s="94"/>
      <c r="F97" s="252"/>
      <c r="G97" s="252">
        <v>0</v>
      </c>
      <c r="H97" s="252"/>
      <c r="I97" s="252">
        <v>0</v>
      </c>
      <c r="J97" s="252">
        <v>0</v>
      </c>
      <c r="K97" s="252">
        <v>0</v>
      </c>
      <c r="L97" s="252">
        <v>0</v>
      </c>
      <c r="M97" s="252">
        <v>0</v>
      </c>
      <c r="N97" s="252">
        <v>0</v>
      </c>
      <c r="O97" s="252">
        <v>0</v>
      </c>
      <c r="P97" s="252">
        <v>0</v>
      </c>
      <c r="Q97" s="252">
        <v>0</v>
      </c>
      <c r="R97" s="252">
        <v>0</v>
      </c>
      <c r="S97" s="252">
        <v>0</v>
      </c>
      <c r="T97" s="252">
        <v>0</v>
      </c>
      <c r="U97" s="418"/>
      <c r="V97" s="418"/>
      <c r="W97" s="418"/>
      <c r="X97" s="252">
        <v>0</v>
      </c>
      <c r="Y97" s="252">
        <v>0</v>
      </c>
      <c r="Z97" s="252">
        <v>-678.20799999999997</v>
      </c>
      <c r="AA97" s="252">
        <v>-1324.626</v>
      </c>
      <c r="AB97" s="263">
        <v>-1324.626</v>
      </c>
      <c r="AC97" s="263">
        <v>-1324.626</v>
      </c>
      <c r="AD97" s="263">
        <v>-1392.01</v>
      </c>
      <c r="AE97" s="263">
        <v>-1410.0360000000001</v>
      </c>
      <c r="AF97" s="171">
        <v>-1438.9860000000001</v>
      </c>
      <c r="AG97" s="171">
        <v>-1073.3040000000001</v>
      </c>
      <c r="AH97" s="171">
        <v>-1063.777</v>
      </c>
      <c r="AI97" s="171">
        <v>-979.71199999999999</v>
      </c>
      <c r="AJ97" s="171">
        <v>-594.99199999999996</v>
      </c>
      <c r="AK97" s="171">
        <v>-234.38</v>
      </c>
      <c r="AL97" s="171">
        <v>-134.86799999999999</v>
      </c>
      <c r="AM97" s="85">
        <v>-399.36500000000001</v>
      </c>
    </row>
    <row r="98" spans="1:39" x14ac:dyDescent="0.25">
      <c r="A98" s="74">
        <v>98</v>
      </c>
      <c r="B98" s="227" t="s">
        <v>339</v>
      </c>
      <c r="C98" s="93"/>
      <c r="D98" s="88"/>
      <c r="E98" s="94"/>
      <c r="F98" s="329">
        <f t="shared" ref="F98:G98" si="52">F96+F97</f>
        <v>0</v>
      </c>
      <c r="G98" s="329">
        <f t="shared" si="52"/>
        <v>0</v>
      </c>
      <c r="H98" s="329">
        <f t="shared" ref="H98" si="53">H96+H97</f>
        <v>0</v>
      </c>
      <c r="I98" s="329">
        <f t="shared" ref="I98" si="54">I96+I97</f>
        <v>0</v>
      </c>
      <c r="J98" s="329">
        <f t="shared" ref="J98:K98" si="55">J96+J97</f>
        <v>207</v>
      </c>
      <c r="K98" s="329">
        <f t="shared" si="55"/>
        <v>210</v>
      </c>
      <c r="L98" s="329">
        <f t="shared" ref="L98:AG98" si="56">L96+L97</f>
        <v>206</v>
      </c>
      <c r="M98" s="329">
        <f t="shared" si="56"/>
        <v>201</v>
      </c>
      <c r="N98" s="329">
        <f t="shared" si="56"/>
        <v>201</v>
      </c>
      <c r="O98" s="329">
        <f t="shared" si="56"/>
        <v>202</v>
      </c>
      <c r="P98" s="329">
        <f t="shared" si="56"/>
        <v>199</v>
      </c>
      <c r="Q98" s="329">
        <f t="shared" si="56"/>
        <v>197</v>
      </c>
      <c r="R98" s="329">
        <f t="shared" si="56"/>
        <v>199</v>
      </c>
      <c r="S98" s="329">
        <f t="shared" si="56"/>
        <v>212</v>
      </c>
      <c r="T98" s="329">
        <f t="shared" si="56"/>
        <v>213</v>
      </c>
      <c r="U98" s="419"/>
      <c r="V98" s="419"/>
      <c r="W98" s="419"/>
      <c r="X98" s="329">
        <f t="shared" si="56"/>
        <v>405</v>
      </c>
      <c r="Y98" s="329">
        <f t="shared" si="56"/>
        <v>394.30599999999998</v>
      </c>
      <c r="Z98" s="329">
        <f t="shared" si="56"/>
        <v>1431.4</v>
      </c>
      <c r="AA98" s="329">
        <f t="shared" si="56"/>
        <v>769.31799999999998</v>
      </c>
      <c r="AB98" s="311">
        <f t="shared" si="56"/>
        <v>804.19800000000009</v>
      </c>
      <c r="AC98" s="311">
        <f t="shared" si="56"/>
        <v>1160.037</v>
      </c>
      <c r="AD98" s="311">
        <f t="shared" si="56"/>
        <v>1722.6020000000001</v>
      </c>
      <c r="AE98" s="311">
        <f t="shared" si="56"/>
        <v>1925.6880000000001</v>
      </c>
      <c r="AF98" s="219">
        <f t="shared" si="56"/>
        <v>2058.0339999999997</v>
      </c>
      <c r="AG98" s="219">
        <f t="shared" si="56"/>
        <v>1777.3669999999997</v>
      </c>
      <c r="AH98" s="219">
        <f t="shared" ref="AH98:AM98" si="57">AH96+AH97</f>
        <v>1676.5279999999998</v>
      </c>
      <c r="AI98" s="219">
        <f t="shared" si="57"/>
        <v>1320.0259999999998</v>
      </c>
      <c r="AJ98" s="219">
        <f t="shared" si="57"/>
        <v>1491.5440000000001</v>
      </c>
      <c r="AK98" s="219">
        <f t="shared" si="57"/>
        <v>1878.5340000000001</v>
      </c>
      <c r="AL98" s="219">
        <f t="shared" si="57"/>
        <v>1939.6979999999999</v>
      </c>
      <c r="AM98" s="212">
        <f t="shared" si="57"/>
        <v>1744.8529999999998</v>
      </c>
    </row>
    <row r="99" spans="1:39" s="44" customFormat="1" ht="26.1" customHeight="1" x14ac:dyDescent="0.25">
      <c r="A99" s="74">
        <v>99</v>
      </c>
      <c r="B99" s="44" t="s">
        <v>179</v>
      </c>
      <c r="C99" s="93">
        <f ca="1">OFFSET($E$7,$A99-$A$7,1,1,1)/OFFSET($E$7,$A99-$A$7,2,1,1)-1</f>
        <v>4.4885533397383215E-2</v>
      </c>
      <c r="D99" s="88">
        <f ca="1">OFFSET($E$7,$A99-$A$7,1,1,1)/OFFSET($E$7,$A99-$A$7,5,1,1)-1</f>
        <v>0.18161824217329592</v>
      </c>
      <c r="E99" s="94">
        <f ca="1">OFFSET($E$7,$A99-$A$7,1,1,1)/OFFSET($E$7,$A99-$A$7,IF(MONTH(MAX($7:$7))=3,2,IF(MONTH(MAX($7:$7))=6,3,IF(MONTH(MAX($7:$7))=9,4,5)))*1,1)-1</f>
        <v>6.0311662886223472E-2</v>
      </c>
      <c r="F99" s="329">
        <f t="shared" ref="F99:H99" si="58">SUM(F12:F15,F23)</f>
        <v>805892</v>
      </c>
      <c r="G99" s="329">
        <f t="shared" si="58"/>
        <v>771273</v>
      </c>
      <c r="H99" s="329">
        <f t="shared" si="58"/>
        <v>760052</v>
      </c>
      <c r="I99" s="329">
        <f t="shared" ref="I99" si="59">SUM(I12:I15,I23)</f>
        <v>767059</v>
      </c>
      <c r="J99" s="329">
        <f t="shared" ref="J99:X99" si="60">SUM(J12:J15,J23)</f>
        <v>682024</v>
      </c>
      <c r="K99" s="329">
        <f t="shared" si="60"/>
        <v>589032</v>
      </c>
      <c r="L99" s="329">
        <f t="shared" si="60"/>
        <v>587870</v>
      </c>
      <c r="M99" s="329">
        <f t="shared" si="60"/>
        <v>580111</v>
      </c>
      <c r="N99" s="329">
        <f t="shared" si="60"/>
        <v>556970</v>
      </c>
      <c r="O99" s="329">
        <f t="shared" si="60"/>
        <v>548323</v>
      </c>
      <c r="P99" s="329">
        <f t="shared" si="60"/>
        <v>527441</v>
      </c>
      <c r="Q99" s="329">
        <f t="shared" si="60"/>
        <v>502284</v>
      </c>
      <c r="R99" s="329">
        <f t="shared" si="60"/>
        <v>424194</v>
      </c>
      <c r="S99" s="329">
        <f t="shared" si="60"/>
        <v>451039</v>
      </c>
      <c r="T99" s="329">
        <f t="shared" si="60"/>
        <v>415172</v>
      </c>
      <c r="U99" s="419"/>
      <c r="V99" s="419"/>
      <c r="W99" s="419"/>
      <c r="X99" s="329">
        <f t="shared" si="60"/>
        <v>378645</v>
      </c>
      <c r="Y99" s="329">
        <f t="shared" ref="Y99:AM99" si="61">SUM(Y69,Y78,Y87,Y96,Y23)</f>
        <v>385253.34</v>
      </c>
      <c r="Z99" s="329">
        <f t="shared" si="61"/>
        <v>379582.65399999998</v>
      </c>
      <c r="AA99" s="329">
        <f t="shared" si="61"/>
        <v>363736.54200000002</v>
      </c>
      <c r="AB99" s="311">
        <f t="shared" si="61"/>
        <v>343989.10200000007</v>
      </c>
      <c r="AC99" s="311">
        <f t="shared" si="61"/>
        <v>357132.49899999995</v>
      </c>
      <c r="AD99" s="311">
        <f t="shared" si="61"/>
        <v>311894.054</v>
      </c>
      <c r="AE99" s="311">
        <f t="shared" si="61"/>
        <v>329506.337</v>
      </c>
      <c r="AF99" s="219">
        <f t="shared" si="61"/>
        <v>298490.78700000007</v>
      </c>
      <c r="AG99" s="219">
        <f t="shared" si="61"/>
        <v>288546.75</v>
      </c>
      <c r="AH99" s="219">
        <f t="shared" si="61"/>
        <v>266647.321</v>
      </c>
      <c r="AI99" s="219">
        <f t="shared" si="61"/>
        <v>278909.44099999999</v>
      </c>
      <c r="AJ99" s="219">
        <f t="shared" si="61"/>
        <v>285547.54400000005</v>
      </c>
      <c r="AK99" s="219">
        <f t="shared" si="61"/>
        <v>290537.53999999998</v>
      </c>
      <c r="AL99" s="219">
        <f t="shared" si="61"/>
        <v>273108.005</v>
      </c>
      <c r="AM99" s="219">
        <f t="shared" si="61"/>
        <v>268092.24839379062</v>
      </c>
    </row>
    <row r="100" spans="1:39" s="22" customFormat="1" ht="15" customHeight="1" x14ac:dyDescent="0.25">
      <c r="A100" s="74">
        <v>100</v>
      </c>
      <c r="B100" s="22" t="s">
        <v>79</v>
      </c>
      <c r="C100" s="93"/>
      <c r="D100" s="88"/>
      <c r="E100" s="94"/>
      <c r="F100" s="252">
        <f t="shared" ref="F100:H100" si="62">SUM(F70,F79,F88,F97)</f>
        <v>-30023</v>
      </c>
      <c r="G100" s="252">
        <f t="shared" si="62"/>
        <v>-22948</v>
      </c>
      <c r="H100" s="252">
        <f t="shared" si="62"/>
        <v>-23628</v>
      </c>
      <c r="I100" s="252">
        <f t="shared" ref="I100" si="63">SUM(I70,I79,I88,I97)</f>
        <v>-29735</v>
      </c>
      <c r="J100" s="252">
        <f t="shared" ref="J100:P100" si="64">SUM(J70,J79,J88,J97)</f>
        <v>-30739</v>
      </c>
      <c r="K100" s="252">
        <f t="shared" si="64"/>
        <v>-25892</v>
      </c>
      <c r="L100" s="252">
        <f t="shared" si="64"/>
        <v>-28153</v>
      </c>
      <c r="M100" s="252">
        <f t="shared" si="64"/>
        <v>-25803</v>
      </c>
      <c r="N100" s="252">
        <f t="shared" si="64"/>
        <v>-24336</v>
      </c>
      <c r="O100" s="252">
        <f t="shared" si="64"/>
        <v>-24914</v>
      </c>
      <c r="P100" s="252">
        <f t="shared" si="64"/>
        <v>-29484</v>
      </c>
      <c r="Q100" s="252">
        <f t="shared" ref="Q100:T100" si="65">SUM(Q70,Q79,Q88,Q97)</f>
        <v>-31533</v>
      </c>
      <c r="R100" s="252">
        <f t="shared" si="65"/>
        <v>-31875</v>
      </c>
      <c r="S100" s="252">
        <f t="shared" si="65"/>
        <v>-30845</v>
      </c>
      <c r="T100" s="252">
        <f t="shared" si="65"/>
        <v>-36799</v>
      </c>
      <c r="U100" s="418"/>
      <c r="V100" s="418"/>
      <c r="W100" s="418"/>
      <c r="X100" s="252">
        <f t="shared" ref="X100:AM100" si="66">SUM(X70,X79,X88,X97)</f>
        <v>-35883</v>
      </c>
      <c r="Y100" s="252">
        <f t="shared" si="66"/>
        <v>-37795.927000000003</v>
      </c>
      <c r="Z100" s="252">
        <f t="shared" si="66"/>
        <v>-37163.256999999998</v>
      </c>
      <c r="AA100" s="252">
        <f t="shared" si="66"/>
        <v>-36615.673999999992</v>
      </c>
      <c r="AB100" s="263">
        <f t="shared" si="66"/>
        <v>-34342.019999999997</v>
      </c>
      <c r="AC100" s="263">
        <f t="shared" si="66"/>
        <v>-36059.674999999996</v>
      </c>
      <c r="AD100" s="263">
        <f t="shared" si="66"/>
        <v>-33813.148000000001</v>
      </c>
      <c r="AE100" s="263">
        <f t="shared" si="66"/>
        <v>-33533.800999999999</v>
      </c>
      <c r="AF100" s="171">
        <f t="shared" si="66"/>
        <v>-29382.331000000002</v>
      </c>
      <c r="AG100" s="171">
        <f t="shared" si="66"/>
        <v>-32177.252</v>
      </c>
      <c r="AH100" s="171">
        <f t="shared" si="66"/>
        <v>-32388.332000000002</v>
      </c>
      <c r="AI100" s="171">
        <f t="shared" si="66"/>
        <v>-32854.618000000002</v>
      </c>
      <c r="AJ100" s="171">
        <f t="shared" si="66"/>
        <v>-32786.106999999996</v>
      </c>
      <c r="AK100" s="171">
        <f t="shared" si="66"/>
        <v>-34186.815999999999</v>
      </c>
      <c r="AL100" s="171">
        <f t="shared" si="66"/>
        <v>-33290.512000000002</v>
      </c>
      <c r="AM100" s="85">
        <f t="shared" si="66"/>
        <v>-32585.350000000002</v>
      </c>
    </row>
    <row r="101" spans="1:39" s="19" customFormat="1" ht="17.25" customHeight="1" x14ac:dyDescent="0.25">
      <c r="A101" s="74">
        <v>101</v>
      </c>
      <c r="B101" s="19" t="s">
        <v>180</v>
      </c>
      <c r="C101" s="95"/>
      <c r="D101" s="125"/>
      <c r="E101" s="96"/>
      <c r="F101" s="329">
        <f t="shared" ref="F101:H101" si="67">F99+F100</f>
        <v>775869</v>
      </c>
      <c r="G101" s="329">
        <f t="shared" si="67"/>
        <v>748325</v>
      </c>
      <c r="H101" s="329">
        <f t="shared" si="67"/>
        <v>736424</v>
      </c>
      <c r="I101" s="329">
        <f t="shared" ref="I101:N101" si="68">I99+I100</f>
        <v>737324</v>
      </c>
      <c r="J101" s="329">
        <f t="shared" si="68"/>
        <v>651285</v>
      </c>
      <c r="K101" s="329">
        <f t="shared" si="68"/>
        <v>563140</v>
      </c>
      <c r="L101" s="329">
        <f t="shared" si="68"/>
        <v>559717</v>
      </c>
      <c r="M101" s="329">
        <f t="shared" si="68"/>
        <v>554308</v>
      </c>
      <c r="N101" s="329">
        <f t="shared" si="68"/>
        <v>532634</v>
      </c>
      <c r="O101" s="329">
        <f t="shared" ref="O101:T101" si="69">O99+O100</f>
        <v>523409</v>
      </c>
      <c r="P101" s="329">
        <f t="shared" si="69"/>
        <v>497957</v>
      </c>
      <c r="Q101" s="329">
        <f t="shared" si="69"/>
        <v>470751</v>
      </c>
      <c r="R101" s="329">
        <f t="shared" si="69"/>
        <v>392319</v>
      </c>
      <c r="S101" s="329">
        <f t="shared" si="69"/>
        <v>420194</v>
      </c>
      <c r="T101" s="329">
        <f t="shared" si="69"/>
        <v>378373</v>
      </c>
      <c r="U101" s="419"/>
      <c r="V101" s="419"/>
      <c r="W101" s="419"/>
      <c r="X101" s="329">
        <f t="shared" ref="X101:AG101" si="70">X99+X100</f>
        <v>342762</v>
      </c>
      <c r="Y101" s="329">
        <f t="shared" si="70"/>
        <v>347457.413</v>
      </c>
      <c r="Z101" s="329">
        <f t="shared" si="70"/>
        <v>342419.397</v>
      </c>
      <c r="AA101" s="329">
        <f t="shared" si="70"/>
        <v>327120.86800000002</v>
      </c>
      <c r="AB101" s="311">
        <f t="shared" si="70"/>
        <v>309647.08200000005</v>
      </c>
      <c r="AC101" s="311">
        <f t="shared" si="70"/>
        <v>321072.82399999996</v>
      </c>
      <c r="AD101" s="311">
        <f t="shared" si="70"/>
        <v>278080.90600000002</v>
      </c>
      <c r="AE101" s="311">
        <f t="shared" si="70"/>
        <v>295972.53600000002</v>
      </c>
      <c r="AF101" s="219">
        <f t="shared" si="70"/>
        <v>269108.45600000006</v>
      </c>
      <c r="AG101" s="219">
        <f t="shared" si="70"/>
        <v>256369.49799999999</v>
      </c>
      <c r="AH101" s="219">
        <f t="shared" ref="AH101:AM101" si="71">AH99+AH100</f>
        <v>234258.989</v>
      </c>
      <c r="AI101" s="219">
        <f t="shared" si="71"/>
        <v>246054.82299999997</v>
      </c>
      <c r="AJ101" s="219">
        <f t="shared" si="71"/>
        <v>252761.43700000006</v>
      </c>
      <c r="AK101" s="219">
        <f t="shared" si="71"/>
        <v>256350.72399999999</v>
      </c>
      <c r="AL101" s="219">
        <f t="shared" si="71"/>
        <v>239817.49300000002</v>
      </c>
      <c r="AM101" s="212">
        <f t="shared" si="71"/>
        <v>235506.89839379062</v>
      </c>
    </row>
    <row r="102" spans="1:39" x14ac:dyDescent="0.25">
      <c r="A102" s="74">
        <v>102</v>
      </c>
      <c r="G102" s="301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9"/>
      <c r="AG102" s="39"/>
      <c r="AH102" s="39"/>
      <c r="AI102" s="39"/>
      <c r="AJ102" s="39"/>
      <c r="AM102" s="39"/>
    </row>
    <row r="103" spans="1:39" x14ac:dyDescent="0.25">
      <c r="A103" s="74">
        <v>103</v>
      </c>
      <c r="F103" s="373"/>
      <c r="G103" s="301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9"/>
      <c r="AG103" s="39"/>
      <c r="AH103" s="39"/>
      <c r="AI103" s="39"/>
      <c r="AJ103" s="39"/>
      <c r="AM103" s="39"/>
    </row>
    <row r="104" spans="1:39" x14ac:dyDescent="0.25">
      <c r="A104" s="74">
        <v>104</v>
      </c>
      <c r="G104" s="301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9"/>
      <c r="AG104" s="39"/>
      <c r="AH104" s="39"/>
      <c r="AI104" s="39"/>
      <c r="AJ104" s="39"/>
      <c r="AM104" s="39"/>
    </row>
    <row r="105" spans="1:39" ht="15.75" customHeight="1" x14ac:dyDescent="0.25">
      <c r="A105" s="74">
        <v>105</v>
      </c>
      <c r="B105" s="453" t="s">
        <v>334</v>
      </c>
      <c r="C105" s="470" t="s">
        <v>201</v>
      </c>
      <c r="D105" s="472" t="s">
        <v>202</v>
      </c>
      <c r="E105" s="468" t="s">
        <v>297</v>
      </c>
      <c r="F105" s="479">
        <v>46203</v>
      </c>
      <c r="G105" s="479">
        <v>46112</v>
      </c>
      <c r="H105" s="446">
        <v>46022</v>
      </c>
      <c r="I105" s="446">
        <v>45930</v>
      </c>
      <c r="J105" s="446">
        <v>45838</v>
      </c>
      <c r="K105" s="446">
        <v>45747</v>
      </c>
      <c r="L105" s="446">
        <v>45657</v>
      </c>
      <c r="M105" s="446">
        <v>45565</v>
      </c>
      <c r="N105" s="446">
        <v>45473</v>
      </c>
      <c r="O105" s="446">
        <v>45382</v>
      </c>
      <c r="P105" s="446">
        <v>45291</v>
      </c>
      <c r="Q105" s="446">
        <v>45199</v>
      </c>
      <c r="R105" s="446">
        <v>45107</v>
      </c>
      <c r="S105" s="446">
        <v>45016</v>
      </c>
      <c r="T105" s="446">
        <v>44926</v>
      </c>
      <c r="U105" s="446">
        <v>44834</v>
      </c>
      <c r="V105" s="446">
        <v>44742</v>
      </c>
      <c r="W105" s="446">
        <v>44651</v>
      </c>
      <c r="X105" s="446">
        <v>44561</v>
      </c>
      <c r="Y105" s="446">
        <v>44469</v>
      </c>
      <c r="Z105" s="483">
        <v>44377</v>
      </c>
      <c r="AA105" s="483">
        <v>44286</v>
      </c>
      <c r="AB105" s="483">
        <v>44196</v>
      </c>
      <c r="AC105" s="479">
        <v>44104</v>
      </c>
      <c r="AD105" s="481">
        <v>44012</v>
      </c>
      <c r="AE105" s="481">
        <v>43921</v>
      </c>
      <c r="AF105" s="485">
        <v>43830</v>
      </c>
      <c r="AG105" s="485">
        <v>43738</v>
      </c>
      <c r="AH105" s="485">
        <v>43646</v>
      </c>
      <c r="AI105" s="485">
        <v>43555</v>
      </c>
      <c r="AJ105" s="485">
        <v>43465</v>
      </c>
      <c r="AK105" s="485">
        <v>43373</v>
      </c>
      <c r="AL105" s="488">
        <v>43281</v>
      </c>
      <c r="AM105" s="459">
        <v>43190</v>
      </c>
    </row>
    <row r="106" spans="1:39" x14ac:dyDescent="0.25">
      <c r="A106" s="74">
        <v>106</v>
      </c>
      <c r="B106" s="454"/>
      <c r="C106" s="471"/>
      <c r="D106" s="487"/>
      <c r="E106" s="478"/>
      <c r="F106" s="493"/>
      <c r="G106" s="493"/>
      <c r="H106" s="447"/>
      <c r="I106" s="447"/>
      <c r="J106" s="447"/>
      <c r="K106" s="447"/>
      <c r="L106" s="447"/>
      <c r="M106" s="447"/>
      <c r="N106" s="447"/>
      <c r="O106" s="447"/>
      <c r="P106" s="447"/>
      <c r="Q106" s="447"/>
      <c r="R106" s="447"/>
      <c r="S106" s="447"/>
      <c r="T106" s="447"/>
      <c r="U106" s="447"/>
      <c r="V106" s="447"/>
      <c r="W106" s="447"/>
      <c r="X106" s="447"/>
      <c r="Y106" s="447"/>
      <c r="Z106" s="484"/>
      <c r="AA106" s="484"/>
      <c r="AB106" s="484"/>
      <c r="AC106" s="480"/>
      <c r="AD106" s="482"/>
      <c r="AE106" s="482"/>
      <c r="AF106" s="486"/>
      <c r="AG106" s="486"/>
      <c r="AH106" s="486"/>
      <c r="AI106" s="486"/>
      <c r="AJ106" s="486"/>
      <c r="AK106" s="486"/>
      <c r="AL106" s="489"/>
      <c r="AM106" s="460"/>
    </row>
    <row r="107" spans="1:39" ht="9.75" customHeight="1" x14ac:dyDescent="0.25">
      <c r="A107" s="74">
        <v>107</v>
      </c>
      <c r="B107" s="8" t="s">
        <v>8</v>
      </c>
      <c r="C107" s="89"/>
      <c r="D107" s="57"/>
      <c r="E107" s="90"/>
      <c r="F107" s="303"/>
      <c r="G107" s="303"/>
      <c r="H107" s="57"/>
      <c r="I107" s="57"/>
      <c r="J107" s="57"/>
      <c r="K107" s="57"/>
      <c r="L107" s="57"/>
      <c r="M107" s="57"/>
      <c r="N107" s="57"/>
      <c r="O107" s="57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57"/>
      <c r="AG107" s="57"/>
      <c r="AH107" s="57"/>
      <c r="AI107" s="57"/>
      <c r="AJ107" s="57"/>
      <c r="AK107" s="57"/>
      <c r="AL107" s="57"/>
      <c r="AM107" s="57"/>
    </row>
    <row r="108" spans="1:39" ht="27" customHeight="1" x14ac:dyDescent="0.25">
      <c r="A108" s="74">
        <v>108</v>
      </c>
      <c r="B108" s="230" t="s">
        <v>320</v>
      </c>
      <c r="C108" s="233"/>
      <c r="D108" s="235"/>
      <c r="E108" s="234"/>
      <c r="F108" s="312"/>
      <c r="G108" s="312"/>
      <c r="H108" s="235"/>
      <c r="I108" s="235"/>
      <c r="J108" s="235"/>
      <c r="K108" s="235"/>
      <c r="L108" s="235"/>
      <c r="M108" s="235"/>
      <c r="N108" s="235"/>
      <c r="O108" s="235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235"/>
      <c r="AG108" s="235"/>
      <c r="AH108" s="235"/>
      <c r="AI108" s="235"/>
      <c r="AJ108" s="235"/>
      <c r="AK108" s="235"/>
      <c r="AL108" s="235"/>
      <c r="AM108" s="235"/>
    </row>
    <row r="109" spans="1:39" ht="15" customHeight="1" x14ac:dyDescent="0.25">
      <c r="A109" s="74">
        <v>109</v>
      </c>
      <c r="B109" s="236" t="s">
        <v>331</v>
      </c>
      <c r="C109" s="231"/>
      <c r="D109" s="223"/>
      <c r="E109" s="232"/>
      <c r="F109" s="310"/>
      <c r="G109" s="310"/>
      <c r="H109" s="223"/>
      <c r="I109" s="223"/>
      <c r="J109" s="223"/>
      <c r="K109" s="223"/>
      <c r="L109" s="223"/>
      <c r="M109" s="223"/>
      <c r="N109" s="223"/>
      <c r="O109" s="223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223"/>
      <c r="AG109" s="223"/>
      <c r="AH109" s="223"/>
      <c r="AI109" s="223"/>
      <c r="AJ109" s="223"/>
      <c r="AK109" s="223"/>
      <c r="AL109" s="223"/>
      <c r="AM109" s="223"/>
    </row>
    <row r="110" spans="1:39" ht="15" customHeight="1" x14ac:dyDescent="0.25">
      <c r="A110" s="74">
        <v>110</v>
      </c>
      <c r="B110" s="224" t="s">
        <v>313</v>
      </c>
      <c r="C110" s="152"/>
      <c r="D110" s="170"/>
      <c r="E110" s="153"/>
      <c r="F110" s="252">
        <v>168936</v>
      </c>
      <c r="G110" s="252">
        <v>163629</v>
      </c>
      <c r="H110" s="252">
        <v>159874</v>
      </c>
      <c r="I110" s="252">
        <v>143662</v>
      </c>
      <c r="J110" s="252">
        <v>134015</v>
      </c>
      <c r="K110" s="252">
        <v>129853</v>
      </c>
      <c r="L110" s="252">
        <v>121053</v>
      </c>
      <c r="M110" s="252">
        <v>114766</v>
      </c>
      <c r="N110" s="252">
        <v>114890</v>
      </c>
      <c r="O110" s="252">
        <v>113037</v>
      </c>
      <c r="P110" s="252">
        <v>112900</v>
      </c>
      <c r="Q110" s="252">
        <v>110248</v>
      </c>
      <c r="R110" s="252">
        <v>104445</v>
      </c>
      <c r="S110" s="252">
        <v>99780</v>
      </c>
      <c r="T110" s="252">
        <v>94572</v>
      </c>
      <c r="U110" s="418"/>
      <c r="V110" s="418"/>
      <c r="W110" s="418"/>
      <c r="X110" s="252">
        <v>86659</v>
      </c>
      <c r="Y110" s="252">
        <v>81538.138000000006</v>
      </c>
      <c r="Z110" s="252">
        <v>80153.603000000003</v>
      </c>
      <c r="AA110" s="252">
        <v>75963.293999999994</v>
      </c>
      <c r="AB110" s="263">
        <v>73280.387000000002</v>
      </c>
      <c r="AC110" s="263">
        <v>68060.218999999997</v>
      </c>
      <c r="AD110" s="263">
        <v>63195.050999999999</v>
      </c>
      <c r="AE110" s="263">
        <v>64213.338000000003</v>
      </c>
      <c r="AF110" s="171">
        <v>63544.891000000003</v>
      </c>
      <c r="AG110" s="237">
        <v>63234.544000000002</v>
      </c>
      <c r="AH110" s="237">
        <v>62957.834999999999</v>
      </c>
      <c r="AI110" s="171">
        <v>59911.603000000003</v>
      </c>
      <c r="AJ110" s="171">
        <v>57934.148000000001</v>
      </c>
      <c r="AK110" s="171">
        <v>55598.487000000001</v>
      </c>
      <c r="AL110" s="171">
        <v>54277.692000000003</v>
      </c>
      <c r="AM110" s="171">
        <v>53328.671000000002</v>
      </c>
    </row>
    <row r="111" spans="1:39" ht="15" customHeight="1" x14ac:dyDescent="0.25">
      <c r="A111" s="74">
        <v>111</v>
      </c>
      <c r="B111" s="224" t="s">
        <v>350</v>
      </c>
      <c r="C111" s="152"/>
      <c r="D111" s="170"/>
      <c r="E111" s="153"/>
      <c r="F111" s="252">
        <v>1304</v>
      </c>
      <c r="G111" s="252">
        <v>1075</v>
      </c>
      <c r="H111" s="252">
        <v>578</v>
      </c>
      <c r="I111" s="252">
        <v>1379</v>
      </c>
      <c r="J111" s="252">
        <v>1327</v>
      </c>
      <c r="K111" s="252">
        <v>954</v>
      </c>
      <c r="L111" s="252">
        <v>371</v>
      </c>
      <c r="M111" s="252">
        <v>1233</v>
      </c>
      <c r="N111" s="252">
        <v>628</v>
      </c>
      <c r="O111" s="252">
        <v>560</v>
      </c>
      <c r="P111" s="252">
        <v>573</v>
      </c>
      <c r="Q111" s="252">
        <v>515</v>
      </c>
      <c r="R111" s="252">
        <v>904</v>
      </c>
      <c r="S111" s="252">
        <v>750</v>
      </c>
      <c r="T111" s="252">
        <v>588</v>
      </c>
      <c r="U111" s="418"/>
      <c r="V111" s="418"/>
      <c r="W111" s="418"/>
      <c r="X111" s="252">
        <v>752</v>
      </c>
      <c r="Y111" s="252">
        <v>927.08900000000006</v>
      </c>
      <c r="Z111" s="252">
        <v>1256.9880000000001</v>
      </c>
      <c r="AA111" s="252">
        <v>803.75800000000004</v>
      </c>
      <c r="AB111" s="263">
        <v>573.96500000000003</v>
      </c>
      <c r="AC111" s="263">
        <v>1189.095</v>
      </c>
      <c r="AD111" s="263">
        <v>1289.277</v>
      </c>
      <c r="AE111" s="263">
        <v>664.68</v>
      </c>
      <c r="AF111" s="171">
        <v>839.37199999999996</v>
      </c>
      <c r="AG111" s="237">
        <v>1385.76</v>
      </c>
      <c r="AH111" s="237">
        <v>1069.222</v>
      </c>
      <c r="AI111" s="171">
        <v>904.327</v>
      </c>
      <c r="AJ111" s="171">
        <v>584.18499999999995</v>
      </c>
      <c r="AK111" s="171">
        <v>959.50300000000004</v>
      </c>
      <c r="AL111" s="263">
        <v>848.10699999999997</v>
      </c>
      <c r="AM111" s="171">
        <v>831.649</v>
      </c>
    </row>
    <row r="112" spans="1:39" ht="15" customHeight="1" x14ac:dyDescent="0.25">
      <c r="A112" s="74">
        <v>112</v>
      </c>
      <c r="B112" s="238" t="s">
        <v>316</v>
      </c>
      <c r="C112" s="152"/>
      <c r="D112" s="170"/>
      <c r="E112" s="153"/>
      <c r="F112" s="329">
        <f t="shared" ref="F112:G112" si="72">F110+F111</f>
        <v>170240</v>
      </c>
      <c r="G112" s="329">
        <f t="shared" si="72"/>
        <v>164704</v>
      </c>
      <c r="H112" s="329">
        <f t="shared" ref="H112" si="73">H110+H111</f>
        <v>160452</v>
      </c>
      <c r="I112" s="329">
        <f t="shared" ref="I112" si="74">I110+I111</f>
        <v>145041</v>
      </c>
      <c r="J112" s="329">
        <f t="shared" ref="J112:K112" si="75">J110+J111</f>
        <v>135342</v>
      </c>
      <c r="K112" s="329">
        <f t="shared" si="75"/>
        <v>130807</v>
      </c>
      <c r="L112" s="329">
        <f t="shared" ref="L112:AG112" si="76">L110+L111</f>
        <v>121424</v>
      </c>
      <c r="M112" s="329">
        <f t="shared" si="76"/>
        <v>115999</v>
      </c>
      <c r="N112" s="329">
        <f t="shared" si="76"/>
        <v>115518</v>
      </c>
      <c r="O112" s="329">
        <f t="shared" si="76"/>
        <v>113597</v>
      </c>
      <c r="P112" s="329">
        <f t="shared" si="76"/>
        <v>113473</v>
      </c>
      <c r="Q112" s="329">
        <f t="shared" si="76"/>
        <v>110763</v>
      </c>
      <c r="R112" s="329">
        <f t="shared" si="76"/>
        <v>105349</v>
      </c>
      <c r="S112" s="329">
        <f t="shared" si="76"/>
        <v>100530</v>
      </c>
      <c r="T112" s="329">
        <f t="shared" si="76"/>
        <v>95160</v>
      </c>
      <c r="U112" s="419"/>
      <c r="V112" s="419"/>
      <c r="W112" s="419"/>
      <c r="X112" s="329">
        <f t="shared" si="76"/>
        <v>87411</v>
      </c>
      <c r="Y112" s="329">
        <f t="shared" si="76"/>
        <v>82465.227000000014</v>
      </c>
      <c r="Z112" s="329">
        <f t="shared" si="76"/>
        <v>81410.591</v>
      </c>
      <c r="AA112" s="329">
        <f t="shared" si="76"/>
        <v>76767.051999999996</v>
      </c>
      <c r="AB112" s="311">
        <f t="shared" si="76"/>
        <v>73854.351999999999</v>
      </c>
      <c r="AC112" s="311">
        <f t="shared" si="76"/>
        <v>69249.313999999998</v>
      </c>
      <c r="AD112" s="311">
        <f t="shared" si="76"/>
        <v>64484.328000000001</v>
      </c>
      <c r="AE112" s="311">
        <f t="shared" si="76"/>
        <v>64878.018000000004</v>
      </c>
      <c r="AF112" s="219">
        <f t="shared" si="76"/>
        <v>64384.263000000006</v>
      </c>
      <c r="AG112" s="219">
        <f t="shared" si="76"/>
        <v>64620.304000000004</v>
      </c>
      <c r="AH112" s="219">
        <f t="shared" ref="AH112:AM112" si="77">AH110+AH111</f>
        <v>64027.057000000001</v>
      </c>
      <c r="AI112" s="219">
        <f t="shared" si="77"/>
        <v>60815.93</v>
      </c>
      <c r="AJ112" s="219">
        <f t="shared" si="77"/>
        <v>58518.332999999999</v>
      </c>
      <c r="AK112" s="219">
        <f t="shared" si="77"/>
        <v>56557.99</v>
      </c>
      <c r="AL112" s="219">
        <f t="shared" si="77"/>
        <v>55125.798999999999</v>
      </c>
      <c r="AM112" s="219">
        <f t="shared" si="77"/>
        <v>54160.32</v>
      </c>
    </row>
    <row r="113" spans="1:47" ht="15" customHeight="1" x14ac:dyDescent="0.25">
      <c r="A113" s="74">
        <v>113</v>
      </c>
      <c r="B113" s="239" t="s">
        <v>79</v>
      </c>
      <c r="C113" s="152"/>
      <c r="D113" s="170"/>
      <c r="E113" s="153"/>
      <c r="F113" s="252">
        <v>-232</v>
      </c>
      <c r="G113" s="252">
        <v>-225</v>
      </c>
      <c r="H113" s="252">
        <v>-219</v>
      </c>
      <c r="I113" s="252">
        <v>-198</v>
      </c>
      <c r="J113" s="252">
        <v>-184</v>
      </c>
      <c r="K113" s="252">
        <v>-178</v>
      </c>
      <c r="L113" s="252">
        <v>-165</v>
      </c>
      <c r="M113" s="252">
        <v>-142</v>
      </c>
      <c r="N113" s="252">
        <v>-142</v>
      </c>
      <c r="O113" s="252">
        <v>-155</v>
      </c>
      <c r="P113" s="252">
        <v>-156</v>
      </c>
      <c r="Q113" s="252">
        <v>-168</v>
      </c>
      <c r="R113" s="252">
        <v>-161</v>
      </c>
      <c r="S113" s="252">
        <v>-164</v>
      </c>
      <c r="T113" s="252">
        <v>-154</v>
      </c>
      <c r="U113" s="418"/>
      <c r="V113" s="418"/>
      <c r="W113" s="418"/>
      <c r="X113" s="252">
        <v>-142</v>
      </c>
      <c r="Y113" s="252">
        <v>-225.67</v>
      </c>
      <c r="Z113" s="252">
        <v>-482.54599999999999</v>
      </c>
      <c r="AA113" s="252">
        <v>-456.79899999999998</v>
      </c>
      <c r="AB113" s="263">
        <v>-449.68599999999998</v>
      </c>
      <c r="AC113" s="263">
        <v>-322.07299999999998</v>
      </c>
      <c r="AD113" s="263">
        <v>-319.59399999999999</v>
      </c>
      <c r="AE113" s="263">
        <v>-164.41</v>
      </c>
      <c r="AF113" s="171">
        <v>-136.529</v>
      </c>
      <c r="AG113" s="237">
        <v>-126.113</v>
      </c>
      <c r="AH113" s="237">
        <v>-124.83799999999999</v>
      </c>
      <c r="AI113" s="171">
        <v>-118.5</v>
      </c>
      <c r="AJ113" s="171">
        <v>-78.043000000000006</v>
      </c>
      <c r="AK113" s="171">
        <v>-114.845</v>
      </c>
      <c r="AL113" s="171">
        <v>-112.51300000000001</v>
      </c>
      <c r="AM113" s="171">
        <v>-110.244</v>
      </c>
    </row>
    <row r="114" spans="1:47" ht="15" customHeight="1" x14ac:dyDescent="0.25">
      <c r="A114" s="74">
        <v>114</v>
      </c>
      <c r="B114" s="238" t="s">
        <v>317</v>
      </c>
      <c r="C114" s="152"/>
      <c r="D114" s="170"/>
      <c r="E114" s="153"/>
      <c r="F114" s="329">
        <f t="shared" ref="F114:G114" si="78">F112+F113</f>
        <v>170008</v>
      </c>
      <c r="G114" s="329">
        <f t="shared" si="78"/>
        <v>164479</v>
      </c>
      <c r="H114" s="329">
        <f t="shared" ref="H114" si="79">H112+H113</f>
        <v>160233</v>
      </c>
      <c r="I114" s="329">
        <f t="shared" ref="I114" si="80">I112+I113</f>
        <v>144843</v>
      </c>
      <c r="J114" s="329">
        <f t="shared" ref="J114:K114" si="81">J112+J113</f>
        <v>135158</v>
      </c>
      <c r="K114" s="329">
        <f t="shared" si="81"/>
        <v>130629</v>
      </c>
      <c r="L114" s="329">
        <f t="shared" ref="L114:AG114" si="82">L112+L113</f>
        <v>121259</v>
      </c>
      <c r="M114" s="329">
        <f t="shared" si="82"/>
        <v>115857</v>
      </c>
      <c r="N114" s="329">
        <f t="shared" si="82"/>
        <v>115376</v>
      </c>
      <c r="O114" s="329">
        <f t="shared" si="82"/>
        <v>113442</v>
      </c>
      <c r="P114" s="329">
        <f t="shared" si="82"/>
        <v>113317</v>
      </c>
      <c r="Q114" s="329">
        <f t="shared" si="82"/>
        <v>110595</v>
      </c>
      <c r="R114" s="329">
        <f t="shared" si="82"/>
        <v>105188</v>
      </c>
      <c r="S114" s="329">
        <f t="shared" si="82"/>
        <v>100366</v>
      </c>
      <c r="T114" s="329">
        <f t="shared" si="82"/>
        <v>95006</v>
      </c>
      <c r="U114" s="419"/>
      <c r="V114" s="419"/>
      <c r="W114" s="419"/>
      <c r="X114" s="329">
        <f t="shared" si="82"/>
        <v>87269</v>
      </c>
      <c r="Y114" s="329">
        <f t="shared" si="82"/>
        <v>82239.557000000015</v>
      </c>
      <c r="Z114" s="329">
        <f t="shared" si="82"/>
        <v>80928.044999999998</v>
      </c>
      <c r="AA114" s="329">
        <f t="shared" si="82"/>
        <v>76310.252999999997</v>
      </c>
      <c r="AB114" s="311">
        <f t="shared" si="82"/>
        <v>73404.665999999997</v>
      </c>
      <c r="AC114" s="311">
        <f t="shared" si="82"/>
        <v>68927.240999999995</v>
      </c>
      <c r="AD114" s="311">
        <f t="shared" si="82"/>
        <v>64164.734000000004</v>
      </c>
      <c r="AE114" s="311">
        <f t="shared" si="82"/>
        <v>64713.608</v>
      </c>
      <c r="AF114" s="219">
        <f t="shared" si="82"/>
        <v>64247.734000000004</v>
      </c>
      <c r="AG114" s="219">
        <f t="shared" si="82"/>
        <v>64494.191000000006</v>
      </c>
      <c r="AH114" s="219">
        <f t="shared" ref="AH114:AM114" si="83">AH112+AH113</f>
        <v>63902.218999999997</v>
      </c>
      <c r="AI114" s="219">
        <f t="shared" si="83"/>
        <v>60697.43</v>
      </c>
      <c r="AJ114" s="219">
        <f t="shared" si="83"/>
        <v>58440.29</v>
      </c>
      <c r="AK114" s="219">
        <f t="shared" si="83"/>
        <v>56443.144999999997</v>
      </c>
      <c r="AL114" s="219">
        <f t="shared" si="83"/>
        <v>55013.286</v>
      </c>
      <c r="AM114" s="219">
        <f t="shared" si="83"/>
        <v>54050.076000000001</v>
      </c>
    </row>
    <row r="115" spans="1:47" s="39" customFormat="1" ht="15" customHeight="1" x14ac:dyDescent="0.25">
      <c r="A115" s="74">
        <v>115</v>
      </c>
      <c r="B115" s="240" t="s">
        <v>332</v>
      </c>
      <c r="C115" s="152"/>
      <c r="D115" s="170"/>
      <c r="E115" s="153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420"/>
      <c r="V115" s="420"/>
      <c r="W115" s="420"/>
      <c r="X115" s="345"/>
      <c r="Y115" s="345"/>
      <c r="Z115" s="345"/>
      <c r="AA115" s="345"/>
      <c r="AB115" s="291"/>
      <c r="AC115" s="291"/>
      <c r="AD115" s="291"/>
      <c r="AE115" s="291"/>
      <c r="AF115" s="170"/>
      <c r="AG115" s="170"/>
      <c r="AH115" s="170"/>
      <c r="AI115" s="170"/>
      <c r="AJ115" s="170"/>
      <c r="AK115" s="170"/>
      <c r="AL115" s="170"/>
      <c r="AM115" s="171"/>
    </row>
    <row r="116" spans="1:47" s="39" customFormat="1" ht="15" customHeight="1" x14ac:dyDescent="0.25">
      <c r="A116" s="74">
        <v>116</v>
      </c>
      <c r="B116" s="224" t="s">
        <v>313</v>
      </c>
      <c r="C116" s="152"/>
      <c r="D116" s="170"/>
      <c r="E116" s="153"/>
      <c r="F116" s="252">
        <v>1742</v>
      </c>
      <c r="G116" s="252">
        <v>1631</v>
      </c>
      <c r="H116" s="252">
        <v>1703</v>
      </c>
      <c r="I116" s="252">
        <v>1566</v>
      </c>
      <c r="J116" s="252">
        <v>1422</v>
      </c>
      <c r="K116" s="252">
        <v>1275</v>
      </c>
      <c r="L116" s="252">
        <v>1428</v>
      </c>
      <c r="M116" s="252">
        <v>1143</v>
      </c>
      <c r="N116" s="252">
        <v>1231</v>
      </c>
      <c r="O116" s="252">
        <v>1123</v>
      </c>
      <c r="P116" s="252">
        <v>512</v>
      </c>
      <c r="Q116" s="252">
        <v>1228</v>
      </c>
      <c r="R116" s="252">
        <v>1218</v>
      </c>
      <c r="S116" s="252">
        <v>1217</v>
      </c>
      <c r="T116" s="252">
        <v>1294</v>
      </c>
      <c r="U116" s="418"/>
      <c r="V116" s="418"/>
      <c r="W116" s="418"/>
      <c r="X116" s="252">
        <v>833</v>
      </c>
      <c r="Y116" s="252">
        <v>1721.229</v>
      </c>
      <c r="Z116" s="252">
        <v>1379.5340000000001</v>
      </c>
      <c r="AA116" s="252">
        <v>1380.7529999999999</v>
      </c>
      <c r="AB116" s="263">
        <v>1692.8920000000001</v>
      </c>
      <c r="AC116" s="263">
        <v>1660.4090000000001</v>
      </c>
      <c r="AD116" s="263">
        <v>1489.8889999999999</v>
      </c>
      <c r="AE116" s="263">
        <v>646.66200000000003</v>
      </c>
      <c r="AF116" s="171">
        <v>593.59699999999998</v>
      </c>
      <c r="AG116" s="237">
        <v>191.364</v>
      </c>
      <c r="AH116" s="237"/>
      <c r="AI116" s="171"/>
      <c r="AJ116" s="171"/>
      <c r="AK116" s="263"/>
      <c r="AL116" s="263"/>
      <c r="AM116" s="171"/>
    </row>
    <row r="117" spans="1:47" s="25" customFormat="1" ht="15" customHeight="1" x14ac:dyDescent="0.25">
      <c r="A117" s="74">
        <v>117</v>
      </c>
      <c r="B117" s="224" t="s">
        <v>350</v>
      </c>
      <c r="C117" s="152"/>
      <c r="D117" s="170"/>
      <c r="E117" s="153"/>
      <c r="F117" s="252">
        <f>430+276</f>
        <v>706</v>
      </c>
      <c r="G117" s="252">
        <f>467+332</f>
        <v>799</v>
      </c>
      <c r="H117" s="252">
        <f>361+299</f>
        <v>660</v>
      </c>
      <c r="I117" s="252">
        <f>503+395</f>
        <v>898</v>
      </c>
      <c r="J117" s="252">
        <f>589+344</f>
        <v>933</v>
      </c>
      <c r="K117" s="252">
        <f>513+412</f>
        <v>925</v>
      </c>
      <c r="L117" s="252">
        <f>336+235</f>
        <v>571</v>
      </c>
      <c r="M117" s="252">
        <f>471+386</f>
        <v>857</v>
      </c>
      <c r="N117" s="252">
        <f>369+402</f>
        <v>771</v>
      </c>
      <c r="O117" s="252">
        <v>817</v>
      </c>
      <c r="P117" s="252">
        <f>286+310</f>
        <v>596</v>
      </c>
      <c r="Q117" s="252">
        <f>379+372</f>
        <v>751</v>
      </c>
      <c r="R117" s="252">
        <f>406+352+1</f>
        <v>759</v>
      </c>
      <c r="S117" s="252">
        <f>355+518</f>
        <v>873</v>
      </c>
      <c r="T117" s="252">
        <f>328+423</f>
        <v>751</v>
      </c>
      <c r="U117" s="418"/>
      <c r="V117" s="418"/>
      <c r="W117" s="418"/>
      <c r="X117" s="252">
        <f>112+382</f>
        <v>494</v>
      </c>
      <c r="Y117" s="252">
        <f>381.883+388.671</f>
        <v>770.55399999999997</v>
      </c>
      <c r="Z117" s="252">
        <f>422.651+445.538</f>
        <v>868.18900000000008</v>
      </c>
      <c r="AA117" s="252">
        <f>378.98+522.643</f>
        <v>901.62300000000005</v>
      </c>
      <c r="AB117" s="263">
        <f>318.215+482.743</f>
        <v>800.95799999999997</v>
      </c>
      <c r="AC117" s="263">
        <f>406.985+571.872</f>
        <v>978.85699999999997</v>
      </c>
      <c r="AD117" s="263">
        <f>277.527+907.04</f>
        <v>1184.567</v>
      </c>
      <c r="AE117" s="263">
        <f>224.933+436.147</f>
        <v>661.07999999999993</v>
      </c>
      <c r="AF117" s="171">
        <f>296.322+377.709</f>
        <v>674.03099999999995</v>
      </c>
      <c r="AG117" s="237">
        <f>300.554+400.667</f>
        <v>701.221</v>
      </c>
      <c r="AH117" s="237">
        <f>76.089+447.396</f>
        <v>523.48500000000001</v>
      </c>
      <c r="AI117" s="171">
        <f>66.863+392.573</f>
        <v>459.43599999999998</v>
      </c>
      <c r="AJ117" s="171">
        <v>275.36200000000002</v>
      </c>
      <c r="AK117" s="263">
        <v>379.26499999999999</v>
      </c>
      <c r="AL117" s="263">
        <v>369.29199999999997</v>
      </c>
      <c r="AM117" s="171">
        <v>374.447</v>
      </c>
    </row>
    <row r="118" spans="1:47" s="19" customFormat="1" ht="26.1" customHeight="1" x14ac:dyDescent="0.25">
      <c r="A118" s="74">
        <v>118</v>
      </c>
      <c r="B118" s="241" t="s">
        <v>314</v>
      </c>
      <c r="C118" s="152"/>
      <c r="D118" s="170"/>
      <c r="E118" s="153"/>
      <c r="F118" s="329">
        <f t="shared" ref="F118:G118" si="84">F117+F116</f>
        <v>2448</v>
      </c>
      <c r="G118" s="329">
        <f t="shared" si="84"/>
        <v>2430</v>
      </c>
      <c r="H118" s="329">
        <f t="shared" ref="H118" si="85">H117+H116</f>
        <v>2363</v>
      </c>
      <c r="I118" s="329">
        <f t="shared" ref="I118" si="86">I117+I116</f>
        <v>2464</v>
      </c>
      <c r="J118" s="329">
        <f t="shared" ref="J118:K118" si="87">J117+J116</f>
        <v>2355</v>
      </c>
      <c r="K118" s="329">
        <f t="shared" si="87"/>
        <v>2200</v>
      </c>
      <c r="L118" s="329">
        <f t="shared" ref="L118:X118" si="88">L117+L116</f>
        <v>1999</v>
      </c>
      <c r="M118" s="329">
        <f t="shared" si="88"/>
        <v>2000</v>
      </c>
      <c r="N118" s="329">
        <f t="shared" si="88"/>
        <v>2002</v>
      </c>
      <c r="O118" s="329">
        <f t="shared" si="88"/>
        <v>1940</v>
      </c>
      <c r="P118" s="329">
        <f t="shared" si="88"/>
        <v>1108</v>
      </c>
      <c r="Q118" s="329">
        <f t="shared" si="88"/>
        <v>1979</v>
      </c>
      <c r="R118" s="329">
        <f t="shared" si="88"/>
        <v>1977</v>
      </c>
      <c r="S118" s="329">
        <f t="shared" si="88"/>
        <v>2090</v>
      </c>
      <c r="T118" s="329">
        <f t="shared" si="88"/>
        <v>2045</v>
      </c>
      <c r="U118" s="419"/>
      <c r="V118" s="419"/>
      <c r="W118" s="419"/>
      <c r="X118" s="329">
        <f t="shared" si="88"/>
        <v>1327</v>
      </c>
      <c r="Y118" s="329">
        <f t="shared" ref="Y118:AG118" si="89">Y117+Y116</f>
        <v>2491.7829999999999</v>
      </c>
      <c r="Z118" s="329">
        <f t="shared" si="89"/>
        <v>2247.723</v>
      </c>
      <c r="AA118" s="329">
        <f t="shared" si="89"/>
        <v>2282.3760000000002</v>
      </c>
      <c r="AB118" s="311">
        <f t="shared" si="89"/>
        <v>2493.85</v>
      </c>
      <c r="AC118" s="311">
        <f t="shared" si="89"/>
        <v>2639.2660000000001</v>
      </c>
      <c r="AD118" s="311">
        <f t="shared" si="89"/>
        <v>2674.4560000000001</v>
      </c>
      <c r="AE118" s="311">
        <f t="shared" si="89"/>
        <v>1307.742</v>
      </c>
      <c r="AF118" s="219">
        <f t="shared" si="89"/>
        <v>1267.6279999999999</v>
      </c>
      <c r="AG118" s="219">
        <f t="shared" si="89"/>
        <v>892.58500000000004</v>
      </c>
      <c r="AH118" s="219">
        <f t="shared" ref="AH118:AM118" si="90">AH117</f>
        <v>523.48500000000001</v>
      </c>
      <c r="AI118" s="219">
        <f t="shared" si="90"/>
        <v>459.43599999999998</v>
      </c>
      <c r="AJ118" s="219">
        <f t="shared" si="90"/>
        <v>275.36200000000002</v>
      </c>
      <c r="AK118" s="219">
        <f t="shared" si="90"/>
        <v>379.26499999999999</v>
      </c>
      <c r="AL118" s="219">
        <f t="shared" si="90"/>
        <v>369.29199999999997</v>
      </c>
      <c r="AM118" s="219">
        <f t="shared" si="90"/>
        <v>374.447</v>
      </c>
    </row>
    <row r="119" spans="1:47" x14ac:dyDescent="0.25">
      <c r="A119" s="74">
        <v>119</v>
      </c>
      <c r="B119" s="239" t="s">
        <v>79</v>
      </c>
      <c r="C119" s="152"/>
      <c r="D119" s="170"/>
      <c r="E119" s="153"/>
      <c r="F119" s="252">
        <v>-89</v>
      </c>
      <c r="G119" s="252">
        <v>-97</v>
      </c>
      <c r="H119" s="252">
        <v>-97</v>
      </c>
      <c r="I119" s="252">
        <v>-104</v>
      </c>
      <c r="J119" s="252">
        <v>-100</v>
      </c>
      <c r="K119" s="252">
        <v>-101</v>
      </c>
      <c r="L119" s="252">
        <v>-89</v>
      </c>
      <c r="M119" s="252">
        <v>-88</v>
      </c>
      <c r="N119" s="252">
        <v>-89</v>
      </c>
      <c r="O119" s="252">
        <v>-84</v>
      </c>
      <c r="P119" s="252">
        <v>-49</v>
      </c>
      <c r="Q119" s="252">
        <v>-68</v>
      </c>
      <c r="R119" s="252">
        <v>-78</v>
      </c>
      <c r="S119" s="252">
        <v>-87</v>
      </c>
      <c r="T119" s="252">
        <v>-91</v>
      </c>
      <c r="U119" s="418"/>
      <c r="V119" s="418"/>
      <c r="W119" s="418"/>
      <c r="X119" s="252">
        <v>-63</v>
      </c>
      <c r="Y119" s="252">
        <v>-112.63800000000001</v>
      </c>
      <c r="Z119" s="252">
        <v>-216.517</v>
      </c>
      <c r="AA119" s="252">
        <v>-224.47</v>
      </c>
      <c r="AB119" s="263">
        <v>-230.74100000000001</v>
      </c>
      <c r="AC119" s="263">
        <v>-304.74400000000003</v>
      </c>
      <c r="AD119" s="263">
        <v>-339.36599999999999</v>
      </c>
      <c r="AE119" s="263">
        <v>-239.38800000000001</v>
      </c>
      <c r="AF119" s="171">
        <v>-219.46700000000001</v>
      </c>
      <c r="AG119" s="237">
        <v>-184.43600000000001</v>
      </c>
      <c r="AH119" s="237">
        <v>-107.71299999999999</v>
      </c>
      <c r="AI119" s="171">
        <v>-94.850999999999999</v>
      </c>
      <c r="AJ119" s="171">
        <v>-56.137</v>
      </c>
      <c r="AK119" s="171">
        <v>-78.366</v>
      </c>
      <c r="AL119" s="171">
        <v>-76.298000000000002</v>
      </c>
      <c r="AM119" s="171">
        <v>-79.456999999999994</v>
      </c>
    </row>
    <row r="120" spans="1:47" x14ac:dyDescent="0.25">
      <c r="A120" s="74">
        <v>120</v>
      </c>
      <c r="B120" s="241" t="s">
        <v>315</v>
      </c>
      <c r="C120" s="152"/>
      <c r="D120" s="170"/>
      <c r="E120" s="153"/>
      <c r="F120" s="329">
        <f t="shared" ref="F120" si="91">F118+F119</f>
        <v>2359</v>
      </c>
      <c r="G120" s="329">
        <f t="shared" ref="G120:H120" si="92">G118+G119</f>
        <v>2333</v>
      </c>
      <c r="H120" s="329">
        <f t="shared" si="92"/>
        <v>2266</v>
      </c>
      <c r="I120" s="329">
        <f t="shared" ref="I120" si="93">I118+I119</f>
        <v>2360</v>
      </c>
      <c r="J120" s="329">
        <f t="shared" ref="J120:K120" si="94">J118+J119</f>
        <v>2255</v>
      </c>
      <c r="K120" s="329">
        <f t="shared" si="94"/>
        <v>2099</v>
      </c>
      <c r="L120" s="329">
        <f t="shared" ref="L120:AG120" si="95">L118+L119</f>
        <v>1910</v>
      </c>
      <c r="M120" s="329">
        <f t="shared" si="95"/>
        <v>1912</v>
      </c>
      <c r="N120" s="329">
        <f t="shared" si="95"/>
        <v>1913</v>
      </c>
      <c r="O120" s="329">
        <f t="shared" si="95"/>
        <v>1856</v>
      </c>
      <c r="P120" s="329">
        <f t="shared" si="95"/>
        <v>1059</v>
      </c>
      <c r="Q120" s="329">
        <f t="shared" si="95"/>
        <v>1911</v>
      </c>
      <c r="R120" s="329">
        <f t="shared" si="95"/>
        <v>1899</v>
      </c>
      <c r="S120" s="329">
        <f t="shared" si="95"/>
        <v>2003</v>
      </c>
      <c r="T120" s="329">
        <f t="shared" si="95"/>
        <v>1954</v>
      </c>
      <c r="U120" s="419"/>
      <c r="V120" s="419"/>
      <c r="W120" s="419"/>
      <c r="X120" s="329">
        <f t="shared" si="95"/>
        <v>1264</v>
      </c>
      <c r="Y120" s="329">
        <f t="shared" si="95"/>
        <v>2379.145</v>
      </c>
      <c r="Z120" s="329">
        <f t="shared" si="95"/>
        <v>2031.2059999999999</v>
      </c>
      <c r="AA120" s="329">
        <f t="shared" si="95"/>
        <v>2057.9060000000004</v>
      </c>
      <c r="AB120" s="311">
        <f t="shared" si="95"/>
        <v>2263.1089999999999</v>
      </c>
      <c r="AC120" s="311">
        <f t="shared" si="95"/>
        <v>2334.5219999999999</v>
      </c>
      <c r="AD120" s="311">
        <f t="shared" si="95"/>
        <v>2335.09</v>
      </c>
      <c r="AE120" s="311">
        <f t="shared" si="95"/>
        <v>1068.354</v>
      </c>
      <c r="AF120" s="219">
        <f t="shared" si="95"/>
        <v>1048.1609999999998</v>
      </c>
      <c r="AG120" s="219">
        <f t="shared" si="95"/>
        <v>708.149</v>
      </c>
      <c r="AH120" s="219">
        <f t="shared" ref="AH120:AM120" si="96">AH118+AH119</f>
        <v>415.77200000000005</v>
      </c>
      <c r="AI120" s="219">
        <f t="shared" si="96"/>
        <v>364.58499999999998</v>
      </c>
      <c r="AJ120" s="219">
        <f t="shared" si="96"/>
        <v>219.22500000000002</v>
      </c>
      <c r="AK120" s="219">
        <f t="shared" si="96"/>
        <v>300.899</v>
      </c>
      <c r="AL120" s="219">
        <f t="shared" si="96"/>
        <v>292.99399999999997</v>
      </c>
      <c r="AM120" s="219">
        <f t="shared" si="96"/>
        <v>294.99</v>
      </c>
    </row>
    <row r="121" spans="1:47" x14ac:dyDescent="0.25">
      <c r="A121" s="74">
        <v>121</v>
      </c>
      <c r="B121" s="240" t="s">
        <v>333</v>
      </c>
      <c r="C121" s="152"/>
      <c r="D121" s="170"/>
      <c r="E121" s="153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420"/>
      <c r="V121" s="420"/>
      <c r="W121" s="420"/>
      <c r="X121" s="345"/>
      <c r="Y121" s="345"/>
      <c r="Z121" s="345"/>
      <c r="AA121" s="345"/>
      <c r="AB121" s="291"/>
      <c r="AC121" s="291"/>
      <c r="AD121" s="291"/>
      <c r="AE121" s="291"/>
      <c r="AF121" s="170"/>
      <c r="AG121" s="170"/>
      <c r="AH121" s="170"/>
      <c r="AI121" s="170"/>
      <c r="AJ121" s="170"/>
      <c r="AK121" s="170"/>
      <c r="AL121" s="170"/>
      <c r="AM121" s="171"/>
    </row>
    <row r="122" spans="1:47" x14ac:dyDescent="0.25">
      <c r="A122" s="74">
        <v>122</v>
      </c>
      <c r="B122" s="224" t="s">
        <v>313</v>
      </c>
      <c r="C122" s="152"/>
      <c r="D122" s="170"/>
      <c r="E122" s="153"/>
      <c r="F122" s="252">
        <v>130</v>
      </c>
      <c r="G122" s="252">
        <v>125</v>
      </c>
      <c r="H122" s="252">
        <v>181</v>
      </c>
      <c r="I122" s="252">
        <v>144</v>
      </c>
      <c r="J122" s="252">
        <v>167</v>
      </c>
      <c r="K122" s="252">
        <v>194</v>
      </c>
      <c r="L122" s="252">
        <v>207</v>
      </c>
      <c r="M122" s="252">
        <v>168</v>
      </c>
      <c r="N122" s="252">
        <v>185</v>
      </c>
      <c r="O122" s="252">
        <v>168</v>
      </c>
      <c r="P122" s="252">
        <v>195</v>
      </c>
      <c r="Q122" s="252">
        <v>169</v>
      </c>
      <c r="R122" s="252">
        <v>159</v>
      </c>
      <c r="S122" s="252">
        <v>148</v>
      </c>
      <c r="T122" s="252">
        <v>152</v>
      </c>
      <c r="U122" s="418"/>
      <c r="V122" s="418"/>
      <c r="W122" s="418"/>
      <c r="X122" s="252">
        <v>188</v>
      </c>
      <c r="Y122" s="252">
        <v>210.50200000000001</v>
      </c>
      <c r="Z122" s="252">
        <v>177.50899999999999</v>
      </c>
      <c r="AA122" s="252">
        <v>133.63900000000001</v>
      </c>
      <c r="AB122" s="263">
        <v>121.444</v>
      </c>
      <c r="AC122" s="263">
        <v>125.649</v>
      </c>
      <c r="AD122" s="263">
        <v>119.931</v>
      </c>
      <c r="AE122" s="263">
        <v>137.12</v>
      </c>
      <c r="AF122" s="171">
        <v>128.49100000000001</v>
      </c>
      <c r="AG122" s="237">
        <v>153.78200000000001</v>
      </c>
      <c r="AH122" s="237">
        <v>151.4</v>
      </c>
      <c r="AI122" s="171">
        <v>178.565</v>
      </c>
      <c r="AJ122" s="171">
        <v>166.893</v>
      </c>
      <c r="AK122" s="171">
        <v>150.38499999999999</v>
      </c>
      <c r="AL122" s="171">
        <v>140.52099999999999</v>
      </c>
      <c r="AM122" s="171"/>
    </row>
    <row r="123" spans="1:47" x14ac:dyDescent="0.25">
      <c r="A123" s="74">
        <v>123</v>
      </c>
      <c r="B123" s="224" t="s">
        <v>350</v>
      </c>
      <c r="C123" s="152"/>
      <c r="D123" s="170"/>
      <c r="E123" s="153"/>
      <c r="F123" s="252">
        <f>38+32</f>
        <v>70</v>
      </c>
      <c r="G123" s="252">
        <f>23+77</f>
        <v>100</v>
      </c>
      <c r="H123" s="252">
        <f>39+26</f>
        <v>65</v>
      </c>
      <c r="I123" s="252">
        <f>18+27</f>
        <v>45</v>
      </c>
      <c r="J123" s="252">
        <f>35+76</f>
        <v>111</v>
      </c>
      <c r="K123" s="252">
        <f>38+32</f>
        <v>70</v>
      </c>
      <c r="L123" s="252">
        <f>23+18</f>
        <v>41</v>
      </c>
      <c r="M123" s="252">
        <f>43+31</f>
        <v>74</v>
      </c>
      <c r="N123" s="252">
        <f>33+57</f>
        <v>90</v>
      </c>
      <c r="O123" s="252">
        <v>58</v>
      </c>
      <c r="P123" s="252">
        <f>17+11</f>
        <v>28</v>
      </c>
      <c r="Q123" s="252">
        <f>19+26</f>
        <v>45</v>
      </c>
      <c r="R123" s="252">
        <f>46+51</f>
        <v>97</v>
      </c>
      <c r="S123" s="252">
        <f>32+25</f>
        <v>57</v>
      </c>
      <c r="T123" s="252">
        <f>18+30</f>
        <v>48</v>
      </c>
      <c r="U123" s="418"/>
      <c r="V123" s="418"/>
      <c r="W123" s="418"/>
      <c r="X123" s="252">
        <f>22+17</f>
        <v>39</v>
      </c>
      <c r="Y123" s="252">
        <f>37.22+12.623</f>
        <v>49.842999999999996</v>
      </c>
      <c r="Z123" s="252">
        <f>5.041+5.591</f>
        <v>10.632000000000001</v>
      </c>
      <c r="AA123" s="252">
        <f>26.484+16.264</f>
        <v>42.748000000000005</v>
      </c>
      <c r="AB123" s="263">
        <f>14.098+6.992</f>
        <v>21.09</v>
      </c>
      <c r="AC123" s="263">
        <f>20.895+11.73</f>
        <v>32.625</v>
      </c>
      <c r="AD123" s="263">
        <f>17.784+17.179</f>
        <v>34.962999999999994</v>
      </c>
      <c r="AE123" s="263">
        <f>12.565+10.538</f>
        <v>23.103000000000002</v>
      </c>
      <c r="AF123" s="171">
        <f>20.003+12.436</f>
        <v>32.439</v>
      </c>
      <c r="AG123" s="237">
        <f>31.038+13.694</f>
        <v>44.731999999999999</v>
      </c>
      <c r="AH123" s="237">
        <f>11.022+9.566</f>
        <v>20.588000000000001</v>
      </c>
      <c r="AI123" s="171">
        <f>2.674+16.018</f>
        <v>18.692</v>
      </c>
      <c r="AJ123" s="171">
        <f>6.721+54.983</f>
        <v>61.703999999999994</v>
      </c>
      <c r="AK123" s="263">
        <v>8.5739999999999998</v>
      </c>
      <c r="AL123" s="171">
        <v>19.413</v>
      </c>
      <c r="AM123" s="171"/>
    </row>
    <row r="124" spans="1:47" ht="15" customHeight="1" x14ac:dyDescent="0.25">
      <c r="A124" s="74">
        <v>124</v>
      </c>
      <c r="B124" s="224" t="s">
        <v>349</v>
      </c>
      <c r="C124" s="152"/>
      <c r="D124" s="170"/>
      <c r="E124" s="153"/>
      <c r="F124" s="252">
        <v>1268</v>
      </c>
      <c r="G124" s="252">
        <v>1221</v>
      </c>
      <c r="H124" s="252">
        <v>1184</v>
      </c>
      <c r="I124" s="252">
        <v>1199</v>
      </c>
      <c r="J124" s="252">
        <v>1124</v>
      </c>
      <c r="K124" s="252">
        <v>1092</v>
      </c>
      <c r="L124" s="252">
        <v>1140</v>
      </c>
      <c r="M124" s="252">
        <v>1247</v>
      </c>
      <c r="N124" s="252">
        <v>1128</v>
      </c>
      <c r="O124" s="252">
        <v>1106</v>
      </c>
      <c r="P124" s="252">
        <v>1102</v>
      </c>
      <c r="Q124" s="252">
        <v>1140</v>
      </c>
      <c r="R124" s="252">
        <v>1270</v>
      </c>
      <c r="S124" s="252">
        <v>1354</v>
      </c>
      <c r="T124" s="252">
        <v>1294</v>
      </c>
      <c r="U124" s="418"/>
      <c r="V124" s="418"/>
      <c r="W124" s="418"/>
      <c r="X124" s="252">
        <v>1195</v>
      </c>
      <c r="Y124" s="252">
        <v>1412.877</v>
      </c>
      <c r="Z124" s="252">
        <v>1505.365</v>
      </c>
      <c r="AA124" s="252">
        <v>1703.847</v>
      </c>
      <c r="AB124" s="263">
        <v>1789.585</v>
      </c>
      <c r="AC124" s="263">
        <v>1817.1469999999999</v>
      </c>
      <c r="AD124" s="263">
        <v>1553.4670000000001</v>
      </c>
      <c r="AE124" s="263">
        <v>1262.0239999999999</v>
      </c>
      <c r="AF124" s="171">
        <v>1201.741</v>
      </c>
      <c r="AG124" s="171">
        <v>1248.903</v>
      </c>
      <c r="AH124" s="171">
        <v>1188.6310000000001</v>
      </c>
      <c r="AI124" s="171">
        <v>1023.4829999999999</v>
      </c>
      <c r="AJ124" s="171">
        <v>955.75</v>
      </c>
      <c r="AK124" s="263">
        <v>951.79499999999996</v>
      </c>
      <c r="AL124" s="263">
        <v>952.76599999999996</v>
      </c>
      <c r="AM124" s="171">
        <v>833.96799999999996</v>
      </c>
      <c r="AN124" s="25"/>
    </row>
    <row r="125" spans="1:47" ht="15" customHeight="1" x14ac:dyDescent="0.25">
      <c r="A125" s="74">
        <v>125</v>
      </c>
      <c r="B125" s="241" t="s">
        <v>318</v>
      </c>
      <c r="C125" s="152"/>
      <c r="D125" s="170"/>
      <c r="E125" s="153"/>
      <c r="F125" s="329">
        <f t="shared" ref="F125:G125" si="97">SUM(F122:F124)</f>
        <v>1468</v>
      </c>
      <c r="G125" s="329">
        <f t="shared" si="97"/>
        <v>1446</v>
      </c>
      <c r="H125" s="329">
        <f t="shared" ref="H125" si="98">SUM(H122:H124)</f>
        <v>1430</v>
      </c>
      <c r="I125" s="329">
        <f t="shared" ref="I125" si="99">SUM(I122:I124)</f>
        <v>1388</v>
      </c>
      <c r="J125" s="329">
        <f t="shared" ref="J125:K125" si="100">SUM(J122:J124)</f>
        <v>1402</v>
      </c>
      <c r="K125" s="329">
        <f t="shared" si="100"/>
        <v>1356</v>
      </c>
      <c r="L125" s="329">
        <f t="shared" ref="L125:AG125" si="101">SUM(L122:L124)</f>
        <v>1388</v>
      </c>
      <c r="M125" s="329">
        <f t="shared" si="101"/>
        <v>1489</v>
      </c>
      <c r="N125" s="329">
        <f t="shared" si="101"/>
        <v>1403</v>
      </c>
      <c r="O125" s="329">
        <f t="shared" si="101"/>
        <v>1332</v>
      </c>
      <c r="P125" s="329">
        <f t="shared" si="101"/>
        <v>1325</v>
      </c>
      <c r="Q125" s="329">
        <f t="shared" si="101"/>
        <v>1354</v>
      </c>
      <c r="R125" s="329">
        <f t="shared" si="101"/>
        <v>1526</v>
      </c>
      <c r="S125" s="329">
        <f t="shared" si="101"/>
        <v>1559</v>
      </c>
      <c r="T125" s="329">
        <f t="shared" si="101"/>
        <v>1494</v>
      </c>
      <c r="U125" s="419"/>
      <c r="V125" s="419"/>
      <c r="W125" s="419"/>
      <c r="X125" s="329">
        <f t="shared" si="101"/>
        <v>1422</v>
      </c>
      <c r="Y125" s="329">
        <f t="shared" si="101"/>
        <v>1673.222</v>
      </c>
      <c r="Z125" s="329">
        <f t="shared" si="101"/>
        <v>1693.5060000000001</v>
      </c>
      <c r="AA125" s="329">
        <f t="shared" si="101"/>
        <v>1880.2339999999999</v>
      </c>
      <c r="AB125" s="311">
        <f t="shared" si="101"/>
        <v>1932.1190000000001</v>
      </c>
      <c r="AC125" s="311">
        <f t="shared" si="101"/>
        <v>1975.4209999999998</v>
      </c>
      <c r="AD125" s="311">
        <f t="shared" si="101"/>
        <v>1708.3610000000001</v>
      </c>
      <c r="AE125" s="311">
        <f t="shared" si="101"/>
        <v>1422.2469999999998</v>
      </c>
      <c r="AF125" s="219">
        <f t="shared" si="101"/>
        <v>1362.671</v>
      </c>
      <c r="AG125" s="219">
        <f t="shared" si="101"/>
        <v>1447.4169999999999</v>
      </c>
      <c r="AH125" s="219">
        <f t="shared" ref="AH125:AM125" si="102">SUM(AH122:AH124)</f>
        <v>1360.6190000000001</v>
      </c>
      <c r="AI125" s="219">
        <f t="shared" si="102"/>
        <v>1220.74</v>
      </c>
      <c r="AJ125" s="219">
        <f t="shared" si="102"/>
        <v>1184.347</v>
      </c>
      <c r="AK125" s="219">
        <f t="shared" si="102"/>
        <v>1110.7539999999999</v>
      </c>
      <c r="AL125" s="219">
        <f t="shared" si="102"/>
        <v>1112.7</v>
      </c>
      <c r="AM125" s="219">
        <f t="shared" si="102"/>
        <v>833.96799999999996</v>
      </c>
    </row>
    <row r="126" spans="1:47" x14ac:dyDescent="0.25">
      <c r="A126" s="74">
        <v>126</v>
      </c>
      <c r="B126" s="239" t="s">
        <v>79</v>
      </c>
      <c r="C126" s="152"/>
      <c r="D126" s="170"/>
      <c r="E126" s="153"/>
      <c r="F126" s="252">
        <v>-389</v>
      </c>
      <c r="G126" s="252">
        <v>-395</v>
      </c>
      <c r="H126" s="252">
        <v>-390</v>
      </c>
      <c r="I126" s="252">
        <v>-375</v>
      </c>
      <c r="J126" s="252">
        <v>-356</v>
      </c>
      <c r="K126" s="252">
        <v>-348</v>
      </c>
      <c r="L126" s="252">
        <v>-371</v>
      </c>
      <c r="M126" s="252">
        <v>-360</v>
      </c>
      <c r="N126" s="252">
        <v>-347</v>
      </c>
      <c r="O126" s="252">
        <v>-339</v>
      </c>
      <c r="P126" s="252">
        <v>-315</v>
      </c>
      <c r="Q126" s="252">
        <v>-331</v>
      </c>
      <c r="R126" s="252">
        <v>-398</v>
      </c>
      <c r="S126" s="252">
        <v>-404</v>
      </c>
      <c r="T126" s="252">
        <v>-387</v>
      </c>
      <c r="U126" s="418"/>
      <c r="V126" s="418"/>
      <c r="W126" s="418"/>
      <c r="X126" s="252">
        <v>-338</v>
      </c>
      <c r="Y126" s="252">
        <v>-505.09500000000003</v>
      </c>
      <c r="Z126" s="252">
        <v>-575.20299999999997</v>
      </c>
      <c r="AA126" s="252">
        <v>-626.16099999999994</v>
      </c>
      <c r="AB126" s="263">
        <v>-625.95899999999995</v>
      </c>
      <c r="AC126" s="263">
        <v>-629.5</v>
      </c>
      <c r="AD126" s="263">
        <v>-558.95699999999999</v>
      </c>
      <c r="AE126" s="263">
        <v>-478.661</v>
      </c>
      <c r="AF126" s="171">
        <v>-508.68900000000002</v>
      </c>
      <c r="AG126" s="237">
        <v>-510.04899999999998</v>
      </c>
      <c r="AH126" s="237">
        <v>-488.05599999999998</v>
      </c>
      <c r="AI126" s="171">
        <v>-463.14299999999997</v>
      </c>
      <c r="AJ126" s="171">
        <v>-449.27699999999999</v>
      </c>
      <c r="AK126" s="171">
        <v>-391.52600000000001</v>
      </c>
      <c r="AL126" s="171">
        <v>-380.88499999999999</v>
      </c>
      <c r="AM126" s="171">
        <v>-268.327</v>
      </c>
    </row>
    <row r="127" spans="1:47" x14ac:dyDescent="0.25">
      <c r="A127" s="74">
        <v>127</v>
      </c>
      <c r="B127" s="241" t="s">
        <v>319</v>
      </c>
      <c r="C127" s="152"/>
      <c r="D127" s="170"/>
      <c r="E127" s="153"/>
      <c r="F127" s="329">
        <f t="shared" ref="F127:G127" si="103">F125+F126</f>
        <v>1079</v>
      </c>
      <c r="G127" s="329">
        <f t="shared" si="103"/>
        <v>1051</v>
      </c>
      <c r="H127" s="329">
        <f t="shared" ref="H127" si="104">H125+H126</f>
        <v>1040</v>
      </c>
      <c r="I127" s="329">
        <f t="shared" ref="I127" si="105">I125+I126</f>
        <v>1013</v>
      </c>
      <c r="J127" s="329">
        <f t="shared" ref="J127:K127" si="106">J125+J126</f>
        <v>1046</v>
      </c>
      <c r="K127" s="329">
        <f t="shared" si="106"/>
        <v>1008</v>
      </c>
      <c r="L127" s="329">
        <f t="shared" ref="L127:AG127" si="107">L125+L126</f>
        <v>1017</v>
      </c>
      <c r="M127" s="329">
        <f t="shared" si="107"/>
        <v>1129</v>
      </c>
      <c r="N127" s="329">
        <f t="shared" si="107"/>
        <v>1056</v>
      </c>
      <c r="O127" s="329">
        <f t="shared" si="107"/>
        <v>993</v>
      </c>
      <c r="P127" s="329">
        <f t="shared" si="107"/>
        <v>1010</v>
      </c>
      <c r="Q127" s="329">
        <f t="shared" si="107"/>
        <v>1023</v>
      </c>
      <c r="R127" s="329">
        <f t="shared" si="107"/>
        <v>1128</v>
      </c>
      <c r="S127" s="329">
        <f t="shared" si="107"/>
        <v>1155</v>
      </c>
      <c r="T127" s="329">
        <f t="shared" si="107"/>
        <v>1107</v>
      </c>
      <c r="U127" s="419"/>
      <c r="V127" s="419"/>
      <c r="W127" s="419"/>
      <c r="X127" s="329">
        <f t="shared" si="107"/>
        <v>1084</v>
      </c>
      <c r="Y127" s="329">
        <f t="shared" si="107"/>
        <v>1168.127</v>
      </c>
      <c r="Z127" s="329">
        <f t="shared" si="107"/>
        <v>1118.3030000000001</v>
      </c>
      <c r="AA127" s="329">
        <f t="shared" si="107"/>
        <v>1254.0729999999999</v>
      </c>
      <c r="AB127" s="311">
        <f t="shared" si="107"/>
        <v>1306.1600000000003</v>
      </c>
      <c r="AC127" s="311">
        <f t="shared" si="107"/>
        <v>1345.9209999999998</v>
      </c>
      <c r="AD127" s="311">
        <f t="shared" si="107"/>
        <v>1149.404</v>
      </c>
      <c r="AE127" s="311">
        <f t="shared" si="107"/>
        <v>943.58599999999979</v>
      </c>
      <c r="AF127" s="219">
        <f t="shared" si="107"/>
        <v>853.98199999999997</v>
      </c>
      <c r="AG127" s="219">
        <f t="shared" si="107"/>
        <v>937.36799999999994</v>
      </c>
      <c r="AH127" s="219">
        <f t="shared" ref="AH127:AM127" si="108">AH125+AH126</f>
        <v>872.5630000000001</v>
      </c>
      <c r="AI127" s="219">
        <f t="shared" si="108"/>
        <v>757.59699999999998</v>
      </c>
      <c r="AJ127" s="219">
        <f t="shared" si="108"/>
        <v>735.06999999999994</v>
      </c>
      <c r="AK127" s="219">
        <f t="shared" si="108"/>
        <v>719.22799999999984</v>
      </c>
      <c r="AL127" s="219">
        <f t="shared" si="108"/>
        <v>731.81500000000005</v>
      </c>
      <c r="AM127" s="219">
        <f t="shared" si="108"/>
        <v>565.64099999999996</v>
      </c>
    </row>
    <row r="128" spans="1:47" ht="21" customHeight="1" x14ac:dyDescent="0.25">
      <c r="A128" s="74">
        <v>128</v>
      </c>
      <c r="B128" s="225" t="s">
        <v>321</v>
      </c>
      <c r="C128" s="188"/>
      <c r="D128" s="185"/>
      <c r="E128" s="242"/>
      <c r="F128" s="329">
        <f t="shared" ref="F128:H128" si="109">SUM(F112,F118,F125)</f>
        <v>174156</v>
      </c>
      <c r="G128" s="329">
        <f t="shared" si="109"/>
        <v>168580</v>
      </c>
      <c r="H128" s="329">
        <f t="shared" si="109"/>
        <v>164245</v>
      </c>
      <c r="I128" s="329">
        <f t="shared" ref="I128" si="110">SUM(I112,I118,I125)</f>
        <v>148893</v>
      </c>
      <c r="J128" s="329">
        <f t="shared" ref="J128:K128" si="111">SUM(J112,J118,J125)</f>
        <v>139099</v>
      </c>
      <c r="K128" s="329">
        <f t="shared" si="111"/>
        <v>134363</v>
      </c>
      <c r="L128" s="329">
        <f t="shared" ref="L128:AC128" si="112">SUM(L112,L118,L125)</f>
        <v>124811</v>
      </c>
      <c r="M128" s="329">
        <f t="shared" si="112"/>
        <v>119488</v>
      </c>
      <c r="N128" s="329">
        <f t="shared" si="112"/>
        <v>118923</v>
      </c>
      <c r="O128" s="329">
        <f t="shared" si="112"/>
        <v>116869</v>
      </c>
      <c r="P128" s="329">
        <f t="shared" si="112"/>
        <v>115906</v>
      </c>
      <c r="Q128" s="329">
        <f t="shared" si="112"/>
        <v>114096</v>
      </c>
      <c r="R128" s="329">
        <f t="shared" si="112"/>
        <v>108852</v>
      </c>
      <c r="S128" s="329">
        <f t="shared" si="112"/>
        <v>104179</v>
      </c>
      <c r="T128" s="329">
        <f t="shared" si="112"/>
        <v>98699</v>
      </c>
      <c r="U128" s="419"/>
      <c r="V128" s="419"/>
      <c r="W128" s="419"/>
      <c r="X128" s="329">
        <f t="shared" si="112"/>
        <v>90160</v>
      </c>
      <c r="Y128" s="329">
        <f t="shared" si="112"/>
        <v>86630.232000000004</v>
      </c>
      <c r="Z128" s="329">
        <f t="shared" si="112"/>
        <v>85351.819999999992</v>
      </c>
      <c r="AA128" s="329">
        <f t="shared" si="112"/>
        <v>80929.661999999997</v>
      </c>
      <c r="AB128" s="311">
        <f t="shared" si="112"/>
        <v>78280.321000000011</v>
      </c>
      <c r="AC128" s="311">
        <f t="shared" si="112"/>
        <v>73864.001000000004</v>
      </c>
      <c r="AD128" s="311">
        <f t="shared" ref="AD128:AI128" si="113">SUM(AD112,AD118,AD125)</f>
        <v>68867.145000000004</v>
      </c>
      <c r="AE128" s="311">
        <f t="shared" si="113"/>
        <v>67608.007000000012</v>
      </c>
      <c r="AF128" s="219">
        <f t="shared" si="113"/>
        <v>67014.562000000005</v>
      </c>
      <c r="AG128" s="219">
        <f t="shared" si="113"/>
        <v>66960.305999999997</v>
      </c>
      <c r="AH128" s="219">
        <f t="shared" si="113"/>
        <v>65911.161000000007</v>
      </c>
      <c r="AI128" s="219">
        <f t="shared" si="113"/>
        <v>62496.106</v>
      </c>
      <c r="AJ128" s="219">
        <f>SUM(AJ112,AJ118,AJ125)</f>
        <v>59978.042000000001</v>
      </c>
      <c r="AK128" s="219">
        <f t="shared" ref="AK128:AM129" si="114">SUM(AK112,AK118,AK125)</f>
        <v>58048.008999999998</v>
      </c>
      <c r="AL128" s="219">
        <f t="shared" si="114"/>
        <v>56607.790999999997</v>
      </c>
      <c r="AM128" s="219">
        <f t="shared" si="114"/>
        <v>55368.735000000001</v>
      </c>
      <c r="AN128" s="13"/>
      <c r="AO128" s="13"/>
      <c r="AP128" s="13"/>
      <c r="AQ128" s="13"/>
      <c r="AR128" s="13"/>
      <c r="AS128" s="13"/>
      <c r="AT128" s="13"/>
      <c r="AU128" s="13"/>
    </row>
    <row r="129" spans="1:39" x14ac:dyDescent="0.25">
      <c r="A129" s="74">
        <v>129</v>
      </c>
      <c r="B129" s="149" t="s">
        <v>79</v>
      </c>
      <c r="C129" s="152"/>
      <c r="D129" s="170"/>
      <c r="E129" s="153"/>
      <c r="F129" s="263">
        <f t="shared" ref="F129:H129" si="115">SUM(F113,F119,F126)</f>
        <v>-710</v>
      </c>
      <c r="G129" s="263">
        <f t="shared" si="115"/>
        <v>-717</v>
      </c>
      <c r="H129" s="263">
        <f t="shared" si="115"/>
        <v>-706</v>
      </c>
      <c r="I129" s="263">
        <f t="shared" ref="I129" si="116">SUM(I113,I119,I126)</f>
        <v>-677</v>
      </c>
      <c r="J129" s="263">
        <f t="shared" ref="J129:K129" si="117">SUM(J113,J119,J126)</f>
        <v>-640</v>
      </c>
      <c r="K129" s="263">
        <f t="shared" si="117"/>
        <v>-627</v>
      </c>
      <c r="L129" s="263">
        <f t="shared" ref="L129:AC129" si="118">SUM(L113,L119,L126)</f>
        <v>-625</v>
      </c>
      <c r="M129" s="263">
        <f t="shared" si="118"/>
        <v>-590</v>
      </c>
      <c r="N129" s="263">
        <f t="shared" si="118"/>
        <v>-578</v>
      </c>
      <c r="O129" s="263">
        <f t="shared" si="118"/>
        <v>-578</v>
      </c>
      <c r="P129" s="263">
        <f t="shared" si="118"/>
        <v>-520</v>
      </c>
      <c r="Q129" s="263">
        <f t="shared" si="118"/>
        <v>-567</v>
      </c>
      <c r="R129" s="263">
        <f t="shared" si="118"/>
        <v>-637</v>
      </c>
      <c r="S129" s="263">
        <f t="shared" si="118"/>
        <v>-655</v>
      </c>
      <c r="T129" s="263">
        <f t="shared" si="118"/>
        <v>-632</v>
      </c>
      <c r="U129" s="410"/>
      <c r="V129" s="410"/>
      <c r="W129" s="410"/>
      <c r="X129" s="263">
        <f t="shared" si="118"/>
        <v>-543</v>
      </c>
      <c r="Y129" s="263">
        <f t="shared" si="118"/>
        <v>-843.40300000000002</v>
      </c>
      <c r="Z129" s="263">
        <f t="shared" si="118"/>
        <v>-1274.2660000000001</v>
      </c>
      <c r="AA129" s="263">
        <f t="shared" si="118"/>
        <v>-1307.4299999999998</v>
      </c>
      <c r="AB129" s="263">
        <f t="shared" si="118"/>
        <v>-1306.386</v>
      </c>
      <c r="AC129" s="263">
        <f t="shared" si="118"/>
        <v>-1256.317</v>
      </c>
      <c r="AD129" s="263">
        <f t="shared" ref="AD129:AI129" si="119">SUM(AD113,AD119,AD126)</f>
        <v>-1217.9169999999999</v>
      </c>
      <c r="AE129" s="263">
        <f t="shared" si="119"/>
        <v>-882.45900000000006</v>
      </c>
      <c r="AF129" s="171">
        <f t="shared" si="119"/>
        <v>-864.68499999999995</v>
      </c>
      <c r="AG129" s="171">
        <f t="shared" si="119"/>
        <v>-820.59799999999996</v>
      </c>
      <c r="AH129" s="171">
        <f t="shared" si="119"/>
        <v>-720.60699999999997</v>
      </c>
      <c r="AI129" s="171">
        <f t="shared" si="119"/>
        <v>-676.49399999999991</v>
      </c>
      <c r="AJ129" s="171">
        <f>SUM(AJ113,AJ119,AJ126)</f>
        <v>-583.45699999999999</v>
      </c>
      <c r="AK129" s="171">
        <f t="shared" si="114"/>
        <v>-584.73700000000008</v>
      </c>
      <c r="AL129" s="171">
        <f t="shared" si="114"/>
        <v>-569.69600000000003</v>
      </c>
      <c r="AM129" s="171">
        <f t="shared" si="114"/>
        <v>-458.02800000000002</v>
      </c>
    </row>
    <row r="130" spans="1:39" x14ac:dyDescent="0.25">
      <c r="A130" s="74">
        <v>130</v>
      </c>
      <c r="B130" s="243" t="s">
        <v>322</v>
      </c>
      <c r="C130" s="188"/>
      <c r="D130" s="185"/>
      <c r="E130" s="242"/>
      <c r="F130" s="329">
        <f t="shared" ref="F130:H130" si="120">F128+F129</f>
        <v>173446</v>
      </c>
      <c r="G130" s="329">
        <f t="shared" si="120"/>
        <v>167863</v>
      </c>
      <c r="H130" s="329">
        <f t="shared" si="120"/>
        <v>163539</v>
      </c>
      <c r="I130" s="329">
        <f t="shared" ref="I130" si="121">I128+I129</f>
        <v>148216</v>
      </c>
      <c r="J130" s="329">
        <f t="shared" ref="J130:K130" si="122">J128+J129</f>
        <v>138459</v>
      </c>
      <c r="K130" s="329">
        <f t="shared" si="122"/>
        <v>133736</v>
      </c>
      <c r="L130" s="329">
        <f t="shared" ref="L130:AG130" si="123">L128+L129</f>
        <v>124186</v>
      </c>
      <c r="M130" s="329">
        <f t="shared" si="123"/>
        <v>118898</v>
      </c>
      <c r="N130" s="329">
        <f t="shared" si="123"/>
        <v>118345</v>
      </c>
      <c r="O130" s="329">
        <f t="shared" si="123"/>
        <v>116291</v>
      </c>
      <c r="P130" s="329">
        <f t="shared" si="123"/>
        <v>115386</v>
      </c>
      <c r="Q130" s="329">
        <f t="shared" si="123"/>
        <v>113529</v>
      </c>
      <c r="R130" s="329">
        <f t="shared" si="123"/>
        <v>108215</v>
      </c>
      <c r="S130" s="329">
        <f t="shared" si="123"/>
        <v>103524</v>
      </c>
      <c r="T130" s="329">
        <f t="shared" si="123"/>
        <v>98067</v>
      </c>
      <c r="U130" s="419"/>
      <c r="V130" s="419"/>
      <c r="W130" s="419"/>
      <c r="X130" s="329">
        <f t="shared" si="123"/>
        <v>89617</v>
      </c>
      <c r="Y130" s="329">
        <f t="shared" si="123"/>
        <v>85786.828999999998</v>
      </c>
      <c r="Z130" s="329">
        <f t="shared" si="123"/>
        <v>84077.553999999989</v>
      </c>
      <c r="AA130" s="329">
        <f t="shared" si="123"/>
        <v>79622.232000000004</v>
      </c>
      <c r="AB130" s="313">
        <f t="shared" si="123"/>
        <v>76973.935000000012</v>
      </c>
      <c r="AC130" s="313">
        <f t="shared" si="123"/>
        <v>72607.684000000008</v>
      </c>
      <c r="AD130" s="313">
        <f t="shared" si="123"/>
        <v>67649.228000000003</v>
      </c>
      <c r="AE130" s="313">
        <f t="shared" si="123"/>
        <v>66725.54800000001</v>
      </c>
      <c r="AF130" s="161">
        <f t="shared" si="123"/>
        <v>66149.877000000008</v>
      </c>
      <c r="AG130" s="161">
        <f t="shared" si="123"/>
        <v>66139.707999999999</v>
      </c>
      <c r="AH130" s="161">
        <f t="shared" ref="AH130:AM130" si="124">AH128+AH129</f>
        <v>65190.554000000004</v>
      </c>
      <c r="AI130" s="161">
        <f t="shared" si="124"/>
        <v>61819.612000000001</v>
      </c>
      <c r="AJ130" s="161">
        <f t="shared" si="124"/>
        <v>59394.584999999999</v>
      </c>
      <c r="AK130" s="161">
        <f t="shared" si="124"/>
        <v>57463.271999999997</v>
      </c>
      <c r="AL130" s="161">
        <f t="shared" si="124"/>
        <v>56038.094999999994</v>
      </c>
      <c r="AM130" s="161">
        <f t="shared" si="124"/>
        <v>54910.707000000002</v>
      </c>
    </row>
    <row r="131" spans="1:39" x14ac:dyDescent="0.25">
      <c r="A131" s="74">
        <v>131</v>
      </c>
      <c r="B131" s="5"/>
      <c r="C131" s="93"/>
      <c r="D131" s="88"/>
      <c r="E131" s="94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291"/>
      <c r="AC131" s="291"/>
      <c r="AD131" s="291"/>
      <c r="AE131" s="291"/>
      <c r="AF131" s="88"/>
      <c r="AG131" s="88"/>
      <c r="AH131" s="88"/>
      <c r="AI131" s="88"/>
      <c r="AJ131" s="88"/>
      <c r="AK131" s="88"/>
      <c r="AL131" s="88"/>
      <c r="AM131" s="41"/>
    </row>
    <row r="132" spans="1:39" ht="27" hidden="1" customHeight="1" x14ac:dyDescent="0.25">
      <c r="A132" s="74">
        <v>132</v>
      </c>
      <c r="B132" s="230" t="s">
        <v>323</v>
      </c>
      <c r="C132" s="233"/>
      <c r="D132" s="235"/>
      <c r="E132" s="234"/>
      <c r="F132" s="347"/>
      <c r="G132" s="347"/>
      <c r="H132" s="347"/>
      <c r="I132" s="347"/>
      <c r="J132" s="347"/>
      <c r="K132" s="347"/>
      <c r="L132" s="347"/>
      <c r="M132" s="347"/>
      <c r="N132" s="347"/>
      <c r="O132" s="347"/>
      <c r="P132" s="347"/>
      <c r="Q132" s="347"/>
      <c r="R132" s="347"/>
      <c r="S132" s="347"/>
      <c r="T132" s="347"/>
      <c r="U132" s="347"/>
      <c r="V132" s="347"/>
      <c r="W132" s="347"/>
      <c r="X132" s="347"/>
      <c r="Y132" s="347"/>
      <c r="Z132" s="347"/>
      <c r="AA132" s="347"/>
      <c r="AB132" s="312"/>
      <c r="AC132" s="312"/>
      <c r="AD132" s="312"/>
      <c r="AE132" s="312"/>
      <c r="AF132" s="235"/>
      <c r="AG132" s="235"/>
      <c r="AH132" s="235"/>
      <c r="AI132" s="235"/>
      <c r="AJ132" s="235"/>
      <c r="AK132" s="235"/>
      <c r="AL132" s="235"/>
      <c r="AM132" s="235"/>
    </row>
    <row r="133" spans="1:39" hidden="1" x14ac:dyDescent="0.25">
      <c r="A133" s="74">
        <v>133</v>
      </c>
      <c r="B133" s="236" t="s">
        <v>331</v>
      </c>
      <c r="C133" s="231"/>
      <c r="D133" s="223"/>
      <c r="E133" s="232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37"/>
      <c r="AC133" s="337"/>
      <c r="AD133" s="310"/>
      <c r="AE133" s="310"/>
      <c r="AF133" s="223"/>
      <c r="AG133" s="223"/>
      <c r="AH133" s="223"/>
      <c r="AI133" s="223"/>
      <c r="AJ133" s="223"/>
      <c r="AK133" s="223"/>
      <c r="AL133" s="223"/>
      <c r="AM133" s="223"/>
    </row>
    <row r="134" spans="1:39" hidden="1" x14ac:dyDescent="0.25">
      <c r="A134" s="74">
        <v>134</v>
      </c>
      <c r="B134" s="224" t="s">
        <v>313</v>
      </c>
      <c r="C134" s="152"/>
      <c r="D134" s="170"/>
      <c r="E134" s="153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52"/>
      <c r="AA134" s="252"/>
      <c r="AB134" s="263"/>
      <c r="AC134" s="263"/>
      <c r="AD134" s="263"/>
      <c r="AE134" s="263"/>
      <c r="AF134" s="171"/>
      <c r="AG134" s="171"/>
      <c r="AH134" s="171"/>
      <c r="AI134" s="171"/>
      <c r="AJ134" s="171"/>
      <c r="AK134" s="171"/>
      <c r="AL134" s="171"/>
      <c r="AM134" s="171"/>
    </row>
    <row r="135" spans="1:39" hidden="1" x14ac:dyDescent="0.25">
      <c r="A135" s="74">
        <v>135</v>
      </c>
      <c r="B135" s="224" t="s">
        <v>350</v>
      </c>
      <c r="C135" s="152"/>
      <c r="D135" s="170"/>
      <c r="E135" s="153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52"/>
      <c r="AA135" s="252"/>
      <c r="AB135" s="263"/>
      <c r="AC135" s="263"/>
      <c r="AD135" s="263"/>
      <c r="AE135" s="263"/>
      <c r="AF135" s="171"/>
      <c r="AG135" s="171"/>
      <c r="AH135" s="171"/>
      <c r="AI135" s="171"/>
      <c r="AJ135" s="171"/>
      <c r="AK135" s="171"/>
      <c r="AL135" s="171"/>
      <c r="AM135" s="171"/>
    </row>
    <row r="136" spans="1:39" hidden="1" x14ac:dyDescent="0.25">
      <c r="A136" s="74">
        <v>136</v>
      </c>
      <c r="B136" s="238" t="s">
        <v>316</v>
      </c>
      <c r="C136" s="152"/>
      <c r="D136" s="170"/>
      <c r="E136" s="153"/>
      <c r="F136" s="329">
        <f t="shared" ref="F136:G136" si="125">F134+F135</f>
        <v>0</v>
      </c>
      <c r="G136" s="329">
        <f t="shared" si="125"/>
        <v>0</v>
      </c>
      <c r="H136" s="329">
        <f t="shared" ref="H136" si="126">H134+H135</f>
        <v>0</v>
      </c>
      <c r="I136" s="329">
        <f t="shared" ref="I136" si="127">I134+I135</f>
        <v>0</v>
      </c>
      <c r="J136" s="329">
        <f t="shared" ref="J136:K136" si="128">J134+J135</f>
        <v>0</v>
      </c>
      <c r="K136" s="329">
        <f t="shared" si="128"/>
        <v>0</v>
      </c>
      <c r="L136" s="329">
        <f t="shared" ref="L136:AG136" si="129">L134+L135</f>
        <v>0</v>
      </c>
      <c r="M136" s="329">
        <f t="shared" si="129"/>
        <v>0</v>
      </c>
      <c r="N136" s="329">
        <f t="shared" si="129"/>
        <v>0</v>
      </c>
      <c r="O136" s="329">
        <f t="shared" si="129"/>
        <v>0</v>
      </c>
      <c r="P136" s="329">
        <f t="shared" si="129"/>
        <v>0</v>
      </c>
      <c r="Q136" s="329">
        <f t="shared" si="129"/>
        <v>0</v>
      </c>
      <c r="R136" s="329">
        <f t="shared" si="129"/>
        <v>0</v>
      </c>
      <c r="S136" s="329">
        <f t="shared" si="129"/>
        <v>0</v>
      </c>
      <c r="T136" s="329">
        <f t="shared" si="129"/>
        <v>0</v>
      </c>
      <c r="U136" s="329">
        <f t="shared" si="129"/>
        <v>0</v>
      </c>
      <c r="V136" s="329">
        <f t="shared" si="129"/>
        <v>0</v>
      </c>
      <c r="W136" s="329">
        <f t="shared" si="129"/>
        <v>0</v>
      </c>
      <c r="X136" s="329">
        <f t="shared" si="129"/>
        <v>0</v>
      </c>
      <c r="Y136" s="329">
        <f t="shared" si="129"/>
        <v>0</v>
      </c>
      <c r="Z136" s="329">
        <f t="shared" si="129"/>
        <v>0</v>
      </c>
      <c r="AA136" s="329">
        <f t="shared" si="129"/>
        <v>0</v>
      </c>
      <c r="AB136" s="311">
        <f t="shared" si="129"/>
        <v>0</v>
      </c>
      <c r="AC136" s="311">
        <f t="shared" si="129"/>
        <v>0</v>
      </c>
      <c r="AD136" s="311">
        <f t="shared" si="129"/>
        <v>0</v>
      </c>
      <c r="AE136" s="311">
        <f t="shared" si="129"/>
        <v>0</v>
      </c>
      <c r="AF136" s="219">
        <f t="shared" si="129"/>
        <v>0</v>
      </c>
      <c r="AG136" s="219">
        <f t="shared" si="129"/>
        <v>0</v>
      </c>
      <c r="AH136" s="219">
        <f t="shared" ref="AH136:AM136" si="130">AH134+AH135</f>
        <v>0</v>
      </c>
      <c r="AI136" s="219">
        <f t="shared" si="130"/>
        <v>0</v>
      </c>
      <c r="AJ136" s="219">
        <f t="shared" si="130"/>
        <v>0</v>
      </c>
      <c r="AK136" s="219">
        <f t="shared" si="130"/>
        <v>0</v>
      </c>
      <c r="AL136" s="219">
        <f t="shared" si="130"/>
        <v>0</v>
      </c>
      <c r="AM136" s="219">
        <f t="shared" si="130"/>
        <v>0</v>
      </c>
    </row>
    <row r="137" spans="1:39" hidden="1" x14ac:dyDescent="0.25">
      <c r="A137" s="74">
        <v>137</v>
      </c>
      <c r="B137" s="239" t="s">
        <v>79</v>
      </c>
      <c r="C137" s="152"/>
      <c r="D137" s="170"/>
      <c r="E137" s="153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52"/>
      <c r="AA137" s="252"/>
      <c r="AB137" s="263"/>
      <c r="AC137" s="263"/>
      <c r="AD137" s="263"/>
      <c r="AE137" s="263"/>
      <c r="AF137" s="171"/>
      <c r="AG137" s="171"/>
      <c r="AH137" s="171"/>
      <c r="AI137" s="171"/>
      <c r="AJ137" s="171"/>
      <c r="AK137" s="171"/>
      <c r="AL137" s="171"/>
      <c r="AM137" s="171"/>
    </row>
    <row r="138" spans="1:39" hidden="1" x14ac:dyDescent="0.25">
      <c r="A138" s="74">
        <v>138</v>
      </c>
      <c r="B138" s="238" t="s">
        <v>317</v>
      </c>
      <c r="C138" s="152"/>
      <c r="D138" s="170"/>
      <c r="E138" s="153"/>
      <c r="F138" s="329">
        <f t="shared" ref="F138:G138" si="131">F136+F137</f>
        <v>0</v>
      </c>
      <c r="G138" s="329">
        <f t="shared" si="131"/>
        <v>0</v>
      </c>
      <c r="H138" s="329">
        <f t="shared" ref="H138" si="132">H136+H137</f>
        <v>0</v>
      </c>
      <c r="I138" s="329">
        <f t="shared" ref="I138" si="133">I136+I137</f>
        <v>0</v>
      </c>
      <c r="J138" s="329">
        <f t="shared" ref="J138:K138" si="134">J136+J137</f>
        <v>0</v>
      </c>
      <c r="K138" s="329">
        <f t="shared" si="134"/>
        <v>0</v>
      </c>
      <c r="L138" s="329">
        <f t="shared" ref="L138:AG138" si="135">L136+L137</f>
        <v>0</v>
      </c>
      <c r="M138" s="329">
        <f t="shared" si="135"/>
        <v>0</v>
      </c>
      <c r="N138" s="329">
        <f t="shared" si="135"/>
        <v>0</v>
      </c>
      <c r="O138" s="329">
        <f t="shared" si="135"/>
        <v>0</v>
      </c>
      <c r="P138" s="329">
        <f t="shared" si="135"/>
        <v>0</v>
      </c>
      <c r="Q138" s="329">
        <f t="shared" si="135"/>
        <v>0</v>
      </c>
      <c r="R138" s="329">
        <f t="shared" si="135"/>
        <v>0</v>
      </c>
      <c r="S138" s="329">
        <f t="shared" si="135"/>
        <v>0</v>
      </c>
      <c r="T138" s="329">
        <f t="shared" si="135"/>
        <v>0</v>
      </c>
      <c r="U138" s="329">
        <f t="shared" si="135"/>
        <v>0</v>
      </c>
      <c r="V138" s="329">
        <f t="shared" si="135"/>
        <v>0</v>
      </c>
      <c r="W138" s="329">
        <f t="shared" si="135"/>
        <v>0</v>
      </c>
      <c r="X138" s="329">
        <f t="shared" si="135"/>
        <v>0</v>
      </c>
      <c r="Y138" s="329">
        <f t="shared" si="135"/>
        <v>0</v>
      </c>
      <c r="Z138" s="329">
        <f t="shared" si="135"/>
        <v>0</v>
      </c>
      <c r="AA138" s="329">
        <f t="shared" si="135"/>
        <v>0</v>
      </c>
      <c r="AB138" s="311">
        <f t="shared" si="135"/>
        <v>0</v>
      </c>
      <c r="AC138" s="311">
        <f t="shared" si="135"/>
        <v>0</v>
      </c>
      <c r="AD138" s="311">
        <f t="shared" si="135"/>
        <v>0</v>
      </c>
      <c r="AE138" s="311">
        <f t="shared" si="135"/>
        <v>0</v>
      </c>
      <c r="AF138" s="219">
        <f t="shared" si="135"/>
        <v>0</v>
      </c>
      <c r="AG138" s="219">
        <f t="shared" si="135"/>
        <v>0</v>
      </c>
      <c r="AH138" s="219">
        <f t="shared" ref="AH138:AM138" si="136">AH136+AH137</f>
        <v>0</v>
      </c>
      <c r="AI138" s="219">
        <f t="shared" si="136"/>
        <v>0</v>
      </c>
      <c r="AJ138" s="219">
        <f t="shared" si="136"/>
        <v>0</v>
      </c>
      <c r="AK138" s="219">
        <f t="shared" si="136"/>
        <v>0</v>
      </c>
      <c r="AL138" s="219">
        <f t="shared" si="136"/>
        <v>0</v>
      </c>
      <c r="AM138" s="219">
        <f t="shared" si="136"/>
        <v>0</v>
      </c>
    </row>
    <row r="139" spans="1:39" hidden="1" x14ac:dyDescent="0.25">
      <c r="A139" s="74">
        <v>139</v>
      </c>
      <c r="B139" s="240" t="s">
        <v>332</v>
      </c>
      <c r="C139" s="152"/>
      <c r="D139" s="170"/>
      <c r="E139" s="153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291"/>
      <c r="AC139" s="291"/>
      <c r="AD139" s="291"/>
      <c r="AE139" s="291"/>
      <c r="AF139" s="170"/>
      <c r="AG139" s="170"/>
      <c r="AH139" s="170"/>
      <c r="AI139" s="170"/>
      <c r="AJ139" s="170"/>
      <c r="AK139" s="170"/>
      <c r="AL139" s="170"/>
      <c r="AM139" s="171"/>
    </row>
    <row r="140" spans="1:39" hidden="1" x14ac:dyDescent="0.25">
      <c r="A140" s="74">
        <v>140</v>
      </c>
      <c r="B140" s="224" t="s">
        <v>313</v>
      </c>
      <c r="C140" s="152"/>
      <c r="D140" s="170"/>
      <c r="E140" s="153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52"/>
      <c r="AA140" s="252"/>
      <c r="AB140" s="263"/>
      <c r="AC140" s="263"/>
      <c r="AD140" s="263"/>
      <c r="AE140" s="263"/>
      <c r="AF140" s="263"/>
      <c r="AG140" s="263"/>
      <c r="AH140" s="170"/>
      <c r="AI140" s="170"/>
      <c r="AJ140" s="170"/>
      <c r="AK140" s="170"/>
      <c r="AL140" s="170"/>
      <c r="AM140" s="171"/>
    </row>
    <row r="141" spans="1:39" hidden="1" x14ac:dyDescent="0.25">
      <c r="A141" s="74">
        <v>141</v>
      </c>
      <c r="B141" s="224" t="s">
        <v>350</v>
      </c>
      <c r="C141" s="152"/>
      <c r="D141" s="170"/>
      <c r="E141" s="153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  <c r="AA141" s="252"/>
      <c r="AB141" s="263"/>
      <c r="AC141" s="263"/>
      <c r="AD141" s="263"/>
      <c r="AE141" s="263"/>
      <c r="AF141" s="263"/>
      <c r="AG141" s="263"/>
      <c r="AH141" s="263"/>
      <c r="AI141" s="263"/>
      <c r="AJ141" s="263"/>
      <c r="AK141" s="263"/>
      <c r="AL141" s="263"/>
      <c r="AM141" s="171"/>
    </row>
    <row r="142" spans="1:39" hidden="1" x14ac:dyDescent="0.25">
      <c r="A142" s="74">
        <v>142</v>
      </c>
      <c r="B142" s="241" t="s">
        <v>314</v>
      </c>
      <c r="C142" s="152"/>
      <c r="D142" s="170"/>
      <c r="E142" s="153"/>
      <c r="F142" s="329">
        <f t="shared" ref="F142:G142" si="137">F141+F140</f>
        <v>0</v>
      </c>
      <c r="G142" s="329">
        <f t="shared" si="137"/>
        <v>0</v>
      </c>
      <c r="H142" s="329">
        <f t="shared" ref="H142" si="138">H141+H140</f>
        <v>0</v>
      </c>
      <c r="I142" s="329">
        <f t="shared" ref="I142" si="139">I141+I140</f>
        <v>0</v>
      </c>
      <c r="J142" s="329">
        <f t="shared" ref="J142:K142" si="140">J141+J140</f>
        <v>0</v>
      </c>
      <c r="K142" s="329">
        <f t="shared" si="140"/>
        <v>0</v>
      </c>
      <c r="L142" s="329">
        <f t="shared" ref="L142:X142" si="141">L141+L140</f>
        <v>0</v>
      </c>
      <c r="M142" s="329">
        <f t="shared" si="141"/>
        <v>0</v>
      </c>
      <c r="N142" s="329">
        <f t="shared" si="141"/>
        <v>0</v>
      </c>
      <c r="O142" s="329">
        <f t="shared" si="141"/>
        <v>0</v>
      </c>
      <c r="P142" s="329">
        <f t="shared" si="141"/>
        <v>0</v>
      </c>
      <c r="Q142" s="329">
        <f t="shared" si="141"/>
        <v>0</v>
      </c>
      <c r="R142" s="329">
        <f t="shared" si="141"/>
        <v>0</v>
      </c>
      <c r="S142" s="329">
        <f t="shared" si="141"/>
        <v>0</v>
      </c>
      <c r="T142" s="329">
        <f t="shared" si="141"/>
        <v>0</v>
      </c>
      <c r="U142" s="329">
        <f t="shared" si="141"/>
        <v>0</v>
      </c>
      <c r="V142" s="329">
        <f t="shared" si="141"/>
        <v>0</v>
      </c>
      <c r="W142" s="329">
        <f t="shared" si="141"/>
        <v>0</v>
      </c>
      <c r="X142" s="329">
        <f t="shared" si="141"/>
        <v>0</v>
      </c>
      <c r="Y142" s="329">
        <f t="shared" ref="Y142:AG142" si="142">Y141+Y140</f>
        <v>0</v>
      </c>
      <c r="Z142" s="329">
        <f t="shared" si="142"/>
        <v>0</v>
      </c>
      <c r="AA142" s="329">
        <f t="shared" si="142"/>
        <v>0</v>
      </c>
      <c r="AB142" s="311">
        <f t="shared" si="142"/>
        <v>0</v>
      </c>
      <c r="AC142" s="311">
        <f t="shared" si="142"/>
        <v>0</v>
      </c>
      <c r="AD142" s="311">
        <f t="shared" si="142"/>
        <v>0</v>
      </c>
      <c r="AE142" s="311">
        <f t="shared" si="142"/>
        <v>0</v>
      </c>
      <c r="AF142" s="219">
        <f t="shared" si="142"/>
        <v>0</v>
      </c>
      <c r="AG142" s="219">
        <f t="shared" si="142"/>
        <v>0</v>
      </c>
      <c r="AH142" s="219">
        <f t="shared" ref="AH142:AM142" si="143">AH141</f>
        <v>0</v>
      </c>
      <c r="AI142" s="219">
        <f t="shared" si="143"/>
        <v>0</v>
      </c>
      <c r="AJ142" s="219">
        <f t="shared" si="143"/>
        <v>0</v>
      </c>
      <c r="AK142" s="219">
        <f t="shared" si="143"/>
        <v>0</v>
      </c>
      <c r="AL142" s="219">
        <f t="shared" si="143"/>
        <v>0</v>
      </c>
      <c r="AM142" s="219">
        <f t="shared" si="143"/>
        <v>0</v>
      </c>
    </row>
    <row r="143" spans="1:39" hidden="1" x14ac:dyDescent="0.25">
      <c r="A143" s="74">
        <v>143</v>
      </c>
      <c r="B143" s="239" t="s">
        <v>79</v>
      </c>
      <c r="C143" s="152"/>
      <c r="D143" s="170"/>
      <c r="E143" s="153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52"/>
      <c r="AA143" s="252"/>
      <c r="AB143" s="263"/>
      <c r="AC143" s="263"/>
      <c r="AD143" s="263"/>
      <c r="AE143" s="263"/>
      <c r="AF143" s="171"/>
      <c r="AG143" s="171"/>
      <c r="AH143" s="171"/>
      <c r="AI143" s="171"/>
      <c r="AJ143" s="171"/>
      <c r="AK143" s="171"/>
      <c r="AL143" s="171"/>
      <c r="AM143" s="171"/>
    </row>
    <row r="144" spans="1:39" hidden="1" x14ac:dyDescent="0.25">
      <c r="A144" s="74">
        <v>144</v>
      </c>
      <c r="B144" s="241" t="s">
        <v>315</v>
      </c>
      <c r="C144" s="152"/>
      <c r="D144" s="170"/>
      <c r="E144" s="153"/>
      <c r="F144" s="329">
        <f t="shared" ref="F144:G144" si="144">F142+F143</f>
        <v>0</v>
      </c>
      <c r="G144" s="329">
        <f t="shared" si="144"/>
        <v>0</v>
      </c>
      <c r="H144" s="329">
        <f t="shared" ref="H144" si="145">H142+H143</f>
        <v>0</v>
      </c>
      <c r="I144" s="329">
        <f t="shared" ref="I144" si="146">I142+I143</f>
        <v>0</v>
      </c>
      <c r="J144" s="329">
        <f t="shared" ref="J144:K144" si="147">J142+J143</f>
        <v>0</v>
      </c>
      <c r="K144" s="329">
        <f t="shared" si="147"/>
        <v>0</v>
      </c>
      <c r="L144" s="329">
        <f t="shared" ref="L144:AG144" si="148">L142+L143</f>
        <v>0</v>
      </c>
      <c r="M144" s="329">
        <f t="shared" si="148"/>
        <v>0</v>
      </c>
      <c r="N144" s="329">
        <f t="shared" si="148"/>
        <v>0</v>
      </c>
      <c r="O144" s="329">
        <f t="shared" si="148"/>
        <v>0</v>
      </c>
      <c r="P144" s="329">
        <f t="shared" si="148"/>
        <v>0</v>
      </c>
      <c r="Q144" s="329">
        <f t="shared" si="148"/>
        <v>0</v>
      </c>
      <c r="R144" s="329">
        <f t="shared" si="148"/>
        <v>0</v>
      </c>
      <c r="S144" s="329">
        <f t="shared" si="148"/>
        <v>0</v>
      </c>
      <c r="T144" s="329">
        <f t="shared" si="148"/>
        <v>0</v>
      </c>
      <c r="U144" s="329">
        <f t="shared" si="148"/>
        <v>0</v>
      </c>
      <c r="V144" s="329">
        <f t="shared" si="148"/>
        <v>0</v>
      </c>
      <c r="W144" s="329">
        <f t="shared" si="148"/>
        <v>0</v>
      </c>
      <c r="X144" s="329">
        <f t="shared" si="148"/>
        <v>0</v>
      </c>
      <c r="Y144" s="329">
        <f t="shared" si="148"/>
        <v>0</v>
      </c>
      <c r="Z144" s="329">
        <f t="shared" si="148"/>
        <v>0</v>
      </c>
      <c r="AA144" s="329">
        <f t="shared" si="148"/>
        <v>0</v>
      </c>
      <c r="AB144" s="311">
        <f t="shared" si="148"/>
        <v>0</v>
      </c>
      <c r="AC144" s="311">
        <f t="shared" si="148"/>
        <v>0</v>
      </c>
      <c r="AD144" s="311">
        <f t="shared" si="148"/>
        <v>0</v>
      </c>
      <c r="AE144" s="311">
        <f t="shared" si="148"/>
        <v>0</v>
      </c>
      <c r="AF144" s="219">
        <f t="shared" si="148"/>
        <v>0</v>
      </c>
      <c r="AG144" s="219">
        <f t="shared" si="148"/>
        <v>0</v>
      </c>
      <c r="AH144" s="219">
        <f t="shared" ref="AH144:AM144" si="149">AH142+AH143</f>
        <v>0</v>
      </c>
      <c r="AI144" s="219">
        <f t="shared" si="149"/>
        <v>0</v>
      </c>
      <c r="AJ144" s="219">
        <f t="shared" si="149"/>
        <v>0</v>
      </c>
      <c r="AK144" s="219">
        <f t="shared" si="149"/>
        <v>0</v>
      </c>
      <c r="AL144" s="219">
        <f t="shared" si="149"/>
        <v>0</v>
      </c>
      <c r="AM144" s="219">
        <f t="shared" si="149"/>
        <v>0</v>
      </c>
    </row>
    <row r="145" spans="1:40" hidden="1" x14ac:dyDescent="0.25">
      <c r="A145" s="74">
        <v>145</v>
      </c>
      <c r="B145" s="240" t="s">
        <v>333</v>
      </c>
      <c r="C145" s="152"/>
      <c r="D145" s="170"/>
      <c r="E145" s="153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291"/>
      <c r="AC145" s="291"/>
      <c r="AD145" s="291"/>
      <c r="AE145" s="291"/>
      <c r="AF145" s="170"/>
      <c r="AG145" s="170"/>
      <c r="AH145" s="170"/>
      <c r="AI145" s="170"/>
      <c r="AJ145" s="170"/>
      <c r="AK145" s="170"/>
      <c r="AL145" s="170"/>
      <c r="AM145" s="171"/>
    </row>
    <row r="146" spans="1:40" hidden="1" x14ac:dyDescent="0.25">
      <c r="A146" s="74">
        <v>146</v>
      </c>
      <c r="B146" s="224" t="s">
        <v>313</v>
      </c>
      <c r="C146" s="152"/>
      <c r="D146" s="170"/>
      <c r="E146" s="153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52"/>
      <c r="AA146" s="252"/>
      <c r="AB146" s="263"/>
      <c r="AC146" s="263"/>
      <c r="AD146" s="263"/>
      <c r="AE146" s="263"/>
      <c r="AF146" s="171"/>
      <c r="AG146" s="171"/>
      <c r="AH146" s="171"/>
      <c r="AI146" s="171"/>
      <c r="AJ146" s="171"/>
      <c r="AK146" s="171"/>
      <c r="AL146" s="171"/>
      <c r="AM146" s="171"/>
    </row>
    <row r="147" spans="1:40" hidden="1" x14ac:dyDescent="0.25">
      <c r="A147" s="74">
        <v>147</v>
      </c>
      <c r="B147" s="224" t="s">
        <v>350</v>
      </c>
      <c r="C147" s="152"/>
      <c r="D147" s="170"/>
      <c r="E147" s="153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63"/>
      <c r="AC147" s="263"/>
      <c r="AD147" s="263"/>
      <c r="AE147" s="263"/>
      <c r="AF147" s="171"/>
      <c r="AG147" s="171"/>
      <c r="AH147" s="171"/>
      <c r="AI147" s="171"/>
      <c r="AJ147" s="171"/>
      <c r="AK147" s="171"/>
      <c r="AL147" s="171"/>
      <c r="AM147" s="253"/>
    </row>
    <row r="148" spans="1:40" hidden="1" x14ac:dyDescent="0.25">
      <c r="A148" s="74">
        <v>148</v>
      </c>
      <c r="B148" s="224" t="s">
        <v>349</v>
      </c>
      <c r="C148" s="152"/>
      <c r="D148" s="170"/>
      <c r="E148" s="153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3"/>
      <c r="AL148" s="263"/>
      <c r="AM148" s="171"/>
      <c r="AN148" s="25"/>
    </row>
    <row r="149" spans="1:40" hidden="1" x14ac:dyDescent="0.25">
      <c r="A149" s="74">
        <v>149</v>
      </c>
      <c r="B149" s="241" t="s">
        <v>318</v>
      </c>
      <c r="C149" s="152"/>
      <c r="D149" s="170"/>
      <c r="E149" s="153"/>
      <c r="F149" s="329">
        <f t="shared" ref="F149:G149" si="150">SUM(F146:F148)</f>
        <v>0</v>
      </c>
      <c r="G149" s="329">
        <f t="shared" si="150"/>
        <v>0</v>
      </c>
      <c r="H149" s="329">
        <f t="shared" ref="H149" si="151">SUM(H146:H148)</f>
        <v>0</v>
      </c>
      <c r="I149" s="329">
        <f t="shared" ref="I149" si="152">SUM(I146:I148)</f>
        <v>0</v>
      </c>
      <c r="J149" s="329">
        <f t="shared" ref="J149:K149" si="153">SUM(J146:J148)</f>
        <v>0</v>
      </c>
      <c r="K149" s="329">
        <f t="shared" si="153"/>
        <v>0</v>
      </c>
      <c r="L149" s="329">
        <f t="shared" ref="L149:AG149" si="154">SUM(L146:L148)</f>
        <v>0</v>
      </c>
      <c r="M149" s="329">
        <f t="shared" si="154"/>
        <v>0</v>
      </c>
      <c r="N149" s="329">
        <f t="shared" si="154"/>
        <v>0</v>
      </c>
      <c r="O149" s="329">
        <f t="shared" si="154"/>
        <v>0</v>
      </c>
      <c r="P149" s="329">
        <f t="shared" si="154"/>
        <v>0</v>
      </c>
      <c r="Q149" s="329">
        <f t="shared" si="154"/>
        <v>0</v>
      </c>
      <c r="R149" s="329">
        <f t="shared" si="154"/>
        <v>0</v>
      </c>
      <c r="S149" s="329">
        <f t="shared" si="154"/>
        <v>0</v>
      </c>
      <c r="T149" s="329">
        <f t="shared" si="154"/>
        <v>0</v>
      </c>
      <c r="U149" s="329">
        <f t="shared" si="154"/>
        <v>0</v>
      </c>
      <c r="V149" s="329">
        <f t="shared" si="154"/>
        <v>0</v>
      </c>
      <c r="W149" s="329">
        <f t="shared" si="154"/>
        <v>0</v>
      </c>
      <c r="X149" s="329">
        <f t="shared" si="154"/>
        <v>0</v>
      </c>
      <c r="Y149" s="329">
        <f t="shared" si="154"/>
        <v>0</v>
      </c>
      <c r="Z149" s="329">
        <f t="shared" si="154"/>
        <v>0</v>
      </c>
      <c r="AA149" s="329">
        <f t="shared" si="154"/>
        <v>0</v>
      </c>
      <c r="AB149" s="311">
        <f t="shared" si="154"/>
        <v>0</v>
      </c>
      <c r="AC149" s="311">
        <f t="shared" si="154"/>
        <v>0</v>
      </c>
      <c r="AD149" s="311">
        <f t="shared" si="154"/>
        <v>0</v>
      </c>
      <c r="AE149" s="311">
        <f t="shared" si="154"/>
        <v>0</v>
      </c>
      <c r="AF149" s="219">
        <f t="shared" si="154"/>
        <v>0</v>
      </c>
      <c r="AG149" s="219">
        <f t="shared" si="154"/>
        <v>0</v>
      </c>
      <c r="AH149" s="219">
        <f t="shared" ref="AH149:AM149" si="155">SUM(AH146:AH148)</f>
        <v>0</v>
      </c>
      <c r="AI149" s="219">
        <f t="shared" si="155"/>
        <v>0</v>
      </c>
      <c r="AJ149" s="219">
        <f t="shared" si="155"/>
        <v>0</v>
      </c>
      <c r="AK149" s="219">
        <f t="shared" si="155"/>
        <v>0</v>
      </c>
      <c r="AL149" s="219">
        <f t="shared" si="155"/>
        <v>0</v>
      </c>
      <c r="AM149" s="219">
        <f t="shared" si="155"/>
        <v>0</v>
      </c>
    </row>
    <row r="150" spans="1:40" hidden="1" x14ac:dyDescent="0.25">
      <c r="A150" s="74">
        <v>150</v>
      </c>
      <c r="B150" s="239" t="s">
        <v>79</v>
      </c>
      <c r="C150" s="152"/>
      <c r="D150" s="170"/>
      <c r="E150" s="153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63"/>
      <c r="AC150" s="263"/>
      <c r="AD150" s="263"/>
      <c r="AE150" s="263"/>
      <c r="AF150" s="171"/>
      <c r="AG150" s="171"/>
      <c r="AH150" s="171"/>
      <c r="AI150" s="171"/>
      <c r="AJ150" s="171"/>
      <c r="AK150" s="171"/>
      <c r="AL150" s="171"/>
      <c r="AM150" s="171"/>
    </row>
    <row r="151" spans="1:40" hidden="1" x14ac:dyDescent="0.25">
      <c r="A151" s="74">
        <v>151</v>
      </c>
      <c r="B151" s="241" t="s">
        <v>319</v>
      </c>
      <c r="C151" s="152"/>
      <c r="D151" s="170"/>
      <c r="E151" s="153"/>
      <c r="F151" s="329">
        <f t="shared" ref="F151:G151" si="156">F149+F150</f>
        <v>0</v>
      </c>
      <c r="G151" s="329">
        <f t="shared" si="156"/>
        <v>0</v>
      </c>
      <c r="H151" s="329">
        <f t="shared" ref="H151" si="157">H149+H150</f>
        <v>0</v>
      </c>
      <c r="I151" s="329">
        <f t="shared" ref="I151" si="158">I149+I150</f>
        <v>0</v>
      </c>
      <c r="J151" s="329">
        <f t="shared" ref="J151:K151" si="159">J149+J150</f>
        <v>0</v>
      </c>
      <c r="K151" s="329">
        <f t="shared" si="159"/>
        <v>0</v>
      </c>
      <c r="L151" s="329">
        <f t="shared" ref="L151:AG151" si="160">L149+L150</f>
        <v>0</v>
      </c>
      <c r="M151" s="329">
        <f t="shared" si="160"/>
        <v>0</v>
      </c>
      <c r="N151" s="329">
        <f t="shared" si="160"/>
        <v>0</v>
      </c>
      <c r="O151" s="329">
        <f t="shared" si="160"/>
        <v>0</v>
      </c>
      <c r="P151" s="329">
        <f t="shared" si="160"/>
        <v>0</v>
      </c>
      <c r="Q151" s="329">
        <f t="shared" si="160"/>
        <v>0</v>
      </c>
      <c r="R151" s="329">
        <f t="shared" si="160"/>
        <v>0</v>
      </c>
      <c r="S151" s="329">
        <f t="shared" si="160"/>
        <v>0</v>
      </c>
      <c r="T151" s="329">
        <f t="shared" si="160"/>
        <v>0</v>
      </c>
      <c r="U151" s="329">
        <f t="shared" si="160"/>
        <v>0</v>
      </c>
      <c r="V151" s="329">
        <f t="shared" si="160"/>
        <v>0</v>
      </c>
      <c r="W151" s="329">
        <f t="shared" si="160"/>
        <v>0</v>
      </c>
      <c r="X151" s="329">
        <f t="shared" si="160"/>
        <v>0</v>
      </c>
      <c r="Y151" s="329">
        <f t="shared" si="160"/>
        <v>0</v>
      </c>
      <c r="Z151" s="329">
        <f t="shared" si="160"/>
        <v>0</v>
      </c>
      <c r="AA151" s="329">
        <f t="shared" si="160"/>
        <v>0</v>
      </c>
      <c r="AB151" s="311">
        <f t="shared" si="160"/>
        <v>0</v>
      </c>
      <c r="AC151" s="311">
        <f t="shared" si="160"/>
        <v>0</v>
      </c>
      <c r="AD151" s="311">
        <f t="shared" si="160"/>
        <v>0</v>
      </c>
      <c r="AE151" s="311">
        <f t="shared" si="160"/>
        <v>0</v>
      </c>
      <c r="AF151" s="219">
        <f t="shared" si="160"/>
        <v>0</v>
      </c>
      <c r="AG151" s="219">
        <f t="shared" si="160"/>
        <v>0</v>
      </c>
      <c r="AH151" s="219">
        <f t="shared" ref="AH151:AM151" si="161">AH149+AH150</f>
        <v>0</v>
      </c>
      <c r="AI151" s="219">
        <f t="shared" si="161"/>
        <v>0</v>
      </c>
      <c r="AJ151" s="219">
        <f t="shared" si="161"/>
        <v>0</v>
      </c>
      <c r="AK151" s="219">
        <f t="shared" si="161"/>
        <v>0</v>
      </c>
      <c r="AL151" s="219">
        <f t="shared" si="161"/>
        <v>0</v>
      </c>
      <c r="AM151" s="219">
        <f t="shared" si="161"/>
        <v>0</v>
      </c>
    </row>
    <row r="152" spans="1:40" ht="21" hidden="1" customHeight="1" x14ac:dyDescent="0.25">
      <c r="A152" s="74">
        <v>152</v>
      </c>
      <c r="B152" s="225" t="s">
        <v>341</v>
      </c>
      <c r="C152" s="188"/>
      <c r="D152" s="185"/>
      <c r="E152" s="242"/>
      <c r="F152" s="329">
        <f t="shared" ref="F152:G152" si="162">SUM(F136,F142,F149)</f>
        <v>0</v>
      </c>
      <c r="G152" s="329">
        <f t="shared" si="162"/>
        <v>0</v>
      </c>
      <c r="H152" s="329">
        <f t="shared" ref="H152" si="163">SUM(H136,H142,H149)</f>
        <v>0</v>
      </c>
      <c r="I152" s="329">
        <f t="shared" ref="I152" si="164">SUM(I136,I142,I149)</f>
        <v>0</v>
      </c>
      <c r="J152" s="329">
        <f t="shared" ref="J152:K152" si="165">SUM(J136,J142,J149)</f>
        <v>0</v>
      </c>
      <c r="K152" s="329">
        <f t="shared" si="165"/>
        <v>0</v>
      </c>
      <c r="L152" s="329">
        <f t="shared" ref="L152:AM152" si="166">SUM(L136,L142,L149)</f>
        <v>0</v>
      </c>
      <c r="M152" s="329">
        <f t="shared" si="166"/>
        <v>0</v>
      </c>
      <c r="N152" s="329">
        <f t="shared" si="166"/>
        <v>0</v>
      </c>
      <c r="O152" s="329">
        <f t="shared" si="166"/>
        <v>0</v>
      </c>
      <c r="P152" s="329">
        <f t="shared" si="166"/>
        <v>0</v>
      </c>
      <c r="Q152" s="329">
        <f t="shared" si="166"/>
        <v>0</v>
      </c>
      <c r="R152" s="329">
        <f t="shared" si="166"/>
        <v>0</v>
      </c>
      <c r="S152" s="329">
        <f t="shared" si="166"/>
        <v>0</v>
      </c>
      <c r="T152" s="329">
        <f t="shared" si="166"/>
        <v>0</v>
      </c>
      <c r="U152" s="329">
        <f t="shared" si="166"/>
        <v>0</v>
      </c>
      <c r="V152" s="329">
        <f t="shared" si="166"/>
        <v>0</v>
      </c>
      <c r="W152" s="329">
        <f t="shared" si="166"/>
        <v>0</v>
      </c>
      <c r="X152" s="329">
        <f t="shared" si="166"/>
        <v>0</v>
      </c>
      <c r="Y152" s="329">
        <f t="shared" si="166"/>
        <v>0</v>
      </c>
      <c r="Z152" s="329">
        <f t="shared" si="166"/>
        <v>0</v>
      </c>
      <c r="AA152" s="329">
        <f t="shared" si="166"/>
        <v>0</v>
      </c>
      <c r="AB152" s="311">
        <f t="shared" si="166"/>
        <v>0</v>
      </c>
      <c r="AC152" s="311">
        <f t="shared" si="166"/>
        <v>0</v>
      </c>
      <c r="AD152" s="311">
        <f t="shared" si="166"/>
        <v>0</v>
      </c>
      <c r="AE152" s="311">
        <f t="shared" si="166"/>
        <v>0</v>
      </c>
      <c r="AF152" s="219">
        <f t="shared" si="166"/>
        <v>0</v>
      </c>
      <c r="AG152" s="219">
        <f t="shared" si="166"/>
        <v>0</v>
      </c>
      <c r="AH152" s="219">
        <f t="shared" si="166"/>
        <v>0</v>
      </c>
      <c r="AI152" s="219">
        <f t="shared" si="166"/>
        <v>0</v>
      </c>
      <c r="AJ152" s="219">
        <f t="shared" si="166"/>
        <v>0</v>
      </c>
      <c r="AK152" s="219">
        <f t="shared" si="166"/>
        <v>0</v>
      </c>
      <c r="AL152" s="219">
        <f t="shared" si="166"/>
        <v>0</v>
      </c>
      <c r="AM152" s="219">
        <f t="shared" si="166"/>
        <v>0</v>
      </c>
    </row>
    <row r="153" spans="1:40" hidden="1" x14ac:dyDescent="0.25">
      <c r="A153" s="74">
        <v>153</v>
      </c>
      <c r="B153" s="149" t="s">
        <v>79</v>
      </c>
      <c r="C153" s="152"/>
      <c r="D153" s="170"/>
      <c r="E153" s="153"/>
      <c r="F153" s="252"/>
      <c r="G153" s="252"/>
      <c r="H153" s="252"/>
      <c r="I153" s="252"/>
      <c r="J153" s="252"/>
      <c r="K153" s="252"/>
      <c r="L153" s="252"/>
      <c r="M153" s="252"/>
      <c r="N153" s="252"/>
      <c r="O153" s="252"/>
      <c r="P153" s="252"/>
      <c r="Q153" s="252"/>
      <c r="R153" s="252"/>
      <c r="S153" s="252"/>
      <c r="T153" s="252"/>
      <c r="U153" s="252"/>
      <c r="V153" s="252"/>
      <c r="W153" s="252"/>
      <c r="X153" s="252"/>
      <c r="Y153" s="252"/>
      <c r="Z153" s="252"/>
      <c r="AA153" s="252"/>
      <c r="AB153" s="263"/>
      <c r="AC153" s="263"/>
      <c r="AD153" s="263"/>
      <c r="AE153" s="263"/>
      <c r="AF153" s="171"/>
      <c r="AG153" s="171"/>
      <c r="AH153" s="171"/>
      <c r="AI153" s="171"/>
      <c r="AJ153" s="171"/>
      <c r="AK153" s="171"/>
      <c r="AL153" s="171"/>
      <c r="AM153" s="171"/>
    </row>
    <row r="154" spans="1:40" hidden="1" x14ac:dyDescent="0.25">
      <c r="A154" s="74">
        <v>154</v>
      </c>
      <c r="B154" s="243" t="s">
        <v>342</v>
      </c>
      <c r="C154" s="188"/>
      <c r="D154" s="185"/>
      <c r="E154" s="242"/>
      <c r="F154" s="329">
        <f t="shared" ref="F154:G154" si="167">F152+F153</f>
        <v>0</v>
      </c>
      <c r="G154" s="329">
        <f t="shared" si="167"/>
        <v>0</v>
      </c>
      <c r="H154" s="329">
        <f t="shared" ref="H154" si="168">H152+H153</f>
        <v>0</v>
      </c>
      <c r="I154" s="329">
        <f t="shared" ref="I154" si="169">I152+I153</f>
        <v>0</v>
      </c>
      <c r="J154" s="329">
        <f t="shared" ref="J154:K154" si="170">J152+J153</f>
        <v>0</v>
      </c>
      <c r="K154" s="329">
        <f t="shared" si="170"/>
        <v>0</v>
      </c>
      <c r="L154" s="329">
        <f t="shared" ref="L154:AG154" si="171">L152+L153</f>
        <v>0</v>
      </c>
      <c r="M154" s="329">
        <f t="shared" si="171"/>
        <v>0</v>
      </c>
      <c r="N154" s="329">
        <f t="shared" si="171"/>
        <v>0</v>
      </c>
      <c r="O154" s="329">
        <f t="shared" si="171"/>
        <v>0</v>
      </c>
      <c r="P154" s="329">
        <f t="shared" si="171"/>
        <v>0</v>
      </c>
      <c r="Q154" s="329">
        <f t="shared" si="171"/>
        <v>0</v>
      </c>
      <c r="R154" s="329">
        <f t="shared" si="171"/>
        <v>0</v>
      </c>
      <c r="S154" s="329">
        <f t="shared" si="171"/>
        <v>0</v>
      </c>
      <c r="T154" s="329">
        <f t="shared" si="171"/>
        <v>0</v>
      </c>
      <c r="U154" s="329">
        <f t="shared" si="171"/>
        <v>0</v>
      </c>
      <c r="V154" s="329">
        <f t="shared" si="171"/>
        <v>0</v>
      </c>
      <c r="W154" s="329">
        <f t="shared" si="171"/>
        <v>0</v>
      </c>
      <c r="X154" s="329">
        <f t="shared" si="171"/>
        <v>0</v>
      </c>
      <c r="Y154" s="329">
        <f t="shared" si="171"/>
        <v>0</v>
      </c>
      <c r="Z154" s="329">
        <f t="shared" si="171"/>
        <v>0</v>
      </c>
      <c r="AA154" s="329">
        <f t="shared" si="171"/>
        <v>0</v>
      </c>
      <c r="AB154" s="311">
        <f t="shared" si="171"/>
        <v>0</v>
      </c>
      <c r="AC154" s="311">
        <f t="shared" si="171"/>
        <v>0</v>
      </c>
      <c r="AD154" s="311">
        <f t="shared" si="171"/>
        <v>0</v>
      </c>
      <c r="AE154" s="311">
        <f t="shared" si="171"/>
        <v>0</v>
      </c>
      <c r="AF154" s="219">
        <f t="shared" si="171"/>
        <v>0</v>
      </c>
      <c r="AG154" s="219">
        <f t="shared" si="171"/>
        <v>0</v>
      </c>
      <c r="AH154" s="219">
        <f t="shared" ref="AH154:AM154" si="172">AH152+AH153</f>
        <v>0</v>
      </c>
      <c r="AI154" s="219">
        <f t="shared" si="172"/>
        <v>0</v>
      </c>
      <c r="AJ154" s="219">
        <f t="shared" si="172"/>
        <v>0</v>
      </c>
      <c r="AK154" s="219">
        <f t="shared" si="172"/>
        <v>0</v>
      </c>
      <c r="AL154" s="219">
        <f t="shared" si="172"/>
        <v>0</v>
      </c>
      <c r="AM154" s="219">
        <f t="shared" si="172"/>
        <v>0</v>
      </c>
    </row>
    <row r="155" spans="1:40" x14ac:dyDescent="0.25">
      <c r="A155" s="74">
        <v>155</v>
      </c>
      <c r="B155" s="5"/>
      <c r="C155" s="93"/>
      <c r="D155" s="88"/>
      <c r="E155" s="94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291"/>
      <c r="AC155" s="291"/>
      <c r="AD155" s="291"/>
      <c r="AE155" s="291"/>
      <c r="AF155" s="88"/>
      <c r="AG155" s="88"/>
      <c r="AH155" s="88"/>
      <c r="AI155" s="88"/>
      <c r="AJ155" s="88"/>
      <c r="AK155" s="88"/>
      <c r="AL155" s="88"/>
      <c r="AM155" s="39"/>
    </row>
    <row r="156" spans="1:40" ht="27" customHeight="1" x14ac:dyDescent="0.25">
      <c r="A156" s="74">
        <v>156</v>
      </c>
      <c r="B156" s="230" t="s">
        <v>367</v>
      </c>
      <c r="C156" s="233"/>
      <c r="D156" s="235"/>
      <c r="E156" s="234"/>
      <c r="F156" s="347"/>
      <c r="G156" s="347"/>
      <c r="H156" s="347"/>
      <c r="I156" s="347"/>
      <c r="J156" s="347"/>
      <c r="K156" s="347"/>
      <c r="L156" s="347"/>
      <c r="M156" s="347"/>
      <c r="N156" s="347"/>
      <c r="O156" s="347"/>
      <c r="P156" s="347"/>
      <c r="Q156" s="347"/>
      <c r="R156" s="347"/>
      <c r="S156" s="347"/>
      <c r="T156" s="347"/>
      <c r="U156" s="347"/>
      <c r="V156" s="347"/>
      <c r="W156" s="347"/>
      <c r="X156" s="347"/>
      <c r="Y156" s="347"/>
      <c r="Z156" s="347"/>
      <c r="AA156" s="347"/>
      <c r="AB156" s="312"/>
      <c r="AC156" s="312"/>
      <c r="AD156" s="312"/>
      <c r="AE156" s="312"/>
      <c r="AF156" s="235"/>
      <c r="AG156" s="235"/>
      <c r="AH156" s="235"/>
      <c r="AI156" s="235"/>
      <c r="AJ156" s="235"/>
      <c r="AK156" s="235"/>
      <c r="AL156" s="235"/>
      <c r="AM156" s="235"/>
    </row>
    <row r="157" spans="1:40" x14ac:dyDescent="0.25">
      <c r="A157" s="74">
        <v>157</v>
      </c>
      <c r="B157" s="236" t="s">
        <v>331</v>
      </c>
      <c r="C157" s="231"/>
      <c r="D157" s="223"/>
      <c r="E157" s="232"/>
      <c r="F157" s="348"/>
      <c r="G157" s="348"/>
      <c r="H157" s="348"/>
      <c r="I157" s="348"/>
      <c r="J157" s="348"/>
      <c r="K157" s="348"/>
      <c r="L157" s="348"/>
      <c r="M157" s="348"/>
      <c r="N157" s="348"/>
      <c r="O157" s="348"/>
      <c r="P157" s="348"/>
      <c r="Q157" s="348"/>
      <c r="R157" s="348"/>
      <c r="S157" s="348"/>
      <c r="T157" s="348"/>
      <c r="U157" s="348"/>
      <c r="V157" s="348"/>
      <c r="W157" s="348"/>
      <c r="X157" s="348"/>
      <c r="Y157" s="348"/>
      <c r="Z157" s="348"/>
      <c r="AA157" s="348"/>
      <c r="AB157" s="337"/>
      <c r="AC157" s="337"/>
      <c r="AD157" s="310"/>
      <c r="AE157" s="310"/>
      <c r="AF157" s="223"/>
      <c r="AG157" s="223"/>
      <c r="AH157" s="223"/>
      <c r="AI157" s="223"/>
      <c r="AJ157" s="223"/>
      <c r="AK157" s="223"/>
      <c r="AL157" s="223"/>
      <c r="AM157" s="223"/>
    </row>
    <row r="158" spans="1:40" x14ac:dyDescent="0.25">
      <c r="A158" s="74">
        <v>158</v>
      </c>
      <c r="B158" s="224" t="s">
        <v>313</v>
      </c>
      <c r="C158" s="152"/>
      <c r="D158" s="170"/>
      <c r="E158" s="153"/>
      <c r="F158" s="252">
        <v>339</v>
      </c>
      <c r="G158" s="252">
        <v>383</v>
      </c>
      <c r="H158" s="252">
        <v>482</v>
      </c>
      <c r="I158" s="252">
        <v>381</v>
      </c>
      <c r="J158" s="252">
        <v>447</v>
      </c>
      <c r="K158" s="252">
        <v>461</v>
      </c>
      <c r="L158" s="252">
        <v>529</v>
      </c>
      <c r="M158" s="252">
        <v>700</v>
      </c>
      <c r="N158" s="252">
        <v>841</v>
      </c>
      <c r="O158" s="252">
        <v>953</v>
      </c>
      <c r="P158" s="252">
        <v>2774</v>
      </c>
      <c r="Q158" s="252">
        <v>1052</v>
      </c>
      <c r="R158" s="252">
        <v>809</v>
      </c>
      <c r="S158" s="252">
        <v>2496</v>
      </c>
      <c r="T158" s="252">
        <v>3513</v>
      </c>
      <c r="U158" s="418"/>
      <c r="V158" s="418"/>
      <c r="W158" s="418"/>
      <c r="X158" s="252">
        <v>3090</v>
      </c>
      <c r="Y158" s="252">
        <v>2791.2930000000001</v>
      </c>
      <c r="Z158" s="252">
        <v>2504.6759999999999</v>
      </c>
      <c r="AA158" s="252">
        <v>2468.123</v>
      </c>
      <c r="AB158" s="263">
        <v>3112.4630000000002</v>
      </c>
      <c r="AC158" s="263">
        <v>3278.558</v>
      </c>
      <c r="AD158" s="263">
        <v>2637.78</v>
      </c>
      <c r="AE158" s="263">
        <v>3146.1060000000002</v>
      </c>
      <c r="AF158" s="171">
        <v>2745.5770000000002</v>
      </c>
      <c r="AG158" s="171">
        <v>3606.1909999999998</v>
      </c>
      <c r="AH158" s="171">
        <v>3461.57</v>
      </c>
      <c r="AI158" s="171">
        <v>3318.2109999999998</v>
      </c>
      <c r="AJ158" s="171">
        <v>3596.4430000000002</v>
      </c>
      <c r="AK158" s="171">
        <v>3468.299</v>
      </c>
      <c r="AL158" s="171">
        <v>3151.2939999999999</v>
      </c>
      <c r="AM158" s="171">
        <v>2389.48</v>
      </c>
    </row>
    <row r="159" spans="1:40" x14ac:dyDescent="0.25">
      <c r="A159" s="74">
        <v>159</v>
      </c>
      <c r="B159" s="224" t="s">
        <v>350</v>
      </c>
      <c r="C159" s="152"/>
      <c r="D159" s="170"/>
      <c r="E159" s="153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252"/>
      <c r="T159" s="252"/>
      <c r="U159" s="418"/>
      <c r="V159" s="418"/>
      <c r="W159" s="418"/>
      <c r="X159" s="252">
        <v>0</v>
      </c>
      <c r="Y159" s="252">
        <v>0</v>
      </c>
      <c r="Z159" s="252">
        <v>795.60599999999999</v>
      </c>
      <c r="AA159" s="252"/>
      <c r="AB159" s="263"/>
      <c r="AC159" s="263"/>
      <c r="AD159" s="263"/>
      <c r="AE159" s="263"/>
      <c r="AF159" s="171"/>
      <c r="AG159" s="171"/>
      <c r="AH159" s="171"/>
      <c r="AI159" s="171"/>
      <c r="AJ159" s="171"/>
      <c r="AK159" s="171"/>
      <c r="AL159" s="171"/>
      <c r="AM159" s="171">
        <v>9.8230000000000004</v>
      </c>
    </row>
    <row r="160" spans="1:40" x14ac:dyDescent="0.25">
      <c r="A160" s="74">
        <v>160</v>
      </c>
      <c r="B160" s="238" t="s">
        <v>316</v>
      </c>
      <c r="C160" s="152"/>
      <c r="D160" s="170"/>
      <c r="E160" s="153"/>
      <c r="F160" s="329">
        <f t="shared" ref="F160:G160" si="173">F158+F159</f>
        <v>339</v>
      </c>
      <c r="G160" s="329">
        <f t="shared" si="173"/>
        <v>383</v>
      </c>
      <c r="H160" s="329">
        <f t="shared" ref="H160" si="174">H158+H159</f>
        <v>482</v>
      </c>
      <c r="I160" s="329">
        <f t="shared" ref="I160" si="175">I158+I159</f>
        <v>381</v>
      </c>
      <c r="J160" s="329">
        <f t="shared" ref="J160:K160" si="176">J158+J159</f>
        <v>447</v>
      </c>
      <c r="K160" s="329">
        <f t="shared" si="176"/>
        <v>461</v>
      </c>
      <c r="L160" s="329">
        <f t="shared" ref="L160:AG160" si="177">L158+L159</f>
        <v>529</v>
      </c>
      <c r="M160" s="329">
        <f t="shared" si="177"/>
        <v>700</v>
      </c>
      <c r="N160" s="329">
        <f t="shared" si="177"/>
        <v>841</v>
      </c>
      <c r="O160" s="329">
        <f t="shared" si="177"/>
        <v>953</v>
      </c>
      <c r="P160" s="329">
        <f t="shared" si="177"/>
        <v>2774</v>
      </c>
      <c r="Q160" s="329">
        <f t="shared" si="177"/>
        <v>1052</v>
      </c>
      <c r="R160" s="329">
        <f t="shared" si="177"/>
        <v>809</v>
      </c>
      <c r="S160" s="329">
        <f t="shared" si="177"/>
        <v>2496</v>
      </c>
      <c r="T160" s="329">
        <f t="shared" si="177"/>
        <v>3513</v>
      </c>
      <c r="U160" s="419"/>
      <c r="V160" s="419"/>
      <c r="W160" s="419"/>
      <c r="X160" s="329">
        <f t="shared" si="177"/>
        <v>3090</v>
      </c>
      <c r="Y160" s="329">
        <f t="shared" si="177"/>
        <v>2791.2930000000001</v>
      </c>
      <c r="Z160" s="329">
        <f t="shared" si="177"/>
        <v>3300.2820000000002</v>
      </c>
      <c r="AA160" s="329">
        <f t="shared" si="177"/>
        <v>2468.123</v>
      </c>
      <c r="AB160" s="311">
        <f t="shared" si="177"/>
        <v>3112.4630000000002</v>
      </c>
      <c r="AC160" s="311">
        <f t="shared" si="177"/>
        <v>3278.558</v>
      </c>
      <c r="AD160" s="311">
        <f t="shared" si="177"/>
        <v>2637.78</v>
      </c>
      <c r="AE160" s="311">
        <f t="shared" si="177"/>
        <v>3146.1060000000002</v>
      </c>
      <c r="AF160" s="219">
        <f t="shared" si="177"/>
        <v>2745.5770000000002</v>
      </c>
      <c r="AG160" s="219">
        <f t="shared" si="177"/>
        <v>3606.1909999999998</v>
      </c>
      <c r="AH160" s="219">
        <f t="shared" ref="AH160:AM160" si="178">AH158+AH159</f>
        <v>3461.57</v>
      </c>
      <c r="AI160" s="219">
        <f t="shared" si="178"/>
        <v>3318.2109999999998</v>
      </c>
      <c r="AJ160" s="219">
        <f t="shared" si="178"/>
        <v>3596.4430000000002</v>
      </c>
      <c r="AK160" s="219">
        <f t="shared" si="178"/>
        <v>3468.299</v>
      </c>
      <c r="AL160" s="219">
        <f t="shared" si="178"/>
        <v>3151.2939999999999</v>
      </c>
      <c r="AM160" s="219">
        <f t="shared" si="178"/>
        <v>2399.3029999999999</v>
      </c>
    </row>
    <row r="161" spans="1:39" x14ac:dyDescent="0.25">
      <c r="A161" s="74">
        <v>161</v>
      </c>
      <c r="B161" s="239" t="s">
        <v>79</v>
      </c>
      <c r="C161" s="152"/>
      <c r="D161" s="170"/>
      <c r="E161" s="153"/>
      <c r="F161" s="252">
        <v>-5</v>
      </c>
      <c r="G161" s="252">
        <v>-6</v>
      </c>
      <c r="H161" s="252">
        <v>-8</v>
      </c>
      <c r="I161" s="252">
        <v>-7</v>
      </c>
      <c r="J161" s="252">
        <v>-9</v>
      </c>
      <c r="K161" s="252">
        <v>-9</v>
      </c>
      <c r="L161" s="252">
        <v>-11</v>
      </c>
      <c r="M161" s="252">
        <v>-13</v>
      </c>
      <c r="N161" s="252">
        <v>-15</v>
      </c>
      <c r="O161" s="252">
        <v>-17</v>
      </c>
      <c r="P161" s="252">
        <v>-22</v>
      </c>
      <c r="Q161" s="252">
        <v>-20</v>
      </c>
      <c r="R161" s="252">
        <v>-16</v>
      </c>
      <c r="S161" s="252">
        <v>-17</v>
      </c>
      <c r="T161" s="252">
        <v>-31</v>
      </c>
      <c r="U161" s="418"/>
      <c r="V161" s="418"/>
      <c r="W161" s="418"/>
      <c r="X161" s="252">
        <v>-54</v>
      </c>
      <c r="Y161" s="252">
        <v>-53.378999999999998</v>
      </c>
      <c r="Z161" s="252">
        <v>-67.263999999999996</v>
      </c>
      <c r="AA161" s="252">
        <v>-37.182000000000002</v>
      </c>
      <c r="AB161" s="263">
        <v>-52.765999999999998</v>
      </c>
      <c r="AC161" s="263">
        <v>-148.42099999999999</v>
      </c>
      <c r="AD161" s="263">
        <v>-121.503</v>
      </c>
      <c r="AE161" s="263">
        <v>-184.39</v>
      </c>
      <c r="AF161" s="171">
        <v>-144.27500000000001</v>
      </c>
      <c r="AG161" s="171">
        <v>-62.319000000000003</v>
      </c>
      <c r="AH161" s="171">
        <v>-62.825000000000003</v>
      </c>
      <c r="AI161" s="171">
        <v>-62.08</v>
      </c>
      <c r="AJ161" s="171">
        <v>-82.385000000000005</v>
      </c>
      <c r="AK161" s="171">
        <v>-60.325000000000003</v>
      </c>
      <c r="AL161" s="171">
        <v>-54.792999999999999</v>
      </c>
      <c r="AM161" s="171">
        <v>-38.459000000000003</v>
      </c>
    </row>
    <row r="162" spans="1:39" x14ac:dyDescent="0.25">
      <c r="A162" s="74">
        <v>162</v>
      </c>
      <c r="B162" s="238" t="s">
        <v>317</v>
      </c>
      <c r="C162" s="152"/>
      <c r="D162" s="170"/>
      <c r="E162" s="153"/>
      <c r="F162" s="329">
        <f t="shared" ref="F162:G162" si="179">F160+F161</f>
        <v>334</v>
      </c>
      <c r="G162" s="329">
        <f t="shared" si="179"/>
        <v>377</v>
      </c>
      <c r="H162" s="329">
        <f t="shared" ref="H162" si="180">H160+H161</f>
        <v>474</v>
      </c>
      <c r="I162" s="329">
        <f t="shared" ref="I162" si="181">I160+I161</f>
        <v>374</v>
      </c>
      <c r="J162" s="329">
        <f t="shared" ref="J162:K162" si="182">J160+J161</f>
        <v>438</v>
      </c>
      <c r="K162" s="329">
        <f t="shared" si="182"/>
        <v>452</v>
      </c>
      <c r="L162" s="329">
        <f t="shared" ref="L162:AG162" si="183">L160+L161</f>
        <v>518</v>
      </c>
      <c r="M162" s="329">
        <f t="shared" si="183"/>
        <v>687</v>
      </c>
      <c r="N162" s="329">
        <f t="shared" si="183"/>
        <v>826</v>
      </c>
      <c r="O162" s="329">
        <f t="shared" si="183"/>
        <v>936</v>
      </c>
      <c r="P162" s="329">
        <f t="shared" si="183"/>
        <v>2752</v>
      </c>
      <c r="Q162" s="329">
        <f t="shared" si="183"/>
        <v>1032</v>
      </c>
      <c r="R162" s="329">
        <f t="shared" si="183"/>
        <v>793</v>
      </c>
      <c r="S162" s="329">
        <f t="shared" si="183"/>
        <v>2479</v>
      </c>
      <c r="T162" s="329">
        <f t="shared" si="183"/>
        <v>3482</v>
      </c>
      <c r="U162" s="419"/>
      <c r="V162" s="419"/>
      <c r="W162" s="419"/>
      <c r="X162" s="329">
        <f t="shared" si="183"/>
        <v>3036</v>
      </c>
      <c r="Y162" s="329">
        <f t="shared" si="183"/>
        <v>2737.9140000000002</v>
      </c>
      <c r="Z162" s="329">
        <f t="shared" si="183"/>
        <v>3233.018</v>
      </c>
      <c r="AA162" s="329">
        <f t="shared" si="183"/>
        <v>2430.9410000000003</v>
      </c>
      <c r="AB162" s="311">
        <f t="shared" si="183"/>
        <v>3059.6970000000001</v>
      </c>
      <c r="AC162" s="311">
        <f t="shared" si="183"/>
        <v>3130.1370000000002</v>
      </c>
      <c r="AD162" s="311">
        <f t="shared" si="183"/>
        <v>2516.277</v>
      </c>
      <c r="AE162" s="311">
        <f t="shared" si="183"/>
        <v>2961.7160000000003</v>
      </c>
      <c r="AF162" s="219">
        <f t="shared" si="183"/>
        <v>2601.3020000000001</v>
      </c>
      <c r="AG162" s="219">
        <f t="shared" si="183"/>
        <v>3543.8719999999998</v>
      </c>
      <c r="AH162" s="219">
        <f t="shared" ref="AH162:AM162" si="184">AH160+AH161</f>
        <v>3398.7450000000003</v>
      </c>
      <c r="AI162" s="219">
        <f t="shared" si="184"/>
        <v>3256.1309999999999</v>
      </c>
      <c r="AJ162" s="219">
        <f t="shared" si="184"/>
        <v>3514.058</v>
      </c>
      <c r="AK162" s="219">
        <f t="shared" si="184"/>
        <v>3407.9740000000002</v>
      </c>
      <c r="AL162" s="219">
        <f t="shared" si="184"/>
        <v>3096.5009999999997</v>
      </c>
      <c r="AM162" s="219">
        <f t="shared" si="184"/>
        <v>2360.8440000000001</v>
      </c>
    </row>
    <row r="163" spans="1:39" x14ac:dyDescent="0.25">
      <c r="A163" s="74">
        <v>163</v>
      </c>
      <c r="B163" s="240" t="s">
        <v>332</v>
      </c>
      <c r="C163" s="152"/>
      <c r="D163" s="170"/>
      <c r="E163" s="153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420"/>
      <c r="V163" s="420"/>
      <c r="W163" s="420"/>
      <c r="X163" s="345"/>
      <c r="Y163" s="345"/>
      <c r="Z163" s="345"/>
      <c r="AA163" s="345"/>
      <c r="AB163" s="291"/>
      <c r="AC163" s="291"/>
      <c r="AD163" s="291"/>
      <c r="AE163" s="291"/>
      <c r="AF163" s="170"/>
      <c r="AG163" s="170"/>
      <c r="AH163" s="170"/>
      <c r="AI163" s="170"/>
      <c r="AJ163" s="170"/>
      <c r="AK163" s="170"/>
      <c r="AL163" s="170"/>
      <c r="AM163" s="171"/>
    </row>
    <row r="164" spans="1:39" x14ac:dyDescent="0.25">
      <c r="A164" s="74">
        <v>164</v>
      </c>
      <c r="B164" s="224" t="s">
        <v>313</v>
      </c>
      <c r="C164" s="152"/>
      <c r="D164" s="170"/>
      <c r="E164" s="153"/>
      <c r="F164" s="252"/>
      <c r="G164" s="252"/>
      <c r="H164" s="252"/>
      <c r="I164" s="252">
        <v>148</v>
      </c>
      <c r="J164" s="252"/>
      <c r="K164" s="252"/>
      <c r="L164" s="252"/>
      <c r="M164" s="252"/>
      <c r="N164" s="252"/>
      <c r="O164" s="252"/>
      <c r="P164" s="252"/>
      <c r="Q164" s="252">
        <v>1571</v>
      </c>
      <c r="R164" s="252">
        <v>1569</v>
      </c>
      <c r="S164" s="252">
        <v>12</v>
      </c>
      <c r="T164" s="252"/>
      <c r="U164" s="418"/>
      <c r="V164" s="418"/>
      <c r="W164" s="418"/>
      <c r="X164" s="252">
        <v>0</v>
      </c>
      <c r="Y164" s="252">
        <v>130.73699999999999</v>
      </c>
      <c r="Z164" s="252"/>
      <c r="AA164" s="252">
        <v>468.70800000000003</v>
      </c>
      <c r="AB164" s="263">
        <v>486.46199999999999</v>
      </c>
      <c r="AC164" s="263">
        <v>437.47399999999999</v>
      </c>
      <c r="AD164" s="263">
        <v>417.37400000000002</v>
      </c>
      <c r="AE164" s="291"/>
      <c r="AF164" s="170"/>
      <c r="AG164" s="170"/>
      <c r="AH164" s="170"/>
      <c r="AI164" s="170"/>
      <c r="AJ164" s="170"/>
      <c r="AK164" s="170"/>
      <c r="AL164" s="170"/>
      <c r="AM164" s="171"/>
    </row>
    <row r="165" spans="1:39" x14ac:dyDescent="0.25">
      <c r="A165" s="74">
        <v>165</v>
      </c>
      <c r="B165" s="224" t="s">
        <v>350</v>
      </c>
      <c r="C165" s="152"/>
      <c r="D165" s="170"/>
      <c r="E165" s="153"/>
      <c r="F165" s="252"/>
      <c r="G165" s="252"/>
      <c r="H165" s="252"/>
      <c r="I165" s="252"/>
      <c r="J165" s="252"/>
      <c r="K165" s="252"/>
      <c r="L165" s="252"/>
      <c r="M165" s="252"/>
      <c r="N165" s="252"/>
      <c r="O165" s="252"/>
      <c r="P165" s="252"/>
      <c r="Q165" s="252"/>
      <c r="R165" s="252"/>
      <c r="S165" s="252"/>
      <c r="T165" s="252"/>
      <c r="U165" s="418"/>
      <c r="V165" s="418"/>
      <c r="W165" s="418"/>
      <c r="X165" s="252"/>
      <c r="Y165" s="252"/>
      <c r="Z165" s="252"/>
      <c r="AA165" s="252"/>
      <c r="AB165" s="263"/>
      <c r="AC165" s="263"/>
      <c r="AD165" s="263">
        <v>43.46</v>
      </c>
      <c r="AE165" s="263">
        <v>44.715000000000003</v>
      </c>
      <c r="AF165" s="171">
        <v>47.125</v>
      </c>
      <c r="AG165" s="171">
        <v>0</v>
      </c>
      <c r="AH165" s="171">
        <v>46.561999999999998</v>
      </c>
      <c r="AI165" s="171"/>
      <c r="AJ165" s="171"/>
      <c r="AK165" s="171">
        <v>0</v>
      </c>
      <c r="AL165" s="171">
        <v>5.0000000000000001E-3</v>
      </c>
      <c r="AM165" s="171"/>
    </row>
    <row r="166" spans="1:39" x14ac:dyDescent="0.25">
      <c r="A166" s="74">
        <v>166</v>
      </c>
      <c r="B166" s="241" t="s">
        <v>314</v>
      </c>
      <c r="C166" s="152"/>
      <c r="D166" s="170"/>
      <c r="E166" s="153"/>
      <c r="F166" s="329">
        <f t="shared" ref="F166:G166" si="185">SUM(F164:F165)</f>
        <v>0</v>
      </c>
      <c r="G166" s="329">
        <f t="shared" si="185"/>
        <v>0</v>
      </c>
      <c r="H166" s="329">
        <f t="shared" ref="H166" si="186">SUM(H164:H165)</f>
        <v>0</v>
      </c>
      <c r="I166" s="329">
        <f t="shared" ref="I166" si="187">SUM(I164:I165)</f>
        <v>148</v>
      </c>
      <c r="J166" s="329">
        <f t="shared" ref="J166:K166" si="188">SUM(J164:J165)</f>
        <v>0</v>
      </c>
      <c r="K166" s="329">
        <f t="shared" si="188"/>
        <v>0</v>
      </c>
      <c r="L166" s="329">
        <f t="shared" ref="L166:X166" si="189">SUM(L164:L165)</f>
        <v>0</v>
      </c>
      <c r="M166" s="329">
        <f t="shared" si="189"/>
        <v>0</v>
      </c>
      <c r="N166" s="329">
        <f t="shared" si="189"/>
        <v>0</v>
      </c>
      <c r="O166" s="329">
        <f t="shared" si="189"/>
        <v>0</v>
      </c>
      <c r="P166" s="329">
        <f t="shared" si="189"/>
        <v>0</v>
      </c>
      <c r="Q166" s="329">
        <f t="shared" si="189"/>
        <v>1571</v>
      </c>
      <c r="R166" s="329">
        <f t="shared" si="189"/>
        <v>1569</v>
      </c>
      <c r="S166" s="329">
        <f t="shared" si="189"/>
        <v>12</v>
      </c>
      <c r="T166" s="329">
        <f t="shared" si="189"/>
        <v>0</v>
      </c>
      <c r="U166" s="419"/>
      <c r="V166" s="419"/>
      <c r="W166" s="419"/>
      <c r="X166" s="329">
        <f t="shared" si="189"/>
        <v>0</v>
      </c>
      <c r="Y166" s="329">
        <f t="shared" ref="Y166:AD166" si="190">SUM(Y164:Y165)</f>
        <v>130.73699999999999</v>
      </c>
      <c r="Z166" s="329">
        <f t="shared" si="190"/>
        <v>0</v>
      </c>
      <c r="AA166" s="329">
        <f t="shared" si="190"/>
        <v>468.70800000000003</v>
      </c>
      <c r="AB166" s="311">
        <f t="shared" si="190"/>
        <v>486.46199999999999</v>
      </c>
      <c r="AC166" s="311">
        <f t="shared" si="190"/>
        <v>437.47399999999999</v>
      </c>
      <c r="AD166" s="311">
        <f t="shared" si="190"/>
        <v>460.834</v>
      </c>
      <c r="AE166" s="311">
        <f>AE165</f>
        <v>44.715000000000003</v>
      </c>
      <c r="AF166" s="219">
        <f>AF165</f>
        <v>47.125</v>
      </c>
      <c r="AG166" s="219">
        <f>AG165</f>
        <v>0</v>
      </c>
      <c r="AH166" s="219">
        <f t="shared" ref="AH166:AM166" si="191">AH165</f>
        <v>46.561999999999998</v>
      </c>
      <c r="AI166" s="219">
        <f t="shared" si="191"/>
        <v>0</v>
      </c>
      <c r="AJ166" s="219">
        <f t="shared" si="191"/>
        <v>0</v>
      </c>
      <c r="AK166" s="219">
        <f t="shared" si="191"/>
        <v>0</v>
      </c>
      <c r="AL166" s="219">
        <f t="shared" si="191"/>
        <v>5.0000000000000001E-3</v>
      </c>
      <c r="AM166" s="219">
        <f t="shared" si="191"/>
        <v>0</v>
      </c>
    </row>
    <row r="167" spans="1:39" x14ac:dyDescent="0.25">
      <c r="A167" s="74">
        <v>167</v>
      </c>
      <c r="B167" s="239" t="s">
        <v>79</v>
      </c>
      <c r="C167" s="152"/>
      <c r="D167" s="170"/>
      <c r="E167" s="153"/>
      <c r="F167" s="252"/>
      <c r="G167" s="252"/>
      <c r="H167" s="252"/>
      <c r="I167" s="252">
        <v>-26</v>
      </c>
      <c r="J167" s="252"/>
      <c r="K167" s="252"/>
      <c r="L167" s="252"/>
      <c r="M167" s="252"/>
      <c r="N167" s="252"/>
      <c r="O167" s="252"/>
      <c r="P167" s="252"/>
      <c r="Q167" s="252">
        <v>-1</v>
      </c>
      <c r="R167" s="252">
        <v>-2</v>
      </c>
      <c r="S167" s="252">
        <v>-5</v>
      </c>
      <c r="T167" s="252"/>
      <c r="U167" s="418"/>
      <c r="V167" s="418"/>
      <c r="W167" s="418"/>
      <c r="X167" s="252">
        <v>0</v>
      </c>
      <c r="Y167" s="252">
        <v>-22.638000000000002</v>
      </c>
      <c r="Z167" s="252">
        <v>0</v>
      </c>
      <c r="AA167" s="252">
        <v>-207.34100000000001</v>
      </c>
      <c r="AB167" s="263">
        <v>-279.11200000000002</v>
      </c>
      <c r="AC167" s="263">
        <v>-244.05699999999999</v>
      </c>
      <c r="AD167" s="263">
        <v>-248.703</v>
      </c>
      <c r="AE167" s="263">
        <v>-24.574999999999999</v>
      </c>
      <c r="AF167" s="171">
        <v>-28.763999999999999</v>
      </c>
      <c r="AG167" s="171">
        <v>0</v>
      </c>
      <c r="AH167" s="171">
        <v>-8.7379999999999995</v>
      </c>
      <c r="AI167" s="171"/>
      <c r="AJ167" s="171"/>
      <c r="AK167" s="171">
        <v>0</v>
      </c>
      <c r="AL167" s="171">
        <v>0</v>
      </c>
      <c r="AM167" s="171"/>
    </row>
    <row r="168" spans="1:39" x14ac:dyDescent="0.25">
      <c r="A168" s="74">
        <v>168</v>
      </c>
      <c r="B168" s="241" t="s">
        <v>315</v>
      </c>
      <c r="C168" s="152"/>
      <c r="D168" s="170"/>
      <c r="E168" s="153"/>
      <c r="F168" s="329">
        <f t="shared" ref="F168:G168" si="192">F166+F167</f>
        <v>0</v>
      </c>
      <c r="G168" s="329">
        <f t="shared" si="192"/>
        <v>0</v>
      </c>
      <c r="H168" s="329">
        <f t="shared" ref="H168" si="193">H166+H167</f>
        <v>0</v>
      </c>
      <c r="I168" s="329">
        <f t="shared" ref="I168" si="194">I166+I167</f>
        <v>122</v>
      </c>
      <c r="J168" s="329">
        <f t="shared" ref="J168:K168" si="195">J166+J167</f>
        <v>0</v>
      </c>
      <c r="K168" s="329">
        <f t="shared" si="195"/>
        <v>0</v>
      </c>
      <c r="L168" s="329">
        <f t="shared" ref="L168:X168" si="196">L166+L167</f>
        <v>0</v>
      </c>
      <c r="M168" s="329">
        <f t="shared" si="196"/>
        <v>0</v>
      </c>
      <c r="N168" s="329">
        <f t="shared" si="196"/>
        <v>0</v>
      </c>
      <c r="O168" s="329">
        <f t="shared" si="196"/>
        <v>0</v>
      </c>
      <c r="P168" s="329">
        <f t="shared" si="196"/>
        <v>0</v>
      </c>
      <c r="Q168" s="329">
        <f t="shared" si="196"/>
        <v>1570</v>
      </c>
      <c r="R168" s="329">
        <f t="shared" si="196"/>
        <v>1567</v>
      </c>
      <c r="S168" s="329">
        <f t="shared" si="196"/>
        <v>7</v>
      </c>
      <c r="T168" s="329">
        <f t="shared" si="196"/>
        <v>0</v>
      </c>
      <c r="U168" s="419"/>
      <c r="V168" s="419"/>
      <c r="W168" s="419"/>
      <c r="X168" s="329">
        <f t="shared" si="196"/>
        <v>0</v>
      </c>
      <c r="Y168" s="329">
        <f t="shared" ref="Y168:AD168" si="197">Y166+Y167</f>
        <v>108.09899999999999</v>
      </c>
      <c r="Z168" s="329">
        <f t="shared" si="197"/>
        <v>0</v>
      </c>
      <c r="AA168" s="329">
        <f t="shared" si="197"/>
        <v>261.36700000000002</v>
      </c>
      <c r="AB168" s="311">
        <f t="shared" si="197"/>
        <v>207.34999999999997</v>
      </c>
      <c r="AC168" s="311">
        <f t="shared" si="197"/>
        <v>193.417</v>
      </c>
      <c r="AD168" s="311">
        <f t="shared" si="197"/>
        <v>212.131</v>
      </c>
      <c r="AE168" s="311">
        <f>AE166+AE167</f>
        <v>20.140000000000004</v>
      </c>
      <c r="AF168" s="219">
        <f>AF166+AF167</f>
        <v>18.361000000000001</v>
      </c>
      <c r="AG168" s="219">
        <f>AG166+AG167</f>
        <v>0</v>
      </c>
      <c r="AH168" s="219">
        <f t="shared" ref="AH168:AM168" si="198">AH166+AH167</f>
        <v>37.823999999999998</v>
      </c>
      <c r="AI168" s="219">
        <f t="shared" si="198"/>
        <v>0</v>
      </c>
      <c r="AJ168" s="219">
        <f t="shared" si="198"/>
        <v>0</v>
      </c>
      <c r="AK168" s="219">
        <f t="shared" si="198"/>
        <v>0</v>
      </c>
      <c r="AL168" s="219">
        <f t="shared" si="198"/>
        <v>5.0000000000000001E-3</v>
      </c>
      <c r="AM168" s="219">
        <f t="shared" si="198"/>
        <v>0</v>
      </c>
    </row>
    <row r="169" spans="1:39" x14ac:dyDescent="0.25">
      <c r="A169" s="74">
        <v>169</v>
      </c>
      <c r="B169" s="240" t="s">
        <v>333</v>
      </c>
      <c r="C169" s="152"/>
      <c r="D169" s="170"/>
      <c r="E169" s="153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420"/>
      <c r="V169" s="420"/>
      <c r="W169" s="420"/>
      <c r="X169" s="345"/>
      <c r="Y169" s="345"/>
      <c r="Z169" s="345"/>
      <c r="AA169" s="345"/>
      <c r="AB169" s="291"/>
      <c r="AC169" s="291"/>
      <c r="AD169" s="291"/>
      <c r="AE169" s="291"/>
      <c r="AF169" s="170"/>
      <c r="AG169" s="170"/>
      <c r="AH169" s="170"/>
      <c r="AI169" s="170"/>
      <c r="AJ169" s="170"/>
      <c r="AK169" s="170"/>
      <c r="AL169" s="170"/>
      <c r="AM169" s="171"/>
    </row>
    <row r="170" spans="1:39" x14ac:dyDescent="0.25">
      <c r="A170" s="74">
        <v>170</v>
      </c>
      <c r="B170" s="224" t="s">
        <v>313</v>
      </c>
      <c r="C170" s="152"/>
      <c r="D170" s="170"/>
      <c r="E170" s="153"/>
      <c r="F170" s="252">
        <v>165</v>
      </c>
      <c r="G170" s="252">
        <v>165</v>
      </c>
      <c r="H170" s="252">
        <v>165</v>
      </c>
      <c r="I170" s="252">
        <v>165</v>
      </c>
      <c r="J170" s="252">
        <v>171</v>
      </c>
      <c r="K170" s="252">
        <v>171</v>
      </c>
      <c r="L170" s="252">
        <v>171</v>
      </c>
      <c r="M170" s="252">
        <v>171</v>
      </c>
      <c r="N170" s="252">
        <v>178</v>
      </c>
      <c r="O170" s="252">
        <v>178</v>
      </c>
      <c r="P170" s="252">
        <v>178</v>
      </c>
      <c r="Q170" s="252">
        <v>178</v>
      </c>
      <c r="R170" s="252">
        <v>178</v>
      </c>
      <c r="S170" s="252">
        <v>178</v>
      </c>
      <c r="T170" s="252">
        <v>178</v>
      </c>
      <c r="U170" s="418"/>
      <c r="V170" s="418"/>
      <c r="W170" s="418"/>
      <c r="X170" s="252">
        <v>182</v>
      </c>
      <c r="Y170" s="252">
        <v>357.11799999999999</v>
      </c>
      <c r="Z170" s="252">
        <v>184.518</v>
      </c>
      <c r="AA170" s="252">
        <v>184.518</v>
      </c>
      <c r="AB170" s="263">
        <v>184.518</v>
      </c>
      <c r="AC170" s="263">
        <v>184.518</v>
      </c>
      <c r="AD170" s="263">
        <v>184.518</v>
      </c>
      <c r="AE170" s="263">
        <v>184.517</v>
      </c>
      <c r="AF170" s="171">
        <v>498.79399999999998</v>
      </c>
      <c r="AG170" s="171">
        <v>500.88200000000001</v>
      </c>
      <c r="AH170" s="171">
        <v>510.72199999999998</v>
      </c>
      <c r="AI170" s="171">
        <v>576.09500000000003</v>
      </c>
      <c r="AJ170" s="171">
        <v>576.09500000000003</v>
      </c>
      <c r="AK170" s="171">
        <v>552.06600000000003</v>
      </c>
      <c r="AL170" s="171">
        <v>562.06500000000005</v>
      </c>
      <c r="AM170" s="171">
        <v>562.06500000000005</v>
      </c>
    </row>
    <row r="171" spans="1:39" x14ac:dyDescent="0.25">
      <c r="A171" s="74">
        <v>171</v>
      </c>
      <c r="B171" s="224" t="s">
        <v>350</v>
      </c>
      <c r="C171" s="152"/>
      <c r="D171" s="170"/>
      <c r="E171" s="153"/>
      <c r="F171" s="252"/>
      <c r="G171" s="252"/>
      <c r="H171" s="252"/>
      <c r="I171" s="252"/>
      <c r="J171" s="252"/>
      <c r="K171" s="252"/>
      <c r="L171" s="252"/>
      <c r="M171" s="252"/>
      <c r="N171" s="252"/>
      <c r="O171" s="252"/>
      <c r="P171" s="252"/>
      <c r="Q171" s="252"/>
      <c r="R171" s="252"/>
      <c r="S171" s="252"/>
      <c r="T171" s="252"/>
      <c r="U171" s="418"/>
      <c r="V171" s="418"/>
      <c r="W171" s="418"/>
      <c r="X171" s="252"/>
      <c r="Y171" s="252"/>
      <c r="Z171" s="252"/>
      <c r="AA171" s="252"/>
      <c r="AB171" s="263"/>
      <c r="AC171" s="263"/>
      <c r="AD171" s="263"/>
      <c r="AE171" s="263">
        <v>321.06700000000001</v>
      </c>
      <c r="AF171" s="263"/>
      <c r="AG171" s="263">
        <v>0</v>
      </c>
      <c r="AH171" s="263">
        <v>0</v>
      </c>
      <c r="AI171" s="263">
        <v>0</v>
      </c>
      <c r="AJ171" s="263">
        <v>0</v>
      </c>
      <c r="AK171" s="263">
        <v>0</v>
      </c>
      <c r="AL171" s="263">
        <v>53.7</v>
      </c>
      <c r="AM171" s="171"/>
    </row>
    <row r="172" spans="1:39" x14ac:dyDescent="0.25">
      <c r="A172" s="74">
        <v>172</v>
      </c>
      <c r="B172" s="224" t="s">
        <v>349</v>
      </c>
      <c r="C172" s="152"/>
      <c r="D172" s="170"/>
      <c r="E172" s="153"/>
      <c r="F172" s="252"/>
      <c r="G172" s="252"/>
      <c r="H172" s="252"/>
      <c r="I172" s="252"/>
      <c r="J172" s="252"/>
      <c r="K172" s="252"/>
      <c r="L172" s="252"/>
      <c r="M172" s="252"/>
      <c r="N172" s="252"/>
      <c r="O172" s="252"/>
      <c r="P172" s="252"/>
      <c r="Q172" s="252"/>
      <c r="R172" s="252">
        <v>5</v>
      </c>
      <c r="S172" s="252">
        <v>5</v>
      </c>
      <c r="T172" s="252">
        <v>22</v>
      </c>
      <c r="U172" s="418"/>
      <c r="V172" s="418"/>
      <c r="W172" s="418"/>
      <c r="X172" s="252">
        <v>79</v>
      </c>
      <c r="Y172" s="252">
        <v>144.73500000000001</v>
      </c>
      <c r="Z172" s="252">
        <v>526.67200000000003</v>
      </c>
      <c r="AA172" s="252">
        <v>588.24699999999996</v>
      </c>
      <c r="AB172" s="263">
        <v>578.88499999999999</v>
      </c>
      <c r="AC172" s="263">
        <v>749.04899999999998</v>
      </c>
      <c r="AD172" s="263">
        <v>693.88199999999995</v>
      </c>
      <c r="AE172" s="263">
        <v>417.06099999999998</v>
      </c>
      <c r="AF172" s="263">
        <v>515.24</v>
      </c>
      <c r="AG172" s="263">
        <v>515.69799999999998</v>
      </c>
      <c r="AH172" s="263">
        <v>1046.712</v>
      </c>
      <c r="AI172" s="263">
        <v>1138.855</v>
      </c>
      <c r="AJ172" s="263">
        <v>1208.5820000000001</v>
      </c>
      <c r="AK172" s="263">
        <v>1214.6120000000001</v>
      </c>
      <c r="AL172" s="263">
        <v>1367.047</v>
      </c>
      <c r="AM172" s="171">
        <f>190.883+551.276+619.51</f>
        <v>1361.6689999999999</v>
      </c>
    </row>
    <row r="173" spans="1:39" x14ac:dyDescent="0.25">
      <c r="A173" s="74">
        <v>173</v>
      </c>
      <c r="B173" s="241" t="s">
        <v>318</v>
      </c>
      <c r="C173" s="152"/>
      <c r="D173" s="170"/>
      <c r="E173" s="153"/>
      <c r="F173" s="329">
        <f t="shared" ref="F173:G173" si="199">SUM(F170:F172)</f>
        <v>165</v>
      </c>
      <c r="G173" s="329">
        <f t="shared" si="199"/>
        <v>165</v>
      </c>
      <c r="H173" s="329">
        <f t="shared" ref="H173" si="200">SUM(H170:H172)</f>
        <v>165</v>
      </c>
      <c r="I173" s="329">
        <f t="shared" ref="I173" si="201">SUM(I170:I172)</f>
        <v>165</v>
      </c>
      <c r="J173" s="329">
        <f t="shared" ref="J173:K173" si="202">SUM(J170:J172)</f>
        <v>171</v>
      </c>
      <c r="K173" s="329">
        <f t="shared" si="202"/>
        <v>171</v>
      </c>
      <c r="L173" s="329">
        <f t="shared" ref="L173:AG173" si="203">SUM(L170:L172)</f>
        <v>171</v>
      </c>
      <c r="M173" s="329">
        <f t="shared" si="203"/>
        <v>171</v>
      </c>
      <c r="N173" s="329">
        <f t="shared" si="203"/>
        <v>178</v>
      </c>
      <c r="O173" s="329">
        <f t="shared" si="203"/>
        <v>178</v>
      </c>
      <c r="P173" s="329">
        <f t="shared" si="203"/>
        <v>178</v>
      </c>
      <c r="Q173" s="329">
        <f t="shared" si="203"/>
        <v>178</v>
      </c>
      <c r="R173" s="329">
        <f t="shared" si="203"/>
        <v>183</v>
      </c>
      <c r="S173" s="329">
        <f t="shared" si="203"/>
        <v>183</v>
      </c>
      <c r="T173" s="329">
        <f t="shared" si="203"/>
        <v>200</v>
      </c>
      <c r="U173" s="419"/>
      <c r="V173" s="419"/>
      <c r="W173" s="419"/>
      <c r="X173" s="329">
        <f t="shared" si="203"/>
        <v>261</v>
      </c>
      <c r="Y173" s="329">
        <f t="shared" si="203"/>
        <v>501.85300000000001</v>
      </c>
      <c r="Z173" s="329">
        <f t="shared" si="203"/>
        <v>711.19</v>
      </c>
      <c r="AA173" s="329">
        <f t="shared" si="203"/>
        <v>772.76499999999999</v>
      </c>
      <c r="AB173" s="311">
        <f t="shared" si="203"/>
        <v>763.40300000000002</v>
      </c>
      <c r="AC173" s="311">
        <f t="shared" si="203"/>
        <v>933.56700000000001</v>
      </c>
      <c r="AD173" s="311">
        <f t="shared" si="203"/>
        <v>878.4</v>
      </c>
      <c r="AE173" s="311">
        <f t="shared" si="203"/>
        <v>922.64499999999998</v>
      </c>
      <c r="AF173" s="219">
        <f t="shared" si="203"/>
        <v>1014.034</v>
      </c>
      <c r="AG173" s="219">
        <f t="shared" si="203"/>
        <v>1016.5799999999999</v>
      </c>
      <c r="AH173" s="219">
        <f t="shared" ref="AH173:AM173" si="204">SUM(AH170:AH172)</f>
        <v>1557.434</v>
      </c>
      <c r="AI173" s="219">
        <f t="shared" si="204"/>
        <v>1714.95</v>
      </c>
      <c r="AJ173" s="219">
        <f t="shared" si="204"/>
        <v>1784.6770000000001</v>
      </c>
      <c r="AK173" s="219">
        <f t="shared" si="204"/>
        <v>1766.6780000000001</v>
      </c>
      <c r="AL173" s="219">
        <f t="shared" si="204"/>
        <v>1982.8120000000001</v>
      </c>
      <c r="AM173" s="219">
        <f t="shared" si="204"/>
        <v>1923.7339999999999</v>
      </c>
    </row>
    <row r="174" spans="1:39" x14ac:dyDescent="0.25">
      <c r="A174" s="74">
        <v>174</v>
      </c>
      <c r="B174" s="239" t="s">
        <v>79</v>
      </c>
      <c r="C174" s="152"/>
      <c r="D174" s="170"/>
      <c r="E174" s="153"/>
      <c r="F174" s="252">
        <v>-165</v>
      </c>
      <c r="G174" s="252">
        <v>-165</v>
      </c>
      <c r="H174" s="252">
        <v>-165</v>
      </c>
      <c r="I174" s="252">
        <v>-165</v>
      </c>
      <c r="J174" s="252">
        <v>-171</v>
      </c>
      <c r="K174" s="252">
        <v>-171</v>
      </c>
      <c r="L174" s="252">
        <v>-171</v>
      </c>
      <c r="M174" s="252">
        <v>-171</v>
      </c>
      <c r="N174" s="252">
        <v>-178</v>
      </c>
      <c r="O174" s="252">
        <v>-178</v>
      </c>
      <c r="P174" s="252">
        <v>-178</v>
      </c>
      <c r="Q174" s="252">
        <v>-177</v>
      </c>
      <c r="R174" s="252">
        <v>-182</v>
      </c>
      <c r="S174" s="252">
        <v>-182</v>
      </c>
      <c r="T174" s="252">
        <v>-195</v>
      </c>
      <c r="U174" s="418"/>
      <c r="V174" s="418"/>
      <c r="W174" s="418"/>
      <c r="X174" s="252">
        <v>-243</v>
      </c>
      <c r="Y174" s="252">
        <v>-485.63200000000001</v>
      </c>
      <c r="Z174" s="252">
        <v>-532.03800000000001</v>
      </c>
      <c r="AA174" s="252">
        <v>-597.97500000000002</v>
      </c>
      <c r="AB174" s="263">
        <v>-592.68399999999997</v>
      </c>
      <c r="AC174" s="263">
        <v>-713.44200000000001</v>
      </c>
      <c r="AD174" s="263">
        <v>-638.30999999999995</v>
      </c>
      <c r="AE174" s="263">
        <v>-692.02300000000002</v>
      </c>
      <c r="AF174" s="171">
        <v>-778.31899999999996</v>
      </c>
      <c r="AG174" s="171">
        <v>-815.94299999999998</v>
      </c>
      <c r="AH174" s="171">
        <v>-1381.144</v>
      </c>
      <c r="AI174" s="171">
        <v>-1542.568</v>
      </c>
      <c r="AJ174" s="171">
        <v>-1569.623</v>
      </c>
      <c r="AK174" s="171">
        <v>-1460.191</v>
      </c>
      <c r="AL174" s="171">
        <v>-1676.25</v>
      </c>
      <c r="AM174" s="171">
        <v>-1453.373</v>
      </c>
    </row>
    <row r="175" spans="1:39" x14ac:dyDescent="0.25">
      <c r="A175" s="74">
        <v>175</v>
      </c>
      <c r="B175" s="241" t="s">
        <v>319</v>
      </c>
      <c r="C175" s="152"/>
      <c r="D175" s="170"/>
      <c r="E175" s="153"/>
      <c r="F175" s="329">
        <f t="shared" ref="F175:G175" si="205">F173+F174</f>
        <v>0</v>
      </c>
      <c r="G175" s="329">
        <f t="shared" si="205"/>
        <v>0</v>
      </c>
      <c r="H175" s="329">
        <f t="shared" ref="H175" si="206">H173+H174</f>
        <v>0</v>
      </c>
      <c r="I175" s="329">
        <f t="shared" ref="I175" si="207">I173+I174</f>
        <v>0</v>
      </c>
      <c r="J175" s="329">
        <f t="shared" ref="J175:K175" si="208">J173+J174</f>
        <v>0</v>
      </c>
      <c r="K175" s="329">
        <f t="shared" si="208"/>
        <v>0</v>
      </c>
      <c r="L175" s="329">
        <f t="shared" ref="L175:AG175" si="209">L173+L174</f>
        <v>0</v>
      </c>
      <c r="M175" s="329">
        <f t="shared" si="209"/>
        <v>0</v>
      </c>
      <c r="N175" s="329">
        <f t="shared" si="209"/>
        <v>0</v>
      </c>
      <c r="O175" s="329">
        <f t="shared" si="209"/>
        <v>0</v>
      </c>
      <c r="P175" s="329">
        <f t="shared" si="209"/>
        <v>0</v>
      </c>
      <c r="Q175" s="329">
        <f t="shared" si="209"/>
        <v>1</v>
      </c>
      <c r="R175" s="329">
        <f t="shared" si="209"/>
        <v>1</v>
      </c>
      <c r="S175" s="329">
        <f t="shared" si="209"/>
        <v>1</v>
      </c>
      <c r="T175" s="329">
        <f t="shared" si="209"/>
        <v>5</v>
      </c>
      <c r="U175" s="419"/>
      <c r="V175" s="419"/>
      <c r="W175" s="419"/>
      <c r="X175" s="329">
        <f t="shared" si="209"/>
        <v>18</v>
      </c>
      <c r="Y175" s="329">
        <f t="shared" si="209"/>
        <v>16.221000000000004</v>
      </c>
      <c r="Z175" s="329">
        <f t="shared" si="209"/>
        <v>179.15200000000004</v>
      </c>
      <c r="AA175" s="329">
        <f t="shared" si="209"/>
        <v>174.78999999999996</v>
      </c>
      <c r="AB175" s="311">
        <f t="shared" si="209"/>
        <v>170.71900000000005</v>
      </c>
      <c r="AC175" s="311">
        <f t="shared" si="209"/>
        <v>220.125</v>
      </c>
      <c r="AD175" s="311">
        <f t="shared" si="209"/>
        <v>240.09000000000003</v>
      </c>
      <c r="AE175" s="311">
        <f t="shared" si="209"/>
        <v>230.62199999999996</v>
      </c>
      <c r="AF175" s="219">
        <f t="shared" si="209"/>
        <v>235.71500000000003</v>
      </c>
      <c r="AG175" s="219">
        <f t="shared" si="209"/>
        <v>200.63699999999994</v>
      </c>
      <c r="AH175" s="219">
        <f t="shared" ref="AH175:AM175" si="210">AH173+AH174</f>
        <v>176.28999999999996</v>
      </c>
      <c r="AI175" s="219">
        <f t="shared" si="210"/>
        <v>172.38200000000006</v>
      </c>
      <c r="AJ175" s="219">
        <f t="shared" si="210"/>
        <v>215.05400000000009</v>
      </c>
      <c r="AK175" s="219">
        <f t="shared" si="210"/>
        <v>306.48700000000008</v>
      </c>
      <c r="AL175" s="219">
        <f t="shared" si="210"/>
        <v>306.56200000000013</v>
      </c>
      <c r="AM175" s="219">
        <f t="shared" si="210"/>
        <v>470.36099999999988</v>
      </c>
    </row>
    <row r="176" spans="1:39" ht="21" customHeight="1" x14ac:dyDescent="0.25">
      <c r="A176" s="74">
        <v>176</v>
      </c>
      <c r="B176" s="225" t="s">
        <v>368</v>
      </c>
      <c r="C176" s="188"/>
      <c r="D176" s="185"/>
      <c r="E176" s="242"/>
      <c r="F176" s="329">
        <f t="shared" ref="F176:H176" si="211">SUM(F160,F166,F173)</f>
        <v>504</v>
      </c>
      <c r="G176" s="329">
        <f t="shared" si="211"/>
        <v>548</v>
      </c>
      <c r="H176" s="329">
        <f t="shared" si="211"/>
        <v>647</v>
      </c>
      <c r="I176" s="329">
        <f t="shared" ref="I176:J176" si="212">SUM(I160,I166,I173)</f>
        <v>694</v>
      </c>
      <c r="J176" s="329">
        <f t="shared" si="212"/>
        <v>618</v>
      </c>
      <c r="K176" s="329">
        <f t="shared" ref="K176" si="213">SUM(K160,K166,K173)</f>
        <v>632</v>
      </c>
      <c r="L176" s="329">
        <f t="shared" ref="L176:AJ176" si="214">SUM(L160,L166,L173)</f>
        <v>700</v>
      </c>
      <c r="M176" s="329">
        <f t="shared" si="214"/>
        <v>871</v>
      </c>
      <c r="N176" s="329">
        <f t="shared" si="214"/>
        <v>1019</v>
      </c>
      <c r="O176" s="329">
        <f t="shared" si="214"/>
        <v>1131</v>
      </c>
      <c r="P176" s="329">
        <f t="shared" si="214"/>
        <v>2952</v>
      </c>
      <c r="Q176" s="329">
        <f t="shared" si="214"/>
        <v>2801</v>
      </c>
      <c r="R176" s="329">
        <f t="shared" si="214"/>
        <v>2561</v>
      </c>
      <c r="S176" s="329">
        <f t="shared" si="214"/>
        <v>2691</v>
      </c>
      <c r="T176" s="329">
        <f t="shared" si="214"/>
        <v>3713</v>
      </c>
      <c r="U176" s="419"/>
      <c r="V176" s="419"/>
      <c r="W176" s="419"/>
      <c r="X176" s="329">
        <f t="shared" si="214"/>
        <v>3351</v>
      </c>
      <c r="Y176" s="329">
        <f t="shared" si="214"/>
        <v>3423.8830000000003</v>
      </c>
      <c r="Z176" s="329">
        <f t="shared" si="214"/>
        <v>4011.4720000000002</v>
      </c>
      <c r="AA176" s="329">
        <f t="shared" si="214"/>
        <v>3709.596</v>
      </c>
      <c r="AB176" s="311">
        <f t="shared" si="214"/>
        <v>4362.3280000000004</v>
      </c>
      <c r="AC176" s="311">
        <f t="shared" si="214"/>
        <v>4649.5990000000002</v>
      </c>
      <c r="AD176" s="311">
        <f t="shared" si="214"/>
        <v>3977.0140000000001</v>
      </c>
      <c r="AE176" s="311">
        <f t="shared" si="214"/>
        <v>4113.4660000000003</v>
      </c>
      <c r="AF176" s="219">
        <f t="shared" si="214"/>
        <v>3806.7360000000003</v>
      </c>
      <c r="AG176" s="219">
        <f t="shared" si="214"/>
        <v>4622.7709999999997</v>
      </c>
      <c r="AH176" s="219">
        <f t="shared" si="214"/>
        <v>5065.5659999999998</v>
      </c>
      <c r="AI176" s="219">
        <f t="shared" si="214"/>
        <v>5033.1610000000001</v>
      </c>
      <c r="AJ176" s="219">
        <f t="shared" si="214"/>
        <v>5381.1200000000008</v>
      </c>
      <c r="AK176" s="219">
        <f t="shared" ref="AK176:AM177" si="215">SUM(AK160,AK166,AK173)</f>
        <v>5234.9769999999999</v>
      </c>
      <c r="AL176" s="219">
        <f t="shared" si="215"/>
        <v>5134.1109999999999</v>
      </c>
      <c r="AM176" s="219">
        <f t="shared" si="215"/>
        <v>4323.0370000000003</v>
      </c>
    </row>
    <row r="177" spans="1:39" x14ac:dyDescent="0.25">
      <c r="A177" s="74">
        <v>177</v>
      </c>
      <c r="B177" s="149" t="s">
        <v>79</v>
      </c>
      <c r="C177" s="152"/>
      <c r="D177" s="170"/>
      <c r="E177" s="153"/>
      <c r="F177" s="252">
        <f t="shared" ref="F177:H177" si="216">SUM(F161,F167,F174)</f>
        <v>-170</v>
      </c>
      <c r="G177" s="252">
        <f t="shared" si="216"/>
        <v>-171</v>
      </c>
      <c r="H177" s="252">
        <f t="shared" si="216"/>
        <v>-173</v>
      </c>
      <c r="I177" s="252">
        <f t="shared" ref="I177" si="217">SUM(I161,I167,I174)</f>
        <v>-198</v>
      </c>
      <c r="J177" s="252">
        <f t="shared" ref="J177:K177" si="218">SUM(J161,J167,J174)</f>
        <v>-180</v>
      </c>
      <c r="K177" s="252">
        <f t="shared" si="218"/>
        <v>-180</v>
      </c>
      <c r="L177" s="252">
        <f t="shared" ref="L177:AJ177" si="219">SUM(L161,L167,L174)</f>
        <v>-182</v>
      </c>
      <c r="M177" s="252">
        <f t="shared" si="219"/>
        <v>-184</v>
      </c>
      <c r="N177" s="252">
        <f t="shared" si="219"/>
        <v>-193</v>
      </c>
      <c r="O177" s="252">
        <f t="shared" si="219"/>
        <v>-195</v>
      </c>
      <c r="P177" s="252">
        <f t="shared" si="219"/>
        <v>-200</v>
      </c>
      <c r="Q177" s="252">
        <f t="shared" si="219"/>
        <v>-198</v>
      </c>
      <c r="R177" s="252">
        <f t="shared" si="219"/>
        <v>-200</v>
      </c>
      <c r="S177" s="252">
        <f t="shared" si="219"/>
        <v>-204</v>
      </c>
      <c r="T177" s="252">
        <f t="shared" si="219"/>
        <v>-226</v>
      </c>
      <c r="U177" s="418"/>
      <c r="V177" s="418"/>
      <c r="W177" s="418"/>
      <c r="X177" s="252">
        <f t="shared" si="219"/>
        <v>-297</v>
      </c>
      <c r="Y177" s="252">
        <f t="shared" si="219"/>
        <v>-561.649</v>
      </c>
      <c r="Z177" s="252">
        <f t="shared" si="219"/>
        <v>-599.30200000000002</v>
      </c>
      <c r="AA177" s="252">
        <f t="shared" si="219"/>
        <v>-842.49800000000005</v>
      </c>
      <c r="AB177" s="263">
        <f t="shared" si="219"/>
        <v>-924.56200000000001</v>
      </c>
      <c r="AC177" s="263">
        <f t="shared" si="219"/>
        <v>-1105.92</v>
      </c>
      <c r="AD177" s="263">
        <f t="shared" si="219"/>
        <v>-1008.516</v>
      </c>
      <c r="AE177" s="263">
        <f t="shared" si="219"/>
        <v>-900.98800000000006</v>
      </c>
      <c r="AF177" s="171">
        <f t="shared" si="219"/>
        <v>-951.35799999999995</v>
      </c>
      <c r="AG177" s="171">
        <f t="shared" si="219"/>
        <v>-878.26199999999994</v>
      </c>
      <c r="AH177" s="171">
        <f t="shared" si="219"/>
        <v>-1452.7070000000001</v>
      </c>
      <c r="AI177" s="171">
        <f t="shared" si="219"/>
        <v>-1604.6479999999999</v>
      </c>
      <c r="AJ177" s="171">
        <f t="shared" si="219"/>
        <v>-1652.008</v>
      </c>
      <c r="AK177" s="171">
        <f t="shared" si="215"/>
        <v>-1520.5160000000001</v>
      </c>
      <c r="AL177" s="171">
        <f t="shared" si="215"/>
        <v>-1731.0429999999999</v>
      </c>
      <c r="AM177" s="171">
        <f t="shared" si="215"/>
        <v>-1491.8320000000001</v>
      </c>
    </row>
    <row r="178" spans="1:39" x14ac:dyDescent="0.25">
      <c r="A178" s="74">
        <v>178</v>
      </c>
      <c r="B178" s="243" t="s">
        <v>369</v>
      </c>
      <c r="C178" s="188"/>
      <c r="D178" s="185"/>
      <c r="E178" s="242"/>
      <c r="F178" s="329">
        <f t="shared" ref="F178:H178" si="220">F176+F177</f>
        <v>334</v>
      </c>
      <c r="G178" s="329">
        <f t="shared" si="220"/>
        <v>377</v>
      </c>
      <c r="H178" s="329">
        <f t="shared" si="220"/>
        <v>474</v>
      </c>
      <c r="I178" s="329">
        <f t="shared" ref="I178:J178" si="221">I176+I177</f>
        <v>496</v>
      </c>
      <c r="J178" s="329">
        <f t="shared" si="221"/>
        <v>438</v>
      </c>
      <c r="K178" s="329">
        <f t="shared" ref="K178" si="222">K176+K177</f>
        <v>452</v>
      </c>
      <c r="L178" s="329">
        <f t="shared" ref="L178:AG178" si="223">L176+L177</f>
        <v>518</v>
      </c>
      <c r="M178" s="329">
        <f t="shared" si="223"/>
        <v>687</v>
      </c>
      <c r="N178" s="329">
        <f t="shared" si="223"/>
        <v>826</v>
      </c>
      <c r="O178" s="329">
        <f t="shared" si="223"/>
        <v>936</v>
      </c>
      <c r="P178" s="329">
        <f t="shared" si="223"/>
        <v>2752</v>
      </c>
      <c r="Q178" s="329">
        <f t="shared" si="223"/>
        <v>2603</v>
      </c>
      <c r="R178" s="329">
        <f t="shared" si="223"/>
        <v>2361</v>
      </c>
      <c r="S178" s="329">
        <f t="shared" si="223"/>
        <v>2487</v>
      </c>
      <c r="T178" s="329">
        <f t="shared" si="223"/>
        <v>3487</v>
      </c>
      <c r="U178" s="419"/>
      <c r="V178" s="419"/>
      <c r="W178" s="419"/>
      <c r="X178" s="329">
        <f t="shared" si="223"/>
        <v>3054</v>
      </c>
      <c r="Y178" s="329">
        <f t="shared" si="223"/>
        <v>2862.2340000000004</v>
      </c>
      <c r="Z178" s="329">
        <f t="shared" si="223"/>
        <v>3412.17</v>
      </c>
      <c r="AA178" s="329">
        <f t="shared" si="223"/>
        <v>2867.098</v>
      </c>
      <c r="AB178" s="311">
        <f t="shared" si="223"/>
        <v>3437.7660000000005</v>
      </c>
      <c r="AC178" s="311">
        <f t="shared" si="223"/>
        <v>3543.6790000000001</v>
      </c>
      <c r="AD178" s="311">
        <f t="shared" si="223"/>
        <v>2968.498</v>
      </c>
      <c r="AE178" s="311">
        <f t="shared" si="223"/>
        <v>3212.4780000000001</v>
      </c>
      <c r="AF178" s="219">
        <f t="shared" si="223"/>
        <v>2855.3780000000006</v>
      </c>
      <c r="AG178" s="219">
        <f t="shared" si="223"/>
        <v>3744.509</v>
      </c>
      <c r="AH178" s="219">
        <f t="shared" ref="AH178:AM178" si="224">AH176+AH177</f>
        <v>3612.8589999999995</v>
      </c>
      <c r="AI178" s="219">
        <f t="shared" si="224"/>
        <v>3428.5129999999999</v>
      </c>
      <c r="AJ178" s="219">
        <f t="shared" si="224"/>
        <v>3729.112000000001</v>
      </c>
      <c r="AK178" s="219">
        <f t="shared" si="224"/>
        <v>3714.4609999999998</v>
      </c>
      <c r="AL178" s="219">
        <f t="shared" si="224"/>
        <v>3403.0680000000002</v>
      </c>
      <c r="AM178" s="219">
        <f t="shared" si="224"/>
        <v>2831.2049999999999</v>
      </c>
    </row>
    <row r="179" spans="1:39" x14ac:dyDescent="0.25">
      <c r="A179" s="74">
        <v>179</v>
      </c>
      <c r="B179" s="14"/>
      <c r="C179" s="93"/>
      <c r="D179" s="88"/>
      <c r="E179" s="94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291"/>
      <c r="AC179" s="291"/>
      <c r="AD179" s="291"/>
      <c r="AE179" s="291"/>
      <c r="AF179" s="88"/>
      <c r="AG179" s="88"/>
      <c r="AH179" s="88"/>
      <c r="AI179" s="88"/>
      <c r="AJ179" s="88"/>
      <c r="AK179" s="88"/>
      <c r="AL179" s="88"/>
      <c r="AM179" s="85"/>
    </row>
    <row r="180" spans="1:39" ht="27" customHeight="1" x14ac:dyDescent="0.25">
      <c r="A180" s="74">
        <v>180</v>
      </c>
      <c r="B180" s="230" t="s">
        <v>324</v>
      </c>
      <c r="C180" s="233"/>
      <c r="D180" s="235"/>
      <c r="E180" s="234"/>
      <c r="F180" s="347"/>
      <c r="G180" s="347"/>
      <c r="H180" s="347"/>
      <c r="I180" s="347"/>
      <c r="J180" s="347"/>
      <c r="K180" s="347"/>
      <c r="L180" s="347"/>
      <c r="M180" s="347"/>
      <c r="N180" s="347"/>
      <c r="O180" s="347"/>
      <c r="P180" s="347"/>
      <c r="Q180" s="347"/>
      <c r="R180" s="347"/>
      <c r="S180" s="347"/>
      <c r="T180" s="347"/>
      <c r="U180" s="347"/>
      <c r="V180" s="347"/>
      <c r="W180" s="347"/>
      <c r="X180" s="347"/>
      <c r="Y180" s="347"/>
      <c r="Z180" s="347"/>
      <c r="AA180" s="347"/>
      <c r="AB180" s="312"/>
      <c r="AC180" s="312"/>
      <c r="AD180" s="312"/>
      <c r="AE180" s="312"/>
      <c r="AF180" s="235"/>
      <c r="AG180" s="235"/>
      <c r="AH180" s="235"/>
      <c r="AI180" s="235"/>
      <c r="AJ180" s="235"/>
      <c r="AK180" s="235"/>
      <c r="AL180" s="235"/>
      <c r="AM180" s="235"/>
    </row>
    <row r="181" spans="1:39" x14ac:dyDescent="0.25">
      <c r="A181" s="74">
        <v>181</v>
      </c>
      <c r="B181" s="236" t="s">
        <v>331</v>
      </c>
      <c r="C181" s="231"/>
      <c r="D181" s="223"/>
      <c r="E181" s="232"/>
      <c r="F181" s="348"/>
      <c r="G181" s="348"/>
      <c r="H181" s="348"/>
      <c r="I181" s="348"/>
      <c r="J181" s="348"/>
      <c r="K181" s="348"/>
      <c r="L181" s="348"/>
      <c r="M181" s="348"/>
      <c r="N181" s="348"/>
      <c r="O181" s="348"/>
      <c r="P181" s="348"/>
      <c r="Q181" s="348"/>
      <c r="R181" s="348"/>
      <c r="S181" s="348"/>
      <c r="T181" s="348"/>
      <c r="U181" s="348"/>
      <c r="V181" s="348"/>
      <c r="W181" s="348"/>
      <c r="X181" s="348"/>
      <c r="Y181" s="348"/>
      <c r="Z181" s="348"/>
      <c r="AA181" s="348"/>
      <c r="AB181" s="337"/>
      <c r="AC181" s="337"/>
      <c r="AD181" s="310"/>
      <c r="AE181" s="310"/>
      <c r="AF181" s="223"/>
      <c r="AG181" s="223"/>
      <c r="AH181" s="223"/>
      <c r="AI181" s="223"/>
      <c r="AJ181" s="223"/>
      <c r="AK181" s="223"/>
      <c r="AL181" s="223"/>
      <c r="AM181" s="223"/>
    </row>
    <row r="182" spans="1:39" x14ac:dyDescent="0.25">
      <c r="A182" s="74">
        <v>182</v>
      </c>
      <c r="B182" s="224" t="s">
        <v>313</v>
      </c>
      <c r="C182" s="152"/>
      <c r="D182" s="170"/>
      <c r="E182" s="153"/>
      <c r="F182" s="252">
        <v>33355</v>
      </c>
      <c r="G182" s="252">
        <v>32335</v>
      </c>
      <c r="H182" s="252">
        <v>32555</v>
      </c>
      <c r="I182" s="252">
        <v>31418</v>
      </c>
      <c r="J182" s="252">
        <v>30971</v>
      </c>
      <c r="K182" s="252">
        <v>31349</v>
      </c>
      <c r="L182" s="252">
        <v>33198</v>
      </c>
      <c r="M182" s="252">
        <v>34172</v>
      </c>
      <c r="N182" s="252">
        <v>34891</v>
      </c>
      <c r="O182" s="252">
        <v>34900</v>
      </c>
      <c r="P182" s="252">
        <v>35822</v>
      </c>
      <c r="Q182" s="252">
        <v>36589</v>
      </c>
      <c r="R182" s="252">
        <v>35352</v>
      </c>
      <c r="S182" s="252">
        <v>34643</v>
      </c>
      <c r="T182" s="252">
        <v>35542</v>
      </c>
      <c r="U182" s="418"/>
      <c r="V182" s="418"/>
      <c r="W182" s="418"/>
      <c r="X182" s="252">
        <v>38195</v>
      </c>
      <c r="Y182" s="252">
        <v>35795.434000000001</v>
      </c>
      <c r="Z182" s="252">
        <v>34124.073000000004</v>
      </c>
      <c r="AA182" s="252">
        <v>30095.491000000002</v>
      </c>
      <c r="AB182" s="263">
        <v>28757.606</v>
      </c>
      <c r="AC182" s="263">
        <v>28598.190999999999</v>
      </c>
      <c r="AD182" s="263">
        <v>28439.028999999999</v>
      </c>
      <c r="AE182" s="263">
        <v>30188.767</v>
      </c>
      <c r="AF182" s="171">
        <v>29327.851999999999</v>
      </c>
      <c r="AG182" s="171">
        <v>27761.668999999998</v>
      </c>
      <c r="AH182" s="171">
        <v>25930.848999999998</v>
      </c>
      <c r="AI182" s="171">
        <v>23669.287</v>
      </c>
      <c r="AJ182" s="171">
        <v>22687.184000000001</v>
      </c>
      <c r="AK182" s="171">
        <v>20792.091</v>
      </c>
      <c r="AL182" s="171">
        <v>18716.542999999998</v>
      </c>
      <c r="AM182" s="171">
        <v>16579.422999999999</v>
      </c>
    </row>
    <row r="183" spans="1:39" x14ac:dyDescent="0.25">
      <c r="A183" s="74">
        <v>183</v>
      </c>
      <c r="B183" s="224" t="s">
        <v>350</v>
      </c>
      <c r="C183" s="152"/>
      <c r="D183" s="170"/>
      <c r="E183" s="153"/>
      <c r="F183" s="252">
        <v>719</v>
      </c>
      <c r="G183" s="252">
        <v>653</v>
      </c>
      <c r="H183" s="252">
        <v>226</v>
      </c>
      <c r="I183" s="252">
        <v>906</v>
      </c>
      <c r="J183" s="252">
        <v>786</v>
      </c>
      <c r="K183" s="252">
        <v>700</v>
      </c>
      <c r="L183" s="252">
        <v>234</v>
      </c>
      <c r="M183" s="252">
        <v>824</v>
      </c>
      <c r="N183" s="252">
        <v>390</v>
      </c>
      <c r="O183" s="252">
        <v>370</v>
      </c>
      <c r="P183" s="252">
        <v>249</v>
      </c>
      <c r="Q183" s="252">
        <v>399</v>
      </c>
      <c r="R183" s="252">
        <v>589</v>
      </c>
      <c r="S183" s="252">
        <v>667</v>
      </c>
      <c r="T183" s="252">
        <v>381</v>
      </c>
      <c r="U183" s="418"/>
      <c r="V183" s="418"/>
      <c r="W183" s="418"/>
      <c r="X183" s="252">
        <v>456</v>
      </c>
      <c r="Y183" s="252">
        <v>761.75</v>
      </c>
      <c r="Z183" s="252">
        <v>769.72</v>
      </c>
      <c r="AA183" s="252">
        <v>634.46500000000003</v>
      </c>
      <c r="AB183" s="263">
        <v>440.726</v>
      </c>
      <c r="AC183" s="263">
        <v>851.77599999999995</v>
      </c>
      <c r="AD183" s="263">
        <v>966.08100000000002</v>
      </c>
      <c r="AE183" s="263">
        <v>533.53800000000001</v>
      </c>
      <c r="AF183" s="171">
        <v>621.553</v>
      </c>
      <c r="AG183" s="171">
        <v>915.702</v>
      </c>
      <c r="AH183" s="171">
        <v>481.10700000000003</v>
      </c>
      <c r="AI183" s="171">
        <v>376.56799999999998</v>
      </c>
      <c r="AJ183" s="171">
        <v>246.75399999999999</v>
      </c>
      <c r="AK183" s="171">
        <v>369.803</v>
      </c>
      <c r="AL183" s="171">
        <v>307.52600000000001</v>
      </c>
      <c r="AM183" s="171">
        <v>276.98900000000003</v>
      </c>
    </row>
    <row r="184" spans="1:39" x14ac:dyDescent="0.25">
      <c r="A184" s="74">
        <v>184</v>
      </c>
      <c r="B184" s="238" t="s">
        <v>316</v>
      </c>
      <c r="C184" s="152"/>
      <c r="D184" s="170"/>
      <c r="E184" s="153"/>
      <c r="F184" s="329">
        <f t="shared" ref="F184:G184" si="225">F182+F183</f>
        <v>34074</v>
      </c>
      <c r="G184" s="329">
        <f t="shared" si="225"/>
        <v>32988</v>
      </c>
      <c r="H184" s="329">
        <f t="shared" ref="H184" si="226">H182+H183</f>
        <v>32781</v>
      </c>
      <c r="I184" s="329">
        <f t="shared" ref="I184" si="227">I182+I183</f>
        <v>32324</v>
      </c>
      <c r="J184" s="329">
        <f t="shared" ref="J184:K184" si="228">J182+J183</f>
        <v>31757</v>
      </c>
      <c r="K184" s="329">
        <f t="shared" si="228"/>
        <v>32049</v>
      </c>
      <c r="L184" s="329">
        <f t="shared" ref="L184:AG184" si="229">L182+L183</f>
        <v>33432</v>
      </c>
      <c r="M184" s="329">
        <f t="shared" si="229"/>
        <v>34996</v>
      </c>
      <c r="N184" s="329">
        <f t="shared" si="229"/>
        <v>35281</v>
      </c>
      <c r="O184" s="329">
        <f t="shared" si="229"/>
        <v>35270</v>
      </c>
      <c r="P184" s="329">
        <f t="shared" si="229"/>
        <v>36071</v>
      </c>
      <c r="Q184" s="329">
        <f t="shared" si="229"/>
        <v>36988</v>
      </c>
      <c r="R184" s="329">
        <f t="shared" si="229"/>
        <v>35941</v>
      </c>
      <c r="S184" s="329">
        <f t="shared" si="229"/>
        <v>35310</v>
      </c>
      <c r="T184" s="329">
        <f t="shared" si="229"/>
        <v>35923</v>
      </c>
      <c r="U184" s="419"/>
      <c r="V184" s="419"/>
      <c r="W184" s="419"/>
      <c r="X184" s="329">
        <f t="shared" si="229"/>
        <v>38651</v>
      </c>
      <c r="Y184" s="329">
        <f t="shared" si="229"/>
        <v>36557.184000000001</v>
      </c>
      <c r="Z184" s="329">
        <f t="shared" si="229"/>
        <v>34893.793000000005</v>
      </c>
      <c r="AA184" s="329">
        <f t="shared" si="229"/>
        <v>30729.956000000002</v>
      </c>
      <c r="AB184" s="311">
        <f t="shared" si="229"/>
        <v>29198.331999999999</v>
      </c>
      <c r="AC184" s="311">
        <f t="shared" si="229"/>
        <v>29449.967000000001</v>
      </c>
      <c r="AD184" s="311">
        <f t="shared" si="229"/>
        <v>29405.109999999997</v>
      </c>
      <c r="AE184" s="311">
        <f t="shared" si="229"/>
        <v>30722.305</v>
      </c>
      <c r="AF184" s="219">
        <f t="shared" si="229"/>
        <v>29949.404999999999</v>
      </c>
      <c r="AG184" s="219">
        <f t="shared" si="229"/>
        <v>28677.370999999999</v>
      </c>
      <c r="AH184" s="219">
        <f t="shared" ref="AH184:AM184" si="230">AH182+AH183</f>
        <v>26411.955999999998</v>
      </c>
      <c r="AI184" s="219">
        <f t="shared" si="230"/>
        <v>24045.855</v>
      </c>
      <c r="AJ184" s="219">
        <f t="shared" si="230"/>
        <v>22933.938000000002</v>
      </c>
      <c r="AK184" s="219">
        <f t="shared" si="230"/>
        <v>21161.894</v>
      </c>
      <c r="AL184" s="219">
        <f t="shared" si="230"/>
        <v>19024.069</v>
      </c>
      <c r="AM184" s="219">
        <f t="shared" si="230"/>
        <v>16856.412</v>
      </c>
    </row>
    <row r="185" spans="1:39" x14ac:dyDescent="0.25">
      <c r="A185" s="74">
        <v>185</v>
      </c>
      <c r="B185" s="239" t="s">
        <v>79</v>
      </c>
      <c r="C185" s="152"/>
      <c r="D185" s="170"/>
      <c r="E185" s="153"/>
      <c r="F185" s="252">
        <v>-1030</v>
      </c>
      <c r="G185" s="252">
        <v>-997</v>
      </c>
      <c r="H185" s="252">
        <v>-999</v>
      </c>
      <c r="I185" s="252">
        <v>-961</v>
      </c>
      <c r="J185" s="252">
        <v>-945</v>
      </c>
      <c r="K185" s="252">
        <v>-920</v>
      </c>
      <c r="L185" s="252">
        <v>-966</v>
      </c>
      <c r="M185" s="252">
        <v>-997</v>
      </c>
      <c r="N185" s="252">
        <v>-1000</v>
      </c>
      <c r="O185" s="252">
        <v>-1168</v>
      </c>
      <c r="P185" s="252">
        <v>-1206</v>
      </c>
      <c r="Q185" s="252">
        <v>-1352</v>
      </c>
      <c r="R185" s="252">
        <v>-1304</v>
      </c>
      <c r="S185" s="252">
        <v>-1301</v>
      </c>
      <c r="T185" s="252">
        <v>-1758</v>
      </c>
      <c r="U185" s="418"/>
      <c r="V185" s="418"/>
      <c r="W185" s="418"/>
      <c r="X185" s="252">
        <v>-1252</v>
      </c>
      <c r="Y185" s="252">
        <v>-1206.22</v>
      </c>
      <c r="Z185" s="252">
        <v>-1219.694</v>
      </c>
      <c r="AA185" s="252">
        <v>-1196.2180000000001</v>
      </c>
      <c r="AB185" s="263">
        <v>-1135.078</v>
      </c>
      <c r="AC185" s="263">
        <v>-877.51200000000006</v>
      </c>
      <c r="AD185" s="263">
        <v>-876.64</v>
      </c>
      <c r="AE185" s="263">
        <v>-653.06999999999994</v>
      </c>
      <c r="AF185" s="171">
        <v>-537.69399999999996</v>
      </c>
      <c r="AG185" s="171">
        <v>-360.92899999999997</v>
      </c>
      <c r="AH185" s="171">
        <v>-331.89200000000005</v>
      </c>
      <c r="AI185" s="171">
        <v>-301.62799999999999</v>
      </c>
      <c r="AJ185" s="171">
        <v>-203.66499999999999</v>
      </c>
      <c r="AK185" s="171">
        <v>-307.05400000000003</v>
      </c>
      <c r="AL185" s="171">
        <v>-277.53899999999999</v>
      </c>
      <c r="AM185" s="171">
        <v>-243.191</v>
      </c>
    </row>
    <row r="186" spans="1:39" x14ac:dyDescent="0.25">
      <c r="A186" s="74">
        <v>186</v>
      </c>
      <c r="B186" s="238" t="s">
        <v>317</v>
      </c>
      <c r="C186" s="152"/>
      <c r="D186" s="170"/>
      <c r="E186" s="153"/>
      <c r="F186" s="329">
        <f t="shared" ref="F186:G186" si="231">F184+F185</f>
        <v>33044</v>
      </c>
      <c r="G186" s="329">
        <f t="shared" si="231"/>
        <v>31991</v>
      </c>
      <c r="H186" s="329">
        <f t="shared" ref="H186" si="232">H184+H185</f>
        <v>31782</v>
      </c>
      <c r="I186" s="329">
        <f t="shared" ref="I186" si="233">I184+I185</f>
        <v>31363</v>
      </c>
      <c r="J186" s="329">
        <f t="shared" ref="J186:K186" si="234">J184+J185</f>
        <v>30812</v>
      </c>
      <c r="K186" s="329">
        <f t="shared" si="234"/>
        <v>31129</v>
      </c>
      <c r="L186" s="329">
        <f t="shared" ref="L186:AG186" si="235">L184+L185</f>
        <v>32466</v>
      </c>
      <c r="M186" s="329">
        <f t="shared" si="235"/>
        <v>33999</v>
      </c>
      <c r="N186" s="329">
        <f t="shared" si="235"/>
        <v>34281</v>
      </c>
      <c r="O186" s="329">
        <f t="shared" si="235"/>
        <v>34102</v>
      </c>
      <c r="P186" s="329">
        <f t="shared" si="235"/>
        <v>34865</v>
      </c>
      <c r="Q186" s="329">
        <f t="shared" si="235"/>
        <v>35636</v>
      </c>
      <c r="R186" s="329">
        <f t="shared" si="235"/>
        <v>34637</v>
      </c>
      <c r="S186" s="329">
        <f t="shared" si="235"/>
        <v>34009</v>
      </c>
      <c r="T186" s="329">
        <f t="shared" si="235"/>
        <v>34165</v>
      </c>
      <c r="U186" s="419"/>
      <c r="V186" s="419"/>
      <c r="W186" s="419"/>
      <c r="X186" s="329">
        <f t="shared" si="235"/>
        <v>37399</v>
      </c>
      <c r="Y186" s="329">
        <f t="shared" si="235"/>
        <v>35350.964</v>
      </c>
      <c r="Z186" s="329">
        <f t="shared" si="235"/>
        <v>33674.099000000002</v>
      </c>
      <c r="AA186" s="329">
        <f t="shared" si="235"/>
        <v>29533.738000000001</v>
      </c>
      <c r="AB186" s="311">
        <f t="shared" si="235"/>
        <v>28063.253999999997</v>
      </c>
      <c r="AC186" s="311">
        <f t="shared" si="235"/>
        <v>28572.455000000002</v>
      </c>
      <c r="AD186" s="311">
        <f t="shared" si="235"/>
        <v>28528.469999999998</v>
      </c>
      <c r="AE186" s="311">
        <f t="shared" si="235"/>
        <v>30069.235000000001</v>
      </c>
      <c r="AF186" s="219">
        <f t="shared" si="235"/>
        <v>29411.710999999999</v>
      </c>
      <c r="AG186" s="219">
        <f t="shared" si="235"/>
        <v>28316.441999999999</v>
      </c>
      <c r="AH186" s="219">
        <f t="shared" ref="AH186:AM186" si="236">AH184+AH185</f>
        <v>26080.063999999998</v>
      </c>
      <c r="AI186" s="219">
        <f t="shared" si="236"/>
        <v>23744.226999999999</v>
      </c>
      <c r="AJ186" s="219">
        <f t="shared" si="236"/>
        <v>22730.273000000001</v>
      </c>
      <c r="AK186" s="219">
        <f t="shared" si="236"/>
        <v>20854.84</v>
      </c>
      <c r="AL186" s="219">
        <f t="shared" si="236"/>
        <v>18746.53</v>
      </c>
      <c r="AM186" s="219">
        <f t="shared" si="236"/>
        <v>16613.221000000001</v>
      </c>
    </row>
    <row r="187" spans="1:39" x14ac:dyDescent="0.25">
      <c r="A187" s="74">
        <v>187</v>
      </c>
      <c r="B187" s="240" t="s">
        <v>332</v>
      </c>
      <c r="C187" s="152"/>
      <c r="D187" s="170"/>
      <c r="E187" s="153"/>
      <c r="F187" s="345"/>
      <c r="G187" s="345"/>
      <c r="H187" s="345"/>
      <c r="I187" s="345"/>
      <c r="J187" s="345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420"/>
      <c r="V187" s="420"/>
      <c r="W187" s="420"/>
      <c r="X187" s="345"/>
      <c r="Y187" s="345"/>
      <c r="Z187" s="345"/>
      <c r="AA187" s="345"/>
      <c r="AB187" s="291"/>
      <c r="AC187" s="291"/>
      <c r="AD187" s="291"/>
      <c r="AE187" s="291"/>
      <c r="AF187" s="170"/>
      <c r="AG187" s="170"/>
      <c r="AH187" s="170"/>
      <c r="AI187" s="170"/>
      <c r="AJ187" s="170"/>
      <c r="AK187" s="170"/>
      <c r="AL187" s="170"/>
      <c r="AM187" s="171"/>
    </row>
    <row r="188" spans="1:39" x14ac:dyDescent="0.25">
      <c r="A188" s="74">
        <v>188</v>
      </c>
      <c r="B188" s="224" t="s">
        <v>313</v>
      </c>
      <c r="C188" s="152"/>
      <c r="D188" s="170"/>
      <c r="E188" s="153"/>
      <c r="F188" s="252">
        <v>463</v>
      </c>
      <c r="G188" s="252">
        <v>431</v>
      </c>
      <c r="H188" s="252">
        <v>527</v>
      </c>
      <c r="I188" s="252">
        <v>433</v>
      </c>
      <c r="J188" s="252">
        <v>425</v>
      </c>
      <c r="K188" s="252">
        <v>446</v>
      </c>
      <c r="L188" s="252">
        <v>535</v>
      </c>
      <c r="M188" s="252">
        <v>424</v>
      </c>
      <c r="N188" s="252">
        <v>438</v>
      </c>
      <c r="O188" s="252">
        <v>429</v>
      </c>
      <c r="P188" s="252">
        <v>346</v>
      </c>
      <c r="Q188" s="252">
        <v>443</v>
      </c>
      <c r="R188" s="252">
        <v>451</v>
      </c>
      <c r="S188" s="252">
        <v>503</v>
      </c>
      <c r="T188" s="252">
        <v>599</v>
      </c>
      <c r="U188" s="418"/>
      <c r="V188" s="418"/>
      <c r="W188" s="418"/>
      <c r="X188" s="252">
        <v>225</v>
      </c>
      <c r="Y188" s="252">
        <v>304.16399999999999</v>
      </c>
      <c r="Z188" s="252">
        <v>385.70299999999997</v>
      </c>
      <c r="AA188" s="252">
        <v>382.03</v>
      </c>
      <c r="AB188" s="263">
        <v>491.46899999999999</v>
      </c>
      <c r="AC188" s="263">
        <v>411.10399999999998</v>
      </c>
      <c r="AD188" s="263">
        <v>416.91900000000004</v>
      </c>
      <c r="AE188" s="263">
        <v>160.51</v>
      </c>
      <c r="AF188" s="171">
        <v>155.60300000000001</v>
      </c>
      <c r="AG188" s="171">
        <v>61.539000000000001</v>
      </c>
      <c r="AH188" s="170"/>
      <c r="AI188" s="170"/>
      <c r="AJ188" s="170"/>
      <c r="AK188" s="170"/>
      <c r="AL188" s="170"/>
      <c r="AM188" s="171"/>
    </row>
    <row r="189" spans="1:39" x14ac:dyDescent="0.25">
      <c r="A189" s="74">
        <v>189</v>
      </c>
      <c r="B189" s="224" t="s">
        <v>350</v>
      </c>
      <c r="C189" s="152"/>
      <c r="D189" s="170"/>
      <c r="E189" s="153"/>
      <c r="F189" s="252">
        <f>162+200</f>
        <v>362</v>
      </c>
      <c r="G189" s="252">
        <f>166+221</f>
        <v>387</v>
      </c>
      <c r="H189" s="252">
        <f>123+244</f>
        <v>367</v>
      </c>
      <c r="I189" s="252">
        <f>214+282</f>
        <v>496</v>
      </c>
      <c r="J189" s="252">
        <f>190+283</f>
        <v>473</v>
      </c>
      <c r="K189" s="252">
        <f>178+365</f>
        <v>543</v>
      </c>
      <c r="L189" s="252">
        <f>122+244</f>
        <v>366</v>
      </c>
      <c r="M189" s="252">
        <f>192+321</f>
        <v>513</v>
      </c>
      <c r="N189" s="252">
        <f>149+294</f>
        <v>443</v>
      </c>
      <c r="O189" s="252">
        <v>458</v>
      </c>
      <c r="P189" s="252">
        <f>94+313</f>
        <v>407</v>
      </c>
      <c r="Q189" s="252">
        <f>166+311</f>
        <v>477</v>
      </c>
      <c r="R189" s="252">
        <f>216+325</f>
        <v>541</v>
      </c>
      <c r="S189" s="252">
        <f>209+382</f>
        <v>591</v>
      </c>
      <c r="T189" s="252">
        <f>(122+376)+67</f>
        <v>565</v>
      </c>
      <c r="U189" s="418"/>
      <c r="V189" s="418"/>
      <c r="W189" s="418"/>
      <c r="X189" s="252">
        <f>(25+277)+49</f>
        <v>351</v>
      </c>
      <c r="Y189" s="252">
        <f>(134.604+339.957)+83.854</f>
        <v>558.41500000000008</v>
      </c>
      <c r="Z189" s="252">
        <f>(161.104+288.547)+97.197</f>
        <v>546.84800000000007</v>
      </c>
      <c r="AA189" s="252">
        <f>(159.801+334.484)+87.608</f>
        <v>581.89300000000003</v>
      </c>
      <c r="AB189" s="263">
        <f>(150.044+324.762)+96.492</f>
        <v>571.298</v>
      </c>
      <c r="AC189" s="263">
        <f>(145.926+450.693)+101.458</f>
        <v>698.07699999999988</v>
      </c>
      <c r="AD189" s="263">
        <f>(115.026+515.954)+149.524</f>
        <v>780.50399999999991</v>
      </c>
      <c r="AE189" s="263">
        <f>(109.034+313.852)+71.334</f>
        <v>494.21999999999997</v>
      </c>
      <c r="AF189" s="171">
        <f>(101.684+262.432)+61.88</f>
        <v>425.99599999999998</v>
      </c>
      <c r="AG189" s="171">
        <f>(94.503+271.054)+44.975</f>
        <v>410.53199999999998</v>
      </c>
      <c r="AH189" s="171">
        <f>(3.027+243.995)+33.339</f>
        <v>280.36099999999999</v>
      </c>
      <c r="AI189" s="171">
        <f>(3.474+234.452)+27.141</f>
        <v>265.06700000000001</v>
      </c>
      <c r="AJ189" s="171">
        <f>(3.067+154.52)+23.313</f>
        <v>180.9</v>
      </c>
      <c r="AK189" s="171">
        <v>168.648</v>
      </c>
      <c r="AL189" s="171">
        <v>151.95499999999998</v>
      </c>
      <c r="AM189" s="171">
        <v>120.429</v>
      </c>
    </row>
    <row r="190" spans="1:39" x14ac:dyDescent="0.25">
      <c r="A190" s="74">
        <v>190</v>
      </c>
      <c r="B190" s="241" t="s">
        <v>314</v>
      </c>
      <c r="C190" s="152"/>
      <c r="D190" s="170"/>
      <c r="E190" s="153"/>
      <c r="F190" s="329">
        <f t="shared" ref="F190:G190" si="237">F189+F188</f>
        <v>825</v>
      </c>
      <c r="G190" s="329">
        <f t="shared" si="237"/>
        <v>818</v>
      </c>
      <c r="H190" s="329">
        <f t="shared" ref="H190" si="238">H189+H188</f>
        <v>894</v>
      </c>
      <c r="I190" s="329">
        <f t="shared" ref="I190" si="239">I189+I188</f>
        <v>929</v>
      </c>
      <c r="J190" s="329">
        <f t="shared" ref="J190:K190" si="240">J189+J188</f>
        <v>898</v>
      </c>
      <c r="K190" s="329">
        <f t="shared" si="240"/>
        <v>989</v>
      </c>
      <c r="L190" s="329">
        <f t="shared" ref="L190:X190" si="241">L189+L188</f>
        <v>901</v>
      </c>
      <c r="M190" s="329">
        <f t="shared" si="241"/>
        <v>937</v>
      </c>
      <c r="N190" s="329">
        <f t="shared" si="241"/>
        <v>881</v>
      </c>
      <c r="O190" s="329">
        <f t="shared" si="241"/>
        <v>887</v>
      </c>
      <c r="P190" s="329">
        <f t="shared" si="241"/>
        <v>753</v>
      </c>
      <c r="Q190" s="329">
        <f t="shared" si="241"/>
        <v>920</v>
      </c>
      <c r="R190" s="329">
        <f t="shared" si="241"/>
        <v>992</v>
      </c>
      <c r="S190" s="329">
        <f t="shared" si="241"/>
        <v>1094</v>
      </c>
      <c r="T190" s="329">
        <f t="shared" si="241"/>
        <v>1164</v>
      </c>
      <c r="U190" s="419"/>
      <c r="V190" s="419"/>
      <c r="W190" s="419"/>
      <c r="X190" s="329">
        <f t="shared" si="241"/>
        <v>576</v>
      </c>
      <c r="Y190" s="329">
        <f t="shared" ref="Y190:AG190" si="242">Y189+Y188</f>
        <v>862.57900000000006</v>
      </c>
      <c r="Z190" s="329">
        <f t="shared" si="242"/>
        <v>932.55100000000004</v>
      </c>
      <c r="AA190" s="329">
        <f t="shared" si="242"/>
        <v>963.923</v>
      </c>
      <c r="AB190" s="311">
        <f t="shared" si="242"/>
        <v>1062.7670000000001</v>
      </c>
      <c r="AC190" s="311">
        <f t="shared" si="242"/>
        <v>1109.1809999999998</v>
      </c>
      <c r="AD190" s="311">
        <f t="shared" si="242"/>
        <v>1197.423</v>
      </c>
      <c r="AE190" s="311">
        <f t="shared" si="242"/>
        <v>654.73</v>
      </c>
      <c r="AF190" s="219">
        <f t="shared" si="242"/>
        <v>581.59899999999993</v>
      </c>
      <c r="AG190" s="219">
        <f t="shared" si="242"/>
        <v>472.07099999999997</v>
      </c>
      <c r="AH190" s="219">
        <f t="shared" ref="AH190:AM190" si="243">AH189</f>
        <v>280.36099999999999</v>
      </c>
      <c r="AI190" s="219">
        <f t="shared" si="243"/>
        <v>265.06700000000001</v>
      </c>
      <c r="AJ190" s="219">
        <f t="shared" si="243"/>
        <v>180.9</v>
      </c>
      <c r="AK190" s="219">
        <f t="shared" si="243"/>
        <v>168.648</v>
      </c>
      <c r="AL190" s="219">
        <f t="shared" si="243"/>
        <v>151.95499999999998</v>
      </c>
      <c r="AM190" s="219">
        <f t="shared" si="243"/>
        <v>120.429</v>
      </c>
    </row>
    <row r="191" spans="1:39" x14ac:dyDescent="0.25">
      <c r="A191" s="74">
        <v>191</v>
      </c>
      <c r="B191" s="239" t="s">
        <v>79</v>
      </c>
      <c r="C191" s="152"/>
      <c r="D191" s="170"/>
      <c r="E191" s="153"/>
      <c r="F191" s="252">
        <v>-199</v>
      </c>
      <c r="G191" s="252">
        <v>-202</v>
      </c>
      <c r="H191" s="252">
        <v>-226</v>
      </c>
      <c r="I191" s="252">
        <v>-235</v>
      </c>
      <c r="J191" s="252">
        <v>-235</v>
      </c>
      <c r="K191" s="252">
        <v>-282</v>
      </c>
      <c r="L191" s="252">
        <v>-231</v>
      </c>
      <c r="M191" s="252">
        <v>-263</v>
      </c>
      <c r="N191" s="252">
        <v>-244</v>
      </c>
      <c r="O191" s="252">
        <v>-271</v>
      </c>
      <c r="P191" s="252">
        <v>-232</v>
      </c>
      <c r="Q191" s="252">
        <v>-241</v>
      </c>
      <c r="R191" s="252">
        <v>-279</v>
      </c>
      <c r="S191" s="252">
        <v>-312</v>
      </c>
      <c r="T191" s="252">
        <v>-415</v>
      </c>
      <c r="U191" s="418"/>
      <c r="V191" s="418"/>
      <c r="W191" s="418"/>
      <c r="X191" s="252">
        <v>-204</v>
      </c>
      <c r="Y191" s="252">
        <v>-281.47499999999997</v>
      </c>
      <c r="Z191" s="252">
        <v>-289.45799999999997</v>
      </c>
      <c r="AA191" s="252">
        <v>-303.50200000000001</v>
      </c>
      <c r="AB191" s="263">
        <v>-320.24900000000002</v>
      </c>
      <c r="AC191" s="263">
        <v>-343.55399999999997</v>
      </c>
      <c r="AD191" s="263">
        <v>-382.02800000000002</v>
      </c>
      <c r="AE191" s="263">
        <v>-274.56099999999998</v>
      </c>
      <c r="AF191" s="171">
        <v>-227.298</v>
      </c>
      <c r="AG191" s="171">
        <v>-224.16899999999998</v>
      </c>
      <c r="AH191" s="171">
        <v>-127.194</v>
      </c>
      <c r="AI191" s="171">
        <v>-118.91</v>
      </c>
      <c r="AJ191" s="171">
        <v>-80.415999999999997</v>
      </c>
      <c r="AK191" s="171">
        <v>-73.257000000000005</v>
      </c>
      <c r="AL191" s="171">
        <v>-61.28</v>
      </c>
      <c r="AM191" s="171">
        <v>-54.998000000000005</v>
      </c>
    </row>
    <row r="192" spans="1:39" x14ac:dyDescent="0.25">
      <c r="A192" s="74">
        <v>192</v>
      </c>
      <c r="B192" s="241" t="s">
        <v>315</v>
      </c>
      <c r="C192" s="152"/>
      <c r="D192" s="170"/>
      <c r="E192" s="153"/>
      <c r="F192" s="329">
        <f t="shared" ref="F192:G192" si="244">F190+F191</f>
        <v>626</v>
      </c>
      <c r="G192" s="329">
        <f t="shared" si="244"/>
        <v>616</v>
      </c>
      <c r="H192" s="329">
        <f t="shared" ref="H192" si="245">H190+H191</f>
        <v>668</v>
      </c>
      <c r="I192" s="329">
        <f t="shared" ref="I192" si="246">I190+I191</f>
        <v>694</v>
      </c>
      <c r="J192" s="329">
        <f t="shared" ref="J192:K192" si="247">J190+J191</f>
        <v>663</v>
      </c>
      <c r="K192" s="329">
        <f t="shared" si="247"/>
        <v>707</v>
      </c>
      <c r="L192" s="329">
        <f t="shared" ref="L192:AG192" si="248">L190+L191</f>
        <v>670</v>
      </c>
      <c r="M192" s="329">
        <f t="shared" si="248"/>
        <v>674</v>
      </c>
      <c r="N192" s="329">
        <f t="shared" si="248"/>
        <v>637</v>
      </c>
      <c r="O192" s="329">
        <f t="shared" si="248"/>
        <v>616</v>
      </c>
      <c r="P192" s="329">
        <f t="shared" si="248"/>
        <v>521</v>
      </c>
      <c r="Q192" s="329">
        <f t="shared" si="248"/>
        <v>679</v>
      </c>
      <c r="R192" s="329">
        <f t="shared" si="248"/>
        <v>713</v>
      </c>
      <c r="S192" s="329">
        <f t="shared" si="248"/>
        <v>782</v>
      </c>
      <c r="T192" s="329">
        <f t="shared" si="248"/>
        <v>749</v>
      </c>
      <c r="U192" s="419"/>
      <c r="V192" s="419"/>
      <c r="W192" s="419"/>
      <c r="X192" s="329">
        <f t="shared" si="248"/>
        <v>372</v>
      </c>
      <c r="Y192" s="329">
        <f t="shared" si="248"/>
        <v>581.10400000000004</v>
      </c>
      <c r="Z192" s="329">
        <f t="shared" si="248"/>
        <v>643.09300000000007</v>
      </c>
      <c r="AA192" s="329">
        <f t="shared" si="248"/>
        <v>660.42100000000005</v>
      </c>
      <c r="AB192" s="311">
        <f t="shared" si="248"/>
        <v>742.51800000000003</v>
      </c>
      <c r="AC192" s="311">
        <f t="shared" si="248"/>
        <v>765.62699999999984</v>
      </c>
      <c r="AD192" s="311">
        <f t="shared" si="248"/>
        <v>815.39499999999998</v>
      </c>
      <c r="AE192" s="311">
        <f t="shared" si="248"/>
        <v>380.16900000000004</v>
      </c>
      <c r="AF192" s="219">
        <f t="shared" si="248"/>
        <v>354.30099999999993</v>
      </c>
      <c r="AG192" s="219">
        <f t="shared" si="248"/>
        <v>247.90199999999999</v>
      </c>
      <c r="AH192" s="219">
        <f t="shared" ref="AH192:AM192" si="249">AH190+AH191</f>
        <v>153.16699999999997</v>
      </c>
      <c r="AI192" s="219">
        <f t="shared" si="249"/>
        <v>146.15700000000001</v>
      </c>
      <c r="AJ192" s="219">
        <f t="shared" si="249"/>
        <v>100.48400000000001</v>
      </c>
      <c r="AK192" s="219">
        <f t="shared" si="249"/>
        <v>95.390999999999991</v>
      </c>
      <c r="AL192" s="219">
        <f t="shared" si="249"/>
        <v>90.674999999999983</v>
      </c>
      <c r="AM192" s="219">
        <f t="shared" si="249"/>
        <v>65.430999999999997</v>
      </c>
    </row>
    <row r="193" spans="1:40" x14ac:dyDescent="0.25">
      <c r="A193" s="74">
        <v>193</v>
      </c>
      <c r="B193" s="240" t="s">
        <v>333</v>
      </c>
      <c r="C193" s="152"/>
      <c r="D193" s="170"/>
      <c r="E193" s="153"/>
      <c r="F193" s="345"/>
      <c r="G193" s="345"/>
      <c r="H193" s="345"/>
      <c r="I193" s="345"/>
      <c r="J193" s="345"/>
      <c r="K193" s="345"/>
      <c r="L193" s="345"/>
      <c r="M193" s="345"/>
      <c r="N193" s="345"/>
      <c r="O193" s="345"/>
      <c r="P193" s="345"/>
      <c r="Q193" s="345"/>
      <c r="R193" s="345"/>
      <c r="S193" s="345"/>
      <c r="T193" s="345"/>
      <c r="U193" s="420"/>
      <c r="V193" s="420"/>
      <c r="W193" s="420"/>
      <c r="X193" s="345"/>
      <c r="Y193" s="345"/>
      <c r="Z193" s="345"/>
      <c r="AA193" s="345"/>
      <c r="AB193" s="291"/>
      <c r="AC193" s="291"/>
      <c r="AD193" s="291"/>
      <c r="AE193" s="291"/>
      <c r="AF193" s="170"/>
      <c r="AG193" s="170"/>
      <c r="AH193" s="170"/>
      <c r="AI193" s="170"/>
      <c r="AJ193" s="170"/>
      <c r="AK193" s="170"/>
      <c r="AL193" s="170"/>
      <c r="AM193" s="171"/>
    </row>
    <row r="194" spans="1:40" x14ac:dyDescent="0.25">
      <c r="A194" s="74">
        <v>194</v>
      </c>
      <c r="B194" s="224" t="s">
        <v>313</v>
      </c>
      <c r="C194" s="152"/>
      <c r="D194" s="170"/>
      <c r="E194" s="153"/>
      <c r="F194" s="252">
        <v>79</v>
      </c>
      <c r="G194" s="252">
        <v>76</v>
      </c>
      <c r="H194" s="252">
        <v>82</v>
      </c>
      <c r="I194" s="252">
        <v>69</v>
      </c>
      <c r="J194" s="252">
        <v>62</v>
      </c>
      <c r="K194" s="252">
        <v>73</v>
      </c>
      <c r="L194" s="252">
        <v>85</v>
      </c>
      <c r="M194" s="252">
        <v>70</v>
      </c>
      <c r="N194" s="252">
        <v>75</v>
      </c>
      <c r="O194" s="252">
        <v>63</v>
      </c>
      <c r="P194" s="252">
        <v>66</v>
      </c>
      <c r="Q194" s="252">
        <v>51</v>
      </c>
      <c r="R194" s="252">
        <v>52</v>
      </c>
      <c r="S194" s="252">
        <v>48</v>
      </c>
      <c r="T194" s="252">
        <v>49</v>
      </c>
      <c r="U194" s="418"/>
      <c r="V194" s="418"/>
      <c r="W194" s="418"/>
      <c r="X194" s="252">
        <v>55</v>
      </c>
      <c r="Y194" s="252">
        <v>66.057999999999993</v>
      </c>
      <c r="Z194" s="252">
        <v>39.493000000000002</v>
      </c>
      <c r="AA194" s="252">
        <v>38.274999999999999</v>
      </c>
      <c r="AB194" s="263">
        <v>43.528000000000006</v>
      </c>
      <c r="AC194" s="263">
        <v>36.981000000000002</v>
      </c>
      <c r="AD194" s="263">
        <v>35.649000000000001</v>
      </c>
      <c r="AE194" s="263">
        <v>36.583999999999996</v>
      </c>
      <c r="AF194" s="171">
        <v>33.024000000000001</v>
      </c>
      <c r="AG194" s="171">
        <v>29.457999999999998</v>
      </c>
      <c r="AH194" s="171">
        <v>34.099000000000004</v>
      </c>
      <c r="AI194" s="171">
        <v>27.556999999999999</v>
      </c>
      <c r="AJ194" s="171">
        <v>28.040000000000003</v>
      </c>
      <c r="AK194" s="171">
        <v>21.501999999999999</v>
      </c>
      <c r="AL194" s="171">
        <v>20.538</v>
      </c>
      <c r="AM194" s="171">
        <v>21.321999999999999</v>
      </c>
    </row>
    <row r="195" spans="1:40" x14ac:dyDescent="0.25">
      <c r="A195" s="74">
        <v>195</v>
      </c>
      <c r="B195" s="224" t="s">
        <v>350</v>
      </c>
      <c r="C195" s="152"/>
      <c r="D195" s="170"/>
      <c r="E195" s="153"/>
      <c r="F195" s="252">
        <f>35+33</f>
        <v>68</v>
      </c>
      <c r="G195" s="252">
        <f>22+49</f>
        <v>71</v>
      </c>
      <c r="H195" s="252">
        <f>18+43</f>
        <v>61</v>
      </c>
      <c r="I195" s="252">
        <f>26+44</f>
        <v>70</v>
      </c>
      <c r="J195" s="252">
        <f>29+50</f>
        <v>79</v>
      </c>
      <c r="K195" s="252">
        <f>25+47</f>
        <v>72</v>
      </c>
      <c r="L195" s="252">
        <f>18+44</f>
        <v>62</v>
      </c>
      <c r="M195" s="252">
        <f>19+44</f>
        <v>63</v>
      </c>
      <c r="N195" s="252">
        <f>23+40</f>
        <v>63</v>
      </c>
      <c r="O195" s="252">
        <v>58</v>
      </c>
      <c r="P195" s="252">
        <f>13+38</f>
        <v>51</v>
      </c>
      <c r="Q195" s="252">
        <f>15+38</f>
        <v>53</v>
      </c>
      <c r="R195" s="252">
        <f>22+45</f>
        <v>67</v>
      </c>
      <c r="S195" s="252">
        <f>10+54</f>
        <v>64</v>
      </c>
      <c r="T195" s="252">
        <f>(16+62)+2</f>
        <v>80</v>
      </c>
      <c r="U195" s="418"/>
      <c r="V195" s="418"/>
      <c r="W195" s="418"/>
      <c r="X195" s="252">
        <f>(15+41)+9</f>
        <v>65</v>
      </c>
      <c r="Y195" s="252">
        <f>(19.592+35.562)+7.247</f>
        <v>62.400999999999996</v>
      </c>
      <c r="Z195" s="252">
        <f>(6.346+12.133)+5.754</f>
        <v>24.232999999999997</v>
      </c>
      <c r="AA195" s="252">
        <f>(9.515+15.226)+5.807</f>
        <v>30.548000000000002</v>
      </c>
      <c r="AB195" s="263">
        <f>(6.675+11.372)+9.119</f>
        <v>27.166</v>
      </c>
      <c r="AC195" s="263">
        <f>(8.931+19.855)+2.402</f>
        <v>31.188000000000002</v>
      </c>
      <c r="AD195" s="263">
        <f>(12.533+7.566)+7.339</f>
        <v>27.438000000000002</v>
      </c>
      <c r="AE195" s="263">
        <f>(9.68+11.223)+3.965</f>
        <v>24.867999999999999</v>
      </c>
      <c r="AF195" s="171">
        <f>(5.739+8.871)+5.125</f>
        <v>19.734999999999999</v>
      </c>
      <c r="AG195" s="171">
        <f>(10.086+8.939)+1.705</f>
        <v>20.729999999999997</v>
      </c>
      <c r="AH195" s="171">
        <f>(6.344+7.211)+2.359</f>
        <v>15.914</v>
      </c>
      <c r="AI195" s="171">
        <f>(3.475+10.152)+1.243</f>
        <v>14.87</v>
      </c>
      <c r="AJ195" s="171">
        <f>(4.193+5.263)+0.374</f>
        <v>9.83</v>
      </c>
      <c r="AK195" s="171">
        <v>12.526</v>
      </c>
      <c r="AL195" s="171">
        <v>7.9750000000000005</v>
      </c>
      <c r="AM195" s="253"/>
    </row>
    <row r="196" spans="1:40" x14ac:dyDescent="0.25">
      <c r="A196" s="74">
        <v>196</v>
      </c>
      <c r="B196" s="224" t="s">
        <v>349</v>
      </c>
      <c r="C196" s="152"/>
      <c r="D196" s="170"/>
      <c r="E196" s="153"/>
      <c r="F196" s="252">
        <v>2821</v>
      </c>
      <c r="G196" s="252">
        <v>2992</v>
      </c>
      <c r="H196" s="252">
        <v>3124</v>
      </c>
      <c r="I196" s="252">
        <v>3317</v>
      </c>
      <c r="J196" s="252">
        <v>3262</v>
      </c>
      <c r="K196" s="252">
        <v>3199</v>
      </c>
      <c r="L196" s="252">
        <v>3184</v>
      </c>
      <c r="M196" s="252">
        <v>3127</v>
      </c>
      <c r="N196" s="252">
        <v>3129</v>
      </c>
      <c r="O196" s="252">
        <v>3149</v>
      </c>
      <c r="P196" s="252">
        <v>3070</v>
      </c>
      <c r="Q196" s="252">
        <v>3102</v>
      </c>
      <c r="R196" s="252">
        <v>3131</v>
      </c>
      <c r="S196" s="252">
        <v>3163</v>
      </c>
      <c r="T196" s="252">
        <v>3045</v>
      </c>
      <c r="U196" s="418"/>
      <c r="V196" s="418"/>
      <c r="W196" s="418"/>
      <c r="X196" s="252">
        <v>2411</v>
      </c>
      <c r="Y196" s="252">
        <v>2452.9629999999997</v>
      </c>
      <c r="Z196" s="252">
        <v>2483.3959999999997</v>
      </c>
      <c r="AA196" s="252">
        <v>2555.1469999999999</v>
      </c>
      <c r="AB196" s="263">
        <v>2309.0519999999997</v>
      </c>
      <c r="AC196" s="263">
        <v>2380.7570000000001</v>
      </c>
      <c r="AD196" s="263">
        <v>1816.068</v>
      </c>
      <c r="AE196" s="263">
        <v>1682.221</v>
      </c>
      <c r="AF196" s="263">
        <v>1550.3910000000001</v>
      </c>
      <c r="AG196" s="263">
        <v>1441.019</v>
      </c>
      <c r="AH196" s="263">
        <v>1315.287</v>
      </c>
      <c r="AI196" s="263">
        <v>1303.2280000000001</v>
      </c>
      <c r="AJ196" s="263">
        <v>1224.452</v>
      </c>
      <c r="AK196" s="263">
        <v>1052.489</v>
      </c>
      <c r="AL196" s="263">
        <v>1030.95</v>
      </c>
      <c r="AM196" s="171">
        <v>997.56200000000001</v>
      </c>
      <c r="AN196" s="25"/>
    </row>
    <row r="197" spans="1:40" x14ac:dyDescent="0.25">
      <c r="A197" s="74">
        <v>197</v>
      </c>
      <c r="B197" s="241" t="s">
        <v>318</v>
      </c>
      <c r="C197" s="152"/>
      <c r="D197" s="170"/>
      <c r="E197" s="153"/>
      <c r="F197" s="329">
        <f t="shared" ref="F197:G197" si="250">SUM(F194:F196)</f>
        <v>2968</v>
      </c>
      <c r="G197" s="329">
        <f t="shared" si="250"/>
        <v>3139</v>
      </c>
      <c r="H197" s="329">
        <f t="shared" ref="H197" si="251">SUM(H194:H196)</f>
        <v>3267</v>
      </c>
      <c r="I197" s="329">
        <f t="shared" ref="I197" si="252">SUM(I194:I196)</f>
        <v>3456</v>
      </c>
      <c r="J197" s="329">
        <f t="shared" ref="J197:K197" si="253">SUM(J194:J196)</f>
        <v>3403</v>
      </c>
      <c r="K197" s="329">
        <f t="shared" si="253"/>
        <v>3344</v>
      </c>
      <c r="L197" s="329">
        <f t="shared" ref="L197:AG197" si="254">SUM(L194:L196)</f>
        <v>3331</v>
      </c>
      <c r="M197" s="329">
        <f t="shared" si="254"/>
        <v>3260</v>
      </c>
      <c r="N197" s="329">
        <f t="shared" si="254"/>
        <v>3267</v>
      </c>
      <c r="O197" s="329">
        <f t="shared" si="254"/>
        <v>3270</v>
      </c>
      <c r="P197" s="329">
        <f t="shared" si="254"/>
        <v>3187</v>
      </c>
      <c r="Q197" s="329">
        <f t="shared" si="254"/>
        <v>3206</v>
      </c>
      <c r="R197" s="329">
        <f t="shared" si="254"/>
        <v>3250</v>
      </c>
      <c r="S197" s="329">
        <f t="shared" si="254"/>
        <v>3275</v>
      </c>
      <c r="T197" s="329">
        <f t="shared" si="254"/>
        <v>3174</v>
      </c>
      <c r="U197" s="419"/>
      <c r="V197" s="419"/>
      <c r="W197" s="419"/>
      <c r="X197" s="329">
        <f t="shared" si="254"/>
        <v>2531</v>
      </c>
      <c r="Y197" s="329">
        <f t="shared" si="254"/>
        <v>2581.4219999999996</v>
      </c>
      <c r="Z197" s="329">
        <f t="shared" si="254"/>
        <v>2547.1219999999998</v>
      </c>
      <c r="AA197" s="329">
        <f t="shared" si="254"/>
        <v>2623.97</v>
      </c>
      <c r="AB197" s="311">
        <f t="shared" si="254"/>
        <v>2379.7459999999996</v>
      </c>
      <c r="AC197" s="311">
        <f t="shared" si="254"/>
        <v>2448.9259999999999</v>
      </c>
      <c r="AD197" s="311">
        <f t="shared" si="254"/>
        <v>1879.155</v>
      </c>
      <c r="AE197" s="311">
        <f t="shared" si="254"/>
        <v>1743.673</v>
      </c>
      <c r="AF197" s="219">
        <f t="shared" si="254"/>
        <v>1603.15</v>
      </c>
      <c r="AG197" s="219">
        <f t="shared" si="254"/>
        <v>1491.2070000000001</v>
      </c>
      <c r="AH197" s="219">
        <f t="shared" ref="AH197:AM197" si="255">SUM(AH194:AH196)</f>
        <v>1365.3</v>
      </c>
      <c r="AI197" s="219">
        <f t="shared" si="255"/>
        <v>1345.655</v>
      </c>
      <c r="AJ197" s="219">
        <f t="shared" si="255"/>
        <v>1262.3220000000001</v>
      </c>
      <c r="AK197" s="219">
        <f t="shared" si="255"/>
        <v>1086.5170000000001</v>
      </c>
      <c r="AL197" s="219">
        <f t="shared" si="255"/>
        <v>1059.463</v>
      </c>
      <c r="AM197" s="219">
        <f t="shared" si="255"/>
        <v>1018.884</v>
      </c>
    </row>
    <row r="198" spans="1:40" x14ac:dyDescent="0.25">
      <c r="A198" s="74">
        <v>198</v>
      </c>
      <c r="B198" s="239" t="s">
        <v>79</v>
      </c>
      <c r="C198" s="152"/>
      <c r="D198" s="170"/>
      <c r="E198" s="153"/>
      <c r="F198" s="252">
        <v>-2849</v>
      </c>
      <c r="G198" s="252">
        <v>-2999</v>
      </c>
      <c r="H198" s="252">
        <v>-3102</v>
      </c>
      <c r="I198" s="252">
        <v>-3278</v>
      </c>
      <c r="J198" s="252">
        <v>-3225</v>
      </c>
      <c r="K198" s="252">
        <v>-3159</v>
      </c>
      <c r="L198" s="252">
        <v>-3126</v>
      </c>
      <c r="M198" s="252">
        <v>-3043</v>
      </c>
      <c r="N198" s="252">
        <v>-3038</v>
      </c>
      <c r="O198" s="252">
        <v>-3017</v>
      </c>
      <c r="P198" s="252">
        <v>-2911</v>
      </c>
      <c r="Q198" s="252">
        <v>-2888</v>
      </c>
      <c r="R198" s="252">
        <v>-2906</v>
      </c>
      <c r="S198" s="252">
        <v>-2871</v>
      </c>
      <c r="T198" s="252">
        <v>-2746</v>
      </c>
      <c r="U198" s="418"/>
      <c r="V198" s="418"/>
      <c r="W198" s="418"/>
      <c r="X198" s="252">
        <v>-1936</v>
      </c>
      <c r="Y198" s="252">
        <v>-1956.335</v>
      </c>
      <c r="Z198" s="252">
        <v>-1939.5139999999999</v>
      </c>
      <c r="AA198" s="252">
        <v>-1979.4490000000001</v>
      </c>
      <c r="AB198" s="263">
        <v>-1779.355</v>
      </c>
      <c r="AC198" s="263">
        <v>-1828.85</v>
      </c>
      <c r="AD198" s="263">
        <v>-1449.4740000000002</v>
      </c>
      <c r="AE198" s="263">
        <v>-1498.675</v>
      </c>
      <c r="AF198" s="171">
        <v>-1413.2190000000001</v>
      </c>
      <c r="AG198" s="171">
        <v>-1363.104</v>
      </c>
      <c r="AH198" s="171">
        <v>-1257.693</v>
      </c>
      <c r="AI198" s="171">
        <v>-1266.394</v>
      </c>
      <c r="AJ198" s="171">
        <v>-1194.627</v>
      </c>
      <c r="AK198" s="171">
        <v>-1016.812</v>
      </c>
      <c r="AL198" s="171">
        <v>-995.37</v>
      </c>
      <c r="AM198" s="171">
        <v>-948.59199999999998</v>
      </c>
    </row>
    <row r="199" spans="1:40" x14ac:dyDescent="0.25">
      <c r="A199" s="74">
        <v>199</v>
      </c>
      <c r="B199" s="241" t="s">
        <v>319</v>
      </c>
      <c r="C199" s="152"/>
      <c r="D199" s="170"/>
      <c r="E199" s="153"/>
      <c r="F199" s="329">
        <f t="shared" ref="F199:G199" si="256">F197+F198</f>
        <v>119</v>
      </c>
      <c r="G199" s="329">
        <f t="shared" si="256"/>
        <v>140</v>
      </c>
      <c r="H199" s="329">
        <f t="shared" ref="H199" si="257">H197+H198</f>
        <v>165</v>
      </c>
      <c r="I199" s="329">
        <f t="shared" ref="I199" si="258">I197+I198</f>
        <v>178</v>
      </c>
      <c r="J199" s="329">
        <f t="shared" ref="J199:K199" si="259">J197+J198</f>
        <v>178</v>
      </c>
      <c r="K199" s="329">
        <f t="shared" si="259"/>
        <v>185</v>
      </c>
      <c r="L199" s="329">
        <f t="shared" ref="L199:AG199" si="260">L197+L198</f>
        <v>205</v>
      </c>
      <c r="M199" s="329">
        <f t="shared" si="260"/>
        <v>217</v>
      </c>
      <c r="N199" s="329">
        <f t="shared" si="260"/>
        <v>229</v>
      </c>
      <c r="O199" s="329">
        <f t="shared" si="260"/>
        <v>253</v>
      </c>
      <c r="P199" s="329">
        <f t="shared" si="260"/>
        <v>276</v>
      </c>
      <c r="Q199" s="329">
        <f t="shared" si="260"/>
        <v>318</v>
      </c>
      <c r="R199" s="329">
        <f t="shared" si="260"/>
        <v>344</v>
      </c>
      <c r="S199" s="329">
        <f t="shared" si="260"/>
        <v>404</v>
      </c>
      <c r="T199" s="329">
        <f t="shared" si="260"/>
        <v>428</v>
      </c>
      <c r="U199" s="419"/>
      <c r="V199" s="419"/>
      <c r="W199" s="419"/>
      <c r="X199" s="329">
        <f t="shared" si="260"/>
        <v>595</v>
      </c>
      <c r="Y199" s="329">
        <f t="shared" si="260"/>
        <v>625.08699999999953</v>
      </c>
      <c r="Z199" s="329">
        <f t="shared" si="260"/>
        <v>607.60799999999995</v>
      </c>
      <c r="AA199" s="329">
        <f t="shared" si="260"/>
        <v>644.52099999999973</v>
      </c>
      <c r="AB199" s="311">
        <f t="shared" si="260"/>
        <v>600.39099999999962</v>
      </c>
      <c r="AC199" s="311">
        <f t="shared" si="260"/>
        <v>620.07600000000002</v>
      </c>
      <c r="AD199" s="311">
        <f t="shared" si="260"/>
        <v>429.68099999999981</v>
      </c>
      <c r="AE199" s="311">
        <f t="shared" si="260"/>
        <v>244.99800000000005</v>
      </c>
      <c r="AF199" s="219">
        <f t="shared" si="260"/>
        <v>189.93100000000004</v>
      </c>
      <c r="AG199" s="219">
        <f t="shared" si="260"/>
        <v>128.10300000000007</v>
      </c>
      <c r="AH199" s="219">
        <f t="shared" ref="AH199:AM199" si="261">AH197+AH198</f>
        <v>107.60699999999997</v>
      </c>
      <c r="AI199" s="219">
        <f t="shared" si="261"/>
        <v>79.260999999999967</v>
      </c>
      <c r="AJ199" s="219">
        <f t="shared" si="261"/>
        <v>67.695000000000164</v>
      </c>
      <c r="AK199" s="219">
        <f t="shared" si="261"/>
        <v>69.705000000000041</v>
      </c>
      <c r="AL199" s="219">
        <f t="shared" si="261"/>
        <v>64.092999999999961</v>
      </c>
      <c r="AM199" s="219">
        <f t="shared" si="261"/>
        <v>70.29200000000003</v>
      </c>
    </row>
    <row r="200" spans="1:40" ht="21" customHeight="1" x14ac:dyDescent="0.25">
      <c r="A200" s="74">
        <v>200</v>
      </c>
      <c r="B200" s="225" t="s">
        <v>325</v>
      </c>
      <c r="C200" s="188"/>
      <c r="D200" s="185"/>
      <c r="E200" s="242"/>
      <c r="F200" s="329">
        <f t="shared" ref="F200:H200" si="262">SUM(F184,F190,F197)</f>
        <v>37867</v>
      </c>
      <c r="G200" s="329">
        <f t="shared" si="262"/>
        <v>36945</v>
      </c>
      <c r="H200" s="329">
        <f t="shared" si="262"/>
        <v>36942</v>
      </c>
      <c r="I200" s="329">
        <f t="shared" ref="I200" si="263">SUM(I184,I190,I197)</f>
        <v>36709</v>
      </c>
      <c r="J200" s="329">
        <f t="shared" ref="J200:K200" si="264">SUM(J184,J190,J197)</f>
        <v>36058</v>
      </c>
      <c r="K200" s="329">
        <f t="shared" si="264"/>
        <v>36382</v>
      </c>
      <c r="L200" s="329">
        <f t="shared" ref="L200:AJ200" si="265">SUM(L184,L190,L197)</f>
        <v>37664</v>
      </c>
      <c r="M200" s="329">
        <f t="shared" si="265"/>
        <v>39193</v>
      </c>
      <c r="N200" s="329">
        <f t="shared" si="265"/>
        <v>39429</v>
      </c>
      <c r="O200" s="329">
        <f t="shared" si="265"/>
        <v>39427</v>
      </c>
      <c r="P200" s="329">
        <f t="shared" si="265"/>
        <v>40011</v>
      </c>
      <c r="Q200" s="329">
        <f t="shared" si="265"/>
        <v>41114</v>
      </c>
      <c r="R200" s="329">
        <f t="shared" si="265"/>
        <v>40183</v>
      </c>
      <c r="S200" s="329">
        <f t="shared" si="265"/>
        <v>39679</v>
      </c>
      <c r="T200" s="329">
        <f t="shared" si="265"/>
        <v>40261</v>
      </c>
      <c r="U200" s="419"/>
      <c r="V200" s="419"/>
      <c r="W200" s="419"/>
      <c r="X200" s="329">
        <f t="shared" si="265"/>
        <v>41758</v>
      </c>
      <c r="Y200" s="329">
        <f t="shared" si="265"/>
        <v>40001.184999999998</v>
      </c>
      <c r="Z200" s="329">
        <f t="shared" si="265"/>
        <v>38373.466000000008</v>
      </c>
      <c r="AA200" s="329">
        <f t="shared" si="265"/>
        <v>34317.849000000002</v>
      </c>
      <c r="AB200" s="311">
        <f t="shared" si="265"/>
        <v>32640.844999999998</v>
      </c>
      <c r="AC200" s="311">
        <f t="shared" si="265"/>
        <v>33008.074000000001</v>
      </c>
      <c r="AD200" s="311">
        <f t="shared" si="265"/>
        <v>32481.687999999995</v>
      </c>
      <c r="AE200" s="311">
        <f t="shared" si="265"/>
        <v>33120.707999999999</v>
      </c>
      <c r="AF200" s="219">
        <f t="shared" si="265"/>
        <v>32134.153999999999</v>
      </c>
      <c r="AG200" s="219">
        <f t="shared" si="265"/>
        <v>30640.648999999998</v>
      </c>
      <c r="AH200" s="219">
        <f t="shared" si="265"/>
        <v>28057.616999999998</v>
      </c>
      <c r="AI200" s="219">
        <f t="shared" si="265"/>
        <v>25656.576999999997</v>
      </c>
      <c r="AJ200" s="219">
        <f t="shared" si="265"/>
        <v>24377.160000000003</v>
      </c>
      <c r="AK200" s="219">
        <f t="shared" ref="AK200:AM201" si="266">SUM(AK184,AK190,AK197)</f>
        <v>22417.059000000001</v>
      </c>
      <c r="AL200" s="219">
        <f t="shared" si="266"/>
        <v>20235.487000000001</v>
      </c>
      <c r="AM200" s="219">
        <f t="shared" si="266"/>
        <v>17995.724999999999</v>
      </c>
    </row>
    <row r="201" spans="1:40" x14ac:dyDescent="0.25">
      <c r="A201" s="74">
        <v>201</v>
      </c>
      <c r="B201" s="149" t="s">
        <v>79</v>
      </c>
      <c r="C201" s="152"/>
      <c r="D201" s="170"/>
      <c r="E201" s="153"/>
      <c r="F201" s="252">
        <f t="shared" ref="F201:H201" si="267">SUM(F185,F191,F198)</f>
        <v>-4078</v>
      </c>
      <c r="G201" s="252">
        <f t="shared" si="267"/>
        <v>-4198</v>
      </c>
      <c r="H201" s="252">
        <f t="shared" si="267"/>
        <v>-4327</v>
      </c>
      <c r="I201" s="252">
        <f t="shared" ref="I201" si="268">SUM(I185,I191,I198)</f>
        <v>-4474</v>
      </c>
      <c r="J201" s="252">
        <f t="shared" ref="J201:K201" si="269">SUM(J185,J191,J198)</f>
        <v>-4405</v>
      </c>
      <c r="K201" s="252">
        <f t="shared" si="269"/>
        <v>-4361</v>
      </c>
      <c r="L201" s="252">
        <f t="shared" ref="L201:AJ201" si="270">SUM(L185,L191,L198)</f>
        <v>-4323</v>
      </c>
      <c r="M201" s="252">
        <f t="shared" si="270"/>
        <v>-4303</v>
      </c>
      <c r="N201" s="252">
        <f t="shared" si="270"/>
        <v>-4282</v>
      </c>
      <c r="O201" s="252">
        <f t="shared" si="270"/>
        <v>-4456</v>
      </c>
      <c r="P201" s="252">
        <f t="shared" si="270"/>
        <v>-4349</v>
      </c>
      <c r="Q201" s="252">
        <f t="shared" si="270"/>
        <v>-4481</v>
      </c>
      <c r="R201" s="252">
        <f t="shared" si="270"/>
        <v>-4489</v>
      </c>
      <c r="S201" s="252">
        <f t="shared" si="270"/>
        <v>-4484</v>
      </c>
      <c r="T201" s="252">
        <f t="shared" si="270"/>
        <v>-4919</v>
      </c>
      <c r="U201" s="418"/>
      <c r="V201" s="418"/>
      <c r="W201" s="418"/>
      <c r="X201" s="252">
        <f t="shared" si="270"/>
        <v>-3392</v>
      </c>
      <c r="Y201" s="252">
        <f t="shared" si="270"/>
        <v>-3444.0299999999997</v>
      </c>
      <c r="Z201" s="252">
        <f t="shared" si="270"/>
        <v>-3448.6660000000002</v>
      </c>
      <c r="AA201" s="252">
        <f t="shared" si="270"/>
        <v>-3479.1689999999999</v>
      </c>
      <c r="AB201" s="263">
        <f t="shared" si="270"/>
        <v>-3234.6819999999998</v>
      </c>
      <c r="AC201" s="263">
        <f t="shared" si="270"/>
        <v>-3049.9160000000002</v>
      </c>
      <c r="AD201" s="263">
        <f t="shared" si="270"/>
        <v>-2708.1420000000003</v>
      </c>
      <c r="AE201" s="263">
        <f t="shared" si="270"/>
        <v>-2426.3059999999996</v>
      </c>
      <c r="AF201" s="171">
        <f t="shared" si="270"/>
        <v>-2178.2110000000002</v>
      </c>
      <c r="AG201" s="171">
        <f t="shared" si="270"/>
        <v>-1948.202</v>
      </c>
      <c r="AH201" s="171">
        <f t="shared" si="270"/>
        <v>-1716.779</v>
      </c>
      <c r="AI201" s="171">
        <f t="shared" si="270"/>
        <v>-1686.932</v>
      </c>
      <c r="AJ201" s="171">
        <f t="shared" si="270"/>
        <v>-1478.7080000000001</v>
      </c>
      <c r="AK201" s="171">
        <f t="shared" si="266"/>
        <v>-1397.123</v>
      </c>
      <c r="AL201" s="171">
        <f t="shared" si="266"/>
        <v>-1334.1889999999999</v>
      </c>
      <c r="AM201" s="171">
        <f t="shared" si="266"/>
        <v>-1246.7809999999999</v>
      </c>
    </row>
    <row r="202" spans="1:40" x14ac:dyDescent="0.25">
      <c r="A202" s="74">
        <v>202</v>
      </c>
      <c r="B202" s="243" t="s">
        <v>326</v>
      </c>
      <c r="C202" s="188"/>
      <c r="D202" s="185"/>
      <c r="E202" s="242"/>
      <c r="F202" s="329">
        <f t="shared" ref="F202:H202" si="271">F200+F201</f>
        <v>33789</v>
      </c>
      <c r="G202" s="329">
        <f t="shared" si="271"/>
        <v>32747</v>
      </c>
      <c r="H202" s="329">
        <f t="shared" si="271"/>
        <v>32615</v>
      </c>
      <c r="I202" s="329">
        <f t="shared" ref="I202" si="272">I200+I201</f>
        <v>32235</v>
      </c>
      <c r="J202" s="329">
        <f t="shared" ref="J202:K202" si="273">J200+J201</f>
        <v>31653</v>
      </c>
      <c r="K202" s="329">
        <f t="shared" si="273"/>
        <v>32021</v>
      </c>
      <c r="L202" s="329">
        <f t="shared" ref="L202:AG202" si="274">L200+L201</f>
        <v>33341</v>
      </c>
      <c r="M202" s="329">
        <f t="shared" si="274"/>
        <v>34890</v>
      </c>
      <c r="N202" s="329">
        <f t="shared" si="274"/>
        <v>35147</v>
      </c>
      <c r="O202" s="329">
        <f t="shared" si="274"/>
        <v>34971</v>
      </c>
      <c r="P202" s="329">
        <f t="shared" si="274"/>
        <v>35662</v>
      </c>
      <c r="Q202" s="329">
        <f t="shared" si="274"/>
        <v>36633</v>
      </c>
      <c r="R202" s="329">
        <f t="shared" si="274"/>
        <v>35694</v>
      </c>
      <c r="S202" s="329">
        <f t="shared" si="274"/>
        <v>35195</v>
      </c>
      <c r="T202" s="329">
        <f t="shared" si="274"/>
        <v>35342</v>
      </c>
      <c r="U202" s="419"/>
      <c r="V202" s="419"/>
      <c r="W202" s="419"/>
      <c r="X202" s="329">
        <f t="shared" si="274"/>
        <v>38366</v>
      </c>
      <c r="Y202" s="329">
        <f t="shared" si="274"/>
        <v>36557.154999999999</v>
      </c>
      <c r="Z202" s="329">
        <f t="shared" si="274"/>
        <v>34924.80000000001</v>
      </c>
      <c r="AA202" s="329">
        <f t="shared" si="274"/>
        <v>30838.68</v>
      </c>
      <c r="AB202" s="311">
        <f t="shared" si="274"/>
        <v>29406.162999999997</v>
      </c>
      <c r="AC202" s="311">
        <f t="shared" si="274"/>
        <v>29958.157999999999</v>
      </c>
      <c r="AD202" s="311">
        <f t="shared" si="274"/>
        <v>29773.545999999995</v>
      </c>
      <c r="AE202" s="311">
        <f t="shared" si="274"/>
        <v>30694.401999999998</v>
      </c>
      <c r="AF202" s="219">
        <f t="shared" si="274"/>
        <v>29955.942999999999</v>
      </c>
      <c r="AG202" s="219">
        <f t="shared" si="274"/>
        <v>28692.446999999996</v>
      </c>
      <c r="AH202" s="219">
        <f t="shared" ref="AH202:AM202" si="275">AH200+AH201</f>
        <v>26340.838</v>
      </c>
      <c r="AI202" s="219">
        <f t="shared" si="275"/>
        <v>23969.644999999997</v>
      </c>
      <c r="AJ202" s="219">
        <f t="shared" si="275"/>
        <v>22898.452000000005</v>
      </c>
      <c r="AK202" s="219">
        <f t="shared" si="275"/>
        <v>21019.936000000002</v>
      </c>
      <c r="AL202" s="219">
        <f t="shared" si="275"/>
        <v>18901.298000000003</v>
      </c>
      <c r="AM202" s="219">
        <f t="shared" si="275"/>
        <v>16748.944</v>
      </c>
    </row>
    <row r="203" spans="1:40" x14ac:dyDescent="0.25">
      <c r="A203" s="74">
        <v>203</v>
      </c>
      <c r="B203" s="14"/>
      <c r="C203" s="93"/>
      <c r="D203" s="88"/>
      <c r="E203" s="94"/>
      <c r="F203" s="345"/>
      <c r="G203" s="345"/>
      <c r="H203" s="345"/>
      <c r="I203" s="345"/>
      <c r="J203" s="345"/>
      <c r="K203" s="345"/>
      <c r="L203" s="345"/>
      <c r="M203" s="345"/>
      <c r="N203" s="345"/>
      <c r="O203" s="345"/>
      <c r="P203" s="345"/>
      <c r="Q203" s="345"/>
      <c r="R203" s="345"/>
      <c r="S203" s="345"/>
      <c r="T203" s="345"/>
      <c r="U203" s="420"/>
      <c r="V203" s="420"/>
      <c r="W203" s="420"/>
      <c r="X203" s="345"/>
      <c r="Y203" s="345"/>
      <c r="Z203" s="345"/>
      <c r="AA203" s="345"/>
      <c r="AB203" s="291"/>
      <c r="AC203" s="291"/>
      <c r="AD203" s="291"/>
      <c r="AE203" s="291"/>
      <c r="AF203" s="88"/>
      <c r="AG203" s="88"/>
      <c r="AH203" s="88"/>
      <c r="AI203" s="88"/>
      <c r="AJ203" s="88"/>
      <c r="AK203" s="88"/>
      <c r="AL203" s="88"/>
      <c r="AM203" s="39"/>
    </row>
    <row r="204" spans="1:40" x14ac:dyDescent="0.25">
      <c r="A204" s="74">
        <v>204</v>
      </c>
      <c r="B204" s="44" t="s">
        <v>181</v>
      </c>
      <c r="C204" s="93">
        <f ca="1">OFFSET($E$7,$A204-$A$7,1,1,1)/OFFSET($E$7,$A204-$A$7,2,1,1)-1</f>
        <v>3.1318998607289705E-2</v>
      </c>
      <c r="D204" s="88">
        <f ca="1">OFFSET($E$7,$A204-$A$7,1,1,1)/OFFSET($E$7,$A204-$A$7,5,1,1)-1</f>
        <v>0.20908547859479443</v>
      </c>
      <c r="E204" s="94">
        <f ca="1">OFFSET($E$7,$A204-$A$7,1,1,1)/OFFSET($E$7,$A204-$A$7,IF(MONTH(MAX($7:$7))=3,2,IF(MONTH(MAX($7:$7))=6,3,IF(MONTH(MAX($7:$7))=9,4,5)))*1,1)-1</f>
        <v>5.2979180911045809E-2</v>
      </c>
      <c r="F204" s="329">
        <f t="shared" ref="F204:G204" si="276">SUM(F16:F19)</f>
        <v>212527</v>
      </c>
      <c r="G204" s="329">
        <f t="shared" si="276"/>
        <v>206073</v>
      </c>
      <c r="H204" s="329">
        <f t="shared" ref="H204" si="277">SUM(H16:H19)</f>
        <v>201834</v>
      </c>
      <c r="I204" s="329">
        <f t="shared" ref="I204:J204" si="278">SUM(I16:I19)</f>
        <v>186296</v>
      </c>
      <c r="J204" s="329">
        <f t="shared" si="278"/>
        <v>175775</v>
      </c>
      <c r="K204" s="329">
        <f t="shared" ref="K204" si="279">SUM(K16:K19)</f>
        <v>171377</v>
      </c>
      <c r="L204" s="329">
        <f t="shared" ref="L204:R204" si="280">SUM(L16:L19)</f>
        <v>163175</v>
      </c>
      <c r="M204" s="329">
        <f t="shared" si="280"/>
        <v>159552</v>
      </c>
      <c r="N204" s="329">
        <f t="shared" si="280"/>
        <v>159371</v>
      </c>
      <c r="O204" s="329">
        <f t="shared" si="280"/>
        <v>157427</v>
      </c>
      <c r="P204" s="329">
        <f t="shared" si="280"/>
        <v>158869</v>
      </c>
      <c r="Q204" s="329">
        <f t="shared" si="280"/>
        <v>158011</v>
      </c>
      <c r="R204" s="329">
        <f t="shared" si="280"/>
        <v>151596</v>
      </c>
      <c r="S204" s="329">
        <f t="shared" ref="S204:X204" si="281">SUM(S16:S19)</f>
        <v>146549</v>
      </c>
      <c r="T204" s="329">
        <f t="shared" si="281"/>
        <v>142673</v>
      </c>
      <c r="U204" s="419"/>
      <c r="V204" s="419"/>
      <c r="W204" s="419"/>
      <c r="X204" s="329">
        <f t="shared" si="281"/>
        <v>135269</v>
      </c>
      <c r="Y204" s="329">
        <f>Y200+Y176+Y152+Y128</f>
        <v>130055.3</v>
      </c>
      <c r="Z204" s="329">
        <f>Z200+Z176+Z152+Z128</f>
        <v>127736.758</v>
      </c>
      <c r="AA204" s="329">
        <f>AA200+AA176+AA152+AA128</f>
        <v>118957.10699999999</v>
      </c>
      <c r="AB204" s="311">
        <f>AB200+AB176+AB152+AB128</f>
        <v>115283.49400000001</v>
      </c>
      <c r="AC204" s="311">
        <f>AC200+AC176+AC152+AC128</f>
        <v>111521.674</v>
      </c>
      <c r="AD204" s="311">
        <f t="shared" ref="AD204:AI204" si="282">AD200+AD176+AD152+AD128</f>
        <v>105325.84700000001</v>
      </c>
      <c r="AE204" s="311">
        <f t="shared" si="282"/>
        <v>104842.18100000001</v>
      </c>
      <c r="AF204" s="219">
        <f t="shared" si="282"/>
        <v>102955.452</v>
      </c>
      <c r="AG204" s="219">
        <f t="shared" si="282"/>
        <v>102223.726</v>
      </c>
      <c r="AH204" s="219">
        <f t="shared" si="282"/>
        <v>99034.344000000012</v>
      </c>
      <c r="AI204" s="219">
        <f t="shared" si="282"/>
        <v>93185.843999999997</v>
      </c>
      <c r="AJ204" s="219">
        <f>AJ200+AJ176+AJ152+AJ128</f>
        <v>89736.322000000015</v>
      </c>
      <c r="AK204" s="212">
        <f>AK200+AK176+AK152+AK128</f>
        <v>85700.044999999998</v>
      </c>
      <c r="AL204" s="212">
        <f>AL200+AL176+AL152+AL128</f>
        <v>81977.388999999996</v>
      </c>
      <c r="AM204" s="212">
        <f>AM200+AM176+AM152+AM128</f>
        <v>77687.497000000003</v>
      </c>
    </row>
    <row r="205" spans="1:40" x14ac:dyDescent="0.25">
      <c r="A205" s="74">
        <v>205</v>
      </c>
      <c r="B205" s="22" t="s">
        <v>79</v>
      </c>
      <c r="C205" s="93"/>
      <c r="D205" s="88"/>
      <c r="E205" s="94"/>
      <c r="F205" s="252">
        <f t="shared" ref="F205:G205" si="283">F201+F177+F129</f>
        <v>-4958</v>
      </c>
      <c r="G205" s="252">
        <f t="shared" si="283"/>
        <v>-5086</v>
      </c>
      <c r="H205" s="252">
        <f t="shared" ref="H205" si="284">H201+H177+H129</f>
        <v>-5206</v>
      </c>
      <c r="I205" s="252">
        <f t="shared" ref="I205" si="285">I201+I177+I129</f>
        <v>-5349</v>
      </c>
      <c r="J205" s="252">
        <f t="shared" ref="J205:K205" si="286">J201+J177+J129</f>
        <v>-5225</v>
      </c>
      <c r="K205" s="252">
        <f t="shared" si="286"/>
        <v>-5168</v>
      </c>
      <c r="L205" s="252">
        <f t="shared" ref="L205:S205" si="287">L201+L177+L129</f>
        <v>-5130</v>
      </c>
      <c r="M205" s="252">
        <f t="shared" si="287"/>
        <v>-5077</v>
      </c>
      <c r="N205" s="252">
        <f t="shared" si="287"/>
        <v>-5053</v>
      </c>
      <c r="O205" s="252">
        <f t="shared" si="287"/>
        <v>-5229</v>
      </c>
      <c r="P205" s="252">
        <f t="shared" si="287"/>
        <v>-5069</v>
      </c>
      <c r="Q205" s="252">
        <f t="shared" si="287"/>
        <v>-5246</v>
      </c>
      <c r="R205" s="252">
        <f t="shared" si="287"/>
        <v>-5326</v>
      </c>
      <c r="S205" s="252">
        <f t="shared" si="287"/>
        <v>-5343</v>
      </c>
      <c r="T205" s="252">
        <f t="shared" ref="T205:AM205" si="288">T201+T177+T129</f>
        <v>-5777</v>
      </c>
      <c r="U205" s="418"/>
      <c r="V205" s="418"/>
      <c r="W205" s="418"/>
      <c r="X205" s="252">
        <f t="shared" si="288"/>
        <v>-4232</v>
      </c>
      <c r="Y205" s="252">
        <f t="shared" si="288"/>
        <v>-4849.0819999999994</v>
      </c>
      <c r="Z205" s="252">
        <f t="shared" si="288"/>
        <v>-5322.2340000000004</v>
      </c>
      <c r="AA205" s="252">
        <f t="shared" si="288"/>
        <v>-5629.0969999999998</v>
      </c>
      <c r="AB205" s="263">
        <f t="shared" si="288"/>
        <v>-5465.6299999999992</v>
      </c>
      <c r="AC205" s="263">
        <f t="shared" si="288"/>
        <v>-5412.1530000000002</v>
      </c>
      <c r="AD205" s="263">
        <f t="shared" si="288"/>
        <v>-4934.5750000000007</v>
      </c>
      <c r="AE205" s="263">
        <f t="shared" si="288"/>
        <v>-4209.7529999999997</v>
      </c>
      <c r="AF205" s="171">
        <f t="shared" si="288"/>
        <v>-3994.2540000000004</v>
      </c>
      <c r="AG205" s="171">
        <f t="shared" si="288"/>
        <v>-3647.0619999999999</v>
      </c>
      <c r="AH205" s="171">
        <f t="shared" si="288"/>
        <v>-3890.0929999999998</v>
      </c>
      <c r="AI205" s="171">
        <f t="shared" si="288"/>
        <v>-3968.0739999999996</v>
      </c>
      <c r="AJ205" s="171">
        <f t="shared" si="288"/>
        <v>-3714.1730000000002</v>
      </c>
      <c r="AK205" s="85">
        <f t="shared" si="288"/>
        <v>-3502.3760000000002</v>
      </c>
      <c r="AL205" s="85">
        <f t="shared" si="288"/>
        <v>-3634.9279999999999</v>
      </c>
      <c r="AM205" s="85">
        <f t="shared" si="288"/>
        <v>-3196.6410000000005</v>
      </c>
    </row>
    <row r="206" spans="1:40" x14ac:dyDescent="0.25">
      <c r="A206" s="74">
        <v>206</v>
      </c>
      <c r="B206" s="19" t="s">
        <v>182</v>
      </c>
      <c r="C206" s="95"/>
      <c r="D206" s="125"/>
      <c r="E206" s="96"/>
      <c r="F206" s="329">
        <f t="shared" ref="F206:G206" si="289">F204+F205</f>
        <v>207569</v>
      </c>
      <c r="G206" s="329">
        <f t="shared" si="289"/>
        <v>200987</v>
      </c>
      <c r="H206" s="329">
        <f t="shared" ref="H206" si="290">H204+H205</f>
        <v>196628</v>
      </c>
      <c r="I206" s="329">
        <f t="shared" ref="I206:J206" si="291">I204+I205</f>
        <v>180947</v>
      </c>
      <c r="J206" s="329">
        <f t="shared" si="291"/>
        <v>170550</v>
      </c>
      <c r="K206" s="329">
        <f t="shared" ref="K206" si="292">K204+K205</f>
        <v>166209</v>
      </c>
      <c r="L206" s="329">
        <f t="shared" ref="L206:AG206" si="293">L204+L205</f>
        <v>158045</v>
      </c>
      <c r="M206" s="329">
        <f t="shared" si="293"/>
        <v>154475</v>
      </c>
      <c r="N206" s="329">
        <f t="shared" si="293"/>
        <v>154318</v>
      </c>
      <c r="O206" s="329">
        <f t="shared" si="293"/>
        <v>152198</v>
      </c>
      <c r="P206" s="329">
        <f t="shared" si="293"/>
        <v>153800</v>
      </c>
      <c r="Q206" s="329">
        <f t="shared" si="293"/>
        <v>152765</v>
      </c>
      <c r="R206" s="329">
        <f t="shared" si="293"/>
        <v>146270</v>
      </c>
      <c r="S206" s="329">
        <f t="shared" si="293"/>
        <v>141206</v>
      </c>
      <c r="T206" s="329">
        <f t="shared" si="293"/>
        <v>136896</v>
      </c>
      <c r="U206" s="419"/>
      <c r="V206" s="419"/>
      <c r="W206" s="419"/>
      <c r="X206" s="329">
        <f t="shared" si="293"/>
        <v>131037</v>
      </c>
      <c r="Y206" s="329">
        <f t="shared" si="293"/>
        <v>125206.21800000001</v>
      </c>
      <c r="Z206" s="329">
        <f t="shared" si="293"/>
        <v>122414.524</v>
      </c>
      <c r="AA206" s="329">
        <f t="shared" si="293"/>
        <v>113328.01</v>
      </c>
      <c r="AB206" s="311">
        <f t="shared" si="293"/>
        <v>109817.864</v>
      </c>
      <c r="AC206" s="311">
        <f t="shared" si="293"/>
        <v>106109.52099999999</v>
      </c>
      <c r="AD206" s="311">
        <f t="shared" si="293"/>
        <v>100391.27200000001</v>
      </c>
      <c r="AE206" s="311">
        <f t="shared" si="293"/>
        <v>100632.42800000001</v>
      </c>
      <c r="AF206" s="219">
        <f t="shared" si="293"/>
        <v>98961.198000000004</v>
      </c>
      <c r="AG206" s="219">
        <f t="shared" si="293"/>
        <v>98576.66399999999</v>
      </c>
      <c r="AH206" s="219">
        <f t="shared" ref="AH206:AM206" si="294">AH204+AH205</f>
        <v>95144.251000000018</v>
      </c>
      <c r="AI206" s="219">
        <f t="shared" si="294"/>
        <v>89217.77</v>
      </c>
      <c r="AJ206" s="219">
        <f t="shared" si="294"/>
        <v>86022.149000000019</v>
      </c>
      <c r="AK206" s="212">
        <f t="shared" si="294"/>
        <v>82197.668999999994</v>
      </c>
      <c r="AL206" s="212">
        <f t="shared" si="294"/>
        <v>78342.460999999996</v>
      </c>
      <c r="AM206" s="212">
        <f t="shared" si="294"/>
        <v>74490.856</v>
      </c>
    </row>
    <row r="207" spans="1:40" x14ac:dyDescent="0.25">
      <c r="A207" s="74">
        <v>207</v>
      </c>
      <c r="G207" s="301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G207" s="39"/>
      <c r="AH207" s="39"/>
      <c r="AI207" s="39"/>
      <c r="AJ207" s="39"/>
      <c r="AM207" s="41"/>
    </row>
    <row r="208" spans="1:40" x14ac:dyDescent="0.25">
      <c r="A208" s="74">
        <v>208</v>
      </c>
      <c r="G208" s="301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G208" s="39"/>
      <c r="AH208" s="39"/>
      <c r="AI208" s="39"/>
      <c r="AJ208" s="39"/>
      <c r="AM208" s="39"/>
    </row>
    <row r="209" spans="1:39" x14ac:dyDescent="0.25">
      <c r="A209" s="74">
        <v>209</v>
      </c>
      <c r="G209" s="301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G209" s="39"/>
      <c r="AH209" s="39"/>
      <c r="AI209" s="39"/>
      <c r="AJ209" s="39"/>
      <c r="AM209" s="39"/>
    </row>
    <row r="210" spans="1:39" x14ac:dyDescent="0.25">
      <c r="A210" s="74">
        <v>210</v>
      </c>
      <c r="B210" s="453" t="s">
        <v>107</v>
      </c>
      <c r="C210" s="470" t="s">
        <v>201</v>
      </c>
      <c r="D210" s="472" t="s">
        <v>202</v>
      </c>
      <c r="E210" s="468" t="s">
        <v>297</v>
      </c>
      <c r="F210" s="479">
        <v>46203</v>
      </c>
      <c r="G210" s="479">
        <v>46112</v>
      </c>
      <c r="H210" s="446">
        <v>46022</v>
      </c>
      <c r="I210" s="446">
        <v>45930</v>
      </c>
      <c r="J210" s="446">
        <v>45838</v>
      </c>
      <c r="K210" s="446">
        <v>45747</v>
      </c>
      <c r="L210" s="446">
        <v>45657</v>
      </c>
      <c r="M210" s="446">
        <v>45565</v>
      </c>
      <c r="N210" s="446">
        <v>45473</v>
      </c>
      <c r="O210" s="446">
        <v>45382</v>
      </c>
      <c r="P210" s="446">
        <v>45291</v>
      </c>
      <c r="Q210" s="446">
        <v>45199</v>
      </c>
      <c r="R210" s="446">
        <v>45107</v>
      </c>
      <c r="S210" s="446">
        <v>45016</v>
      </c>
      <c r="T210" s="446">
        <v>44926</v>
      </c>
      <c r="U210" s="446">
        <v>44834</v>
      </c>
      <c r="V210" s="446">
        <v>44742</v>
      </c>
      <c r="W210" s="446">
        <v>44651</v>
      </c>
      <c r="X210" s="446">
        <v>44561</v>
      </c>
      <c r="Y210" s="446">
        <v>44469</v>
      </c>
      <c r="Z210" s="446">
        <v>44377</v>
      </c>
      <c r="AA210" s="446">
        <v>44286</v>
      </c>
      <c r="AB210" s="479">
        <v>44196</v>
      </c>
      <c r="AC210" s="479">
        <v>44104</v>
      </c>
      <c r="AD210" s="481">
        <v>44012</v>
      </c>
      <c r="AE210" s="481">
        <v>43921</v>
      </c>
      <c r="AF210" s="485">
        <v>43830</v>
      </c>
      <c r="AG210" s="485">
        <v>43738</v>
      </c>
      <c r="AH210" s="485">
        <v>43646</v>
      </c>
      <c r="AI210" s="485">
        <v>43555</v>
      </c>
      <c r="AJ210" s="485">
        <v>43465</v>
      </c>
      <c r="AK210" s="485">
        <v>43373</v>
      </c>
      <c r="AL210" s="488">
        <v>43281</v>
      </c>
      <c r="AM210" s="459">
        <v>43190</v>
      </c>
    </row>
    <row r="211" spans="1:39" x14ac:dyDescent="0.25">
      <c r="A211" s="74">
        <v>211</v>
      </c>
      <c r="B211" s="454"/>
      <c r="C211" s="471"/>
      <c r="D211" s="487"/>
      <c r="E211" s="478"/>
      <c r="F211" s="493"/>
      <c r="G211" s="493"/>
      <c r="H211" s="447"/>
      <c r="I211" s="447"/>
      <c r="J211" s="447"/>
      <c r="K211" s="447"/>
      <c r="L211" s="447"/>
      <c r="M211" s="447"/>
      <c r="N211" s="447"/>
      <c r="O211" s="447"/>
      <c r="P211" s="447"/>
      <c r="Q211" s="447"/>
      <c r="R211" s="447"/>
      <c r="S211" s="447"/>
      <c r="T211" s="447"/>
      <c r="U211" s="447"/>
      <c r="V211" s="447"/>
      <c r="W211" s="447"/>
      <c r="X211" s="447"/>
      <c r="Y211" s="447"/>
      <c r="Z211" s="447"/>
      <c r="AA211" s="447"/>
      <c r="AB211" s="480"/>
      <c r="AC211" s="480"/>
      <c r="AD211" s="482"/>
      <c r="AE211" s="482"/>
      <c r="AF211" s="486"/>
      <c r="AG211" s="486"/>
      <c r="AH211" s="486"/>
      <c r="AI211" s="486"/>
      <c r="AJ211" s="486"/>
      <c r="AK211" s="486"/>
      <c r="AL211" s="489"/>
      <c r="AM211" s="460"/>
    </row>
    <row r="212" spans="1:39" x14ac:dyDescent="0.25">
      <c r="A212" s="74">
        <v>212</v>
      </c>
      <c r="B212" s="8"/>
      <c r="C212" s="89"/>
      <c r="D212" s="57"/>
      <c r="E212" s="90"/>
      <c r="F212" s="303"/>
      <c r="G212" s="303"/>
      <c r="H212" s="57"/>
      <c r="I212" s="57"/>
      <c r="J212" s="57"/>
      <c r="K212" s="57"/>
      <c r="L212" s="57"/>
      <c r="M212" s="57"/>
      <c r="N212" s="57"/>
      <c r="O212" s="57"/>
      <c r="P212" s="303"/>
      <c r="Q212" s="303"/>
      <c r="R212" s="303"/>
      <c r="S212" s="303"/>
      <c r="T212" s="303"/>
      <c r="U212" s="303"/>
      <c r="V212" s="303"/>
      <c r="W212" s="303"/>
      <c r="X212" s="303"/>
      <c r="Y212" s="303"/>
      <c r="Z212" s="303"/>
      <c r="AA212" s="303"/>
      <c r="AB212" s="303"/>
      <c r="AC212" s="303"/>
      <c r="AD212" s="303"/>
      <c r="AE212" s="303"/>
      <c r="AF212" s="57"/>
      <c r="AG212" s="57"/>
      <c r="AH212" s="57"/>
      <c r="AI212" s="57"/>
      <c r="AJ212" s="57"/>
      <c r="AK212" s="57"/>
      <c r="AL212" s="57"/>
      <c r="AM212" s="57"/>
    </row>
    <row r="213" spans="1:39" x14ac:dyDescent="0.25">
      <c r="A213" s="74">
        <v>213</v>
      </c>
      <c r="B213" s="15" t="s">
        <v>217</v>
      </c>
      <c r="C213" s="107"/>
      <c r="D213" s="146"/>
      <c r="E213" s="108"/>
      <c r="F213" s="314">
        <f>F204/F55</f>
        <v>0.20868326297918638</v>
      </c>
      <c r="G213" s="314">
        <f>G204/G55</f>
        <v>0.21084958653332597</v>
      </c>
      <c r="H213" s="314">
        <f t="shared" ref="H213" si="295">H204/H55</f>
        <v>0.20983151849595483</v>
      </c>
      <c r="I213" s="314">
        <f t="shared" ref="I213" si="296">I204/I55</f>
        <v>0.19541094345757876</v>
      </c>
      <c r="J213" s="314">
        <f t="shared" ref="J213:K213" si="297">J204/J55</f>
        <v>0.20491397168800615</v>
      </c>
      <c r="K213" s="314">
        <f t="shared" si="297"/>
        <v>0.22537476542229248</v>
      </c>
      <c r="L213" s="314">
        <f t="shared" ref="L213:S213" si="298">L204/L55</f>
        <v>0.21726394556917361</v>
      </c>
      <c r="M213" s="314">
        <f t="shared" si="298"/>
        <v>0.21570904587629772</v>
      </c>
      <c r="N213" s="314">
        <f t="shared" si="298"/>
        <v>0.22247923823988855</v>
      </c>
      <c r="O213" s="314">
        <f t="shared" si="298"/>
        <v>0.22306340772228125</v>
      </c>
      <c r="P213" s="314">
        <f t="shared" si="298"/>
        <v>0.23148285760079265</v>
      </c>
      <c r="Q213" s="314">
        <f t="shared" si="298"/>
        <v>0.23930364458310302</v>
      </c>
      <c r="R213" s="314">
        <f t="shared" si="298"/>
        <v>0.26328348877194813</v>
      </c>
      <c r="S213" s="314">
        <f t="shared" si="298"/>
        <v>0.2452341747156904</v>
      </c>
      <c r="T213" s="314">
        <f t="shared" ref="T213:Y213" si="299">T204/T55</f>
        <v>0.25575742365710907</v>
      </c>
      <c r="U213" s="422"/>
      <c r="V213" s="422"/>
      <c r="W213" s="422"/>
      <c r="X213" s="314">
        <f t="shared" si="299"/>
        <v>0.26321330027981338</v>
      </c>
      <c r="Y213" s="314">
        <f t="shared" si="299"/>
        <v>0.25238330954435384</v>
      </c>
      <c r="Z213" s="314">
        <f t="shared" ref="Z213:AG213" si="300">Z204/Z55</f>
        <v>0.25178760381424103</v>
      </c>
      <c r="AA213" s="314">
        <f t="shared" si="300"/>
        <v>0.24644431772915246</v>
      </c>
      <c r="AB213" s="314">
        <f t="shared" si="300"/>
        <v>0.25101322998422154</v>
      </c>
      <c r="AC213" s="314">
        <f t="shared" si="300"/>
        <v>0.23796155123534982</v>
      </c>
      <c r="AD213" s="314">
        <f t="shared" si="300"/>
        <v>0.25244684337337014</v>
      </c>
      <c r="AE213" s="314">
        <f t="shared" si="300"/>
        <v>0.24137801018121585</v>
      </c>
      <c r="AF213" s="41">
        <f t="shared" si="300"/>
        <v>0.25646136891570182</v>
      </c>
      <c r="AG213" s="41">
        <f t="shared" si="300"/>
        <v>0.26159531560925803</v>
      </c>
      <c r="AH213" s="41">
        <f t="shared" ref="AH213:AM213" si="301">AH204/AH55</f>
        <v>0.27082119088470025</v>
      </c>
      <c r="AI213" s="41">
        <f t="shared" si="301"/>
        <v>0.25043543349386971</v>
      </c>
      <c r="AJ213" s="41">
        <f t="shared" si="301"/>
        <v>0.23911585370419314</v>
      </c>
      <c r="AK213" s="13">
        <f t="shared" si="301"/>
        <v>0.22778172202014318</v>
      </c>
      <c r="AL213" s="13">
        <f t="shared" si="301"/>
        <v>0.23086668836623564</v>
      </c>
      <c r="AM213" s="41">
        <f t="shared" si="301"/>
        <v>0.22467335832714347</v>
      </c>
    </row>
    <row r="214" spans="1:39" x14ac:dyDescent="0.25">
      <c r="A214" s="74">
        <v>214</v>
      </c>
      <c r="B214" s="15" t="s">
        <v>108</v>
      </c>
      <c r="C214" s="107"/>
      <c r="D214" s="146"/>
      <c r="E214" s="108"/>
      <c r="F214" s="314">
        <f>(F99)/F55</f>
        <v>0.79131673702081362</v>
      </c>
      <c r="G214" s="314">
        <f>(G99)/G55</f>
        <v>0.78915041346667403</v>
      </c>
      <c r="H214" s="314">
        <f t="shared" ref="H214" si="302">(H99)/H55</f>
        <v>0.79016848150404517</v>
      </c>
      <c r="I214" s="314">
        <f t="shared" ref="I214" si="303">(I99)/I55</f>
        <v>0.80458905654242119</v>
      </c>
      <c r="J214" s="314">
        <f t="shared" ref="J214:K214" si="304">(J99)/J55</f>
        <v>0.79508602831199382</v>
      </c>
      <c r="K214" s="314">
        <f t="shared" si="304"/>
        <v>0.77462523457770749</v>
      </c>
      <c r="L214" s="314">
        <f t="shared" ref="L214:AC214" si="305">(L99)/L55</f>
        <v>0.78273605443082639</v>
      </c>
      <c r="M214" s="314">
        <f t="shared" si="305"/>
        <v>0.78429095412370231</v>
      </c>
      <c r="N214" s="314">
        <f t="shared" si="305"/>
        <v>0.77752076176011142</v>
      </c>
      <c r="O214" s="314">
        <f t="shared" si="305"/>
        <v>0.77693659227771872</v>
      </c>
      <c r="P214" s="314">
        <f t="shared" si="305"/>
        <v>0.76851714239920732</v>
      </c>
      <c r="Q214" s="314">
        <f t="shared" si="305"/>
        <v>0.76069635541689695</v>
      </c>
      <c r="R214" s="314">
        <f t="shared" si="305"/>
        <v>0.73671651122805193</v>
      </c>
      <c r="S214" s="314">
        <f t="shared" si="305"/>
        <v>0.75476582528430958</v>
      </c>
      <c r="T214" s="314">
        <f t="shared" si="305"/>
        <v>0.74424257634289093</v>
      </c>
      <c r="U214" s="422"/>
      <c r="V214" s="422"/>
      <c r="W214" s="422"/>
      <c r="X214" s="314">
        <f t="shared" si="305"/>
        <v>0.73678669972018662</v>
      </c>
      <c r="Y214" s="314">
        <f t="shared" si="305"/>
        <v>0.74761669045564616</v>
      </c>
      <c r="Z214" s="314">
        <f t="shared" si="305"/>
        <v>0.74821224834992384</v>
      </c>
      <c r="AA214" s="314">
        <f t="shared" si="305"/>
        <v>0.75355568227084757</v>
      </c>
      <c r="AB214" s="314">
        <f t="shared" si="305"/>
        <v>0.74898680267612161</v>
      </c>
      <c r="AC214" s="314">
        <f t="shared" si="305"/>
        <v>0.7620384487646501</v>
      </c>
      <c r="AD214" s="314">
        <f t="shared" ref="AD214:AI214" si="306">(AD99)/AD55</f>
        <v>0.7475531566266298</v>
      </c>
      <c r="AE214" s="314">
        <f t="shared" si="306"/>
        <v>0.75862198981878426</v>
      </c>
      <c r="AF214" s="41">
        <f t="shared" si="306"/>
        <v>0.74353863108429841</v>
      </c>
      <c r="AG214" s="41">
        <f t="shared" si="306"/>
        <v>0.73840468439074192</v>
      </c>
      <c r="AH214" s="41">
        <f t="shared" si="306"/>
        <v>0.72917880911529986</v>
      </c>
      <c r="AI214" s="41">
        <f t="shared" si="306"/>
        <v>0.74956456650613035</v>
      </c>
      <c r="AJ214" s="41">
        <f>(AJ99)/AJ55</f>
        <v>0.76088414629580714</v>
      </c>
      <c r="AK214" s="41">
        <f>(AK99)/AK55</f>
        <v>0.77221827797985665</v>
      </c>
      <c r="AL214" s="41">
        <f>(AL99)/AL55</f>
        <v>0.76913331163376442</v>
      </c>
      <c r="AM214" s="41">
        <f>(AM99)/AM55</f>
        <v>0.77532663702767601</v>
      </c>
    </row>
    <row r="215" spans="1:39" x14ac:dyDescent="0.25">
      <c r="A215" s="74">
        <v>215</v>
      </c>
      <c r="B215" s="5"/>
      <c r="C215" s="107"/>
      <c r="D215" s="146"/>
      <c r="E215" s="108"/>
      <c r="F215" s="314"/>
      <c r="G215" s="314"/>
      <c r="H215" s="314"/>
      <c r="I215" s="314"/>
      <c r="J215" s="314"/>
      <c r="K215" s="314"/>
      <c r="L215" s="314"/>
      <c r="M215" s="314"/>
      <c r="N215" s="314"/>
      <c r="O215" s="314"/>
      <c r="P215" s="314"/>
      <c r="Q215" s="314"/>
      <c r="R215" s="314"/>
      <c r="S215" s="314"/>
      <c r="T215" s="314"/>
      <c r="U215" s="422"/>
      <c r="V215" s="422"/>
      <c r="W215" s="422"/>
      <c r="X215" s="314"/>
      <c r="Y215" s="314"/>
      <c r="Z215" s="314"/>
      <c r="AA215" s="314"/>
      <c r="AB215" s="314"/>
      <c r="AC215" s="314"/>
      <c r="AD215" s="314"/>
      <c r="AE215" s="314"/>
      <c r="AF215" s="41"/>
      <c r="AG215" s="41"/>
      <c r="AH215" s="41"/>
      <c r="AI215" s="41"/>
      <c r="AJ215" s="41"/>
      <c r="AK215" s="13"/>
      <c r="AL215" s="13"/>
      <c r="AM215" s="41"/>
    </row>
    <row r="216" spans="1:39" x14ac:dyDescent="0.25">
      <c r="A216" s="74">
        <v>216</v>
      </c>
      <c r="B216" s="5" t="s">
        <v>152</v>
      </c>
      <c r="C216" s="107"/>
      <c r="D216" s="146"/>
      <c r="E216" s="108"/>
      <c r="F216" s="314">
        <f t="shared" ref="F216:G216" si="307">-F21/F55</f>
        <v>3.4348337963058424E-2</v>
      </c>
      <c r="G216" s="314">
        <f t="shared" si="307"/>
        <v>2.868380287022201E-2</v>
      </c>
      <c r="H216" s="314">
        <f t="shared" ref="H216" si="308">-H21/H55</f>
        <v>2.9976525284701096E-2</v>
      </c>
      <c r="I216" s="314">
        <f t="shared" ref="I216" si="309">-I21/I55</f>
        <v>3.6800562224984394E-2</v>
      </c>
      <c r="J216" s="314">
        <f t="shared" ref="J216:K216" si="310">-J21/J55</f>
        <v>4.1925905719171971E-2</v>
      </c>
      <c r="K216" s="314">
        <f t="shared" si="310"/>
        <v>4.084643921889404E-2</v>
      </c>
      <c r="L216" s="314">
        <f t="shared" ref="L216:R216" si="311">-L21/L55</f>
        <v>4.4315586948851265E-2</v>
      </c>
      <c r="M216" s="314">
        <f t="shared" si="311"/>
        <v>4.17487423326569E-2</v>
      </c>
      <c r="N216" s="314">
        <f t="shared" si="311"/>
        <v>4.1026550204441736E-2</v>
      </c>
      <c r="O216" s="314">
        <f t="shared" si="311"/>
        <v>4.2710591569252568E-2</v>
      </c>
      <c r="P216" s="314">
        <f t="shared" si="311"/>
        <v>5.0346053532660168E-2</v>
      </c>
      <c r="Q216" s="314">
        <f t="shared" si="311"/>
        <v>5.5700860978804931E-2</v>
      </c>
      <c r="R216" s="314">
        <f t="shared" si="311"/>
        <v>6.4608624672189516E-2</v>
      </c>
      <c r="S216" s="314">
        <f t="shared" ref="S216:AM216" si="312">-S21/S55</f>
        <v>6.0556771554984373E-2</v>
      </c>
      <c r="T216" s="314">
        <f t="shared" si="312"/>
        <v>7.6322275901011927E-2</v>
      </c>
      <c r="U216" s="422"/>
      <c r="V216" s="422"/>
      <c r="W216" s="422"/>
      <c r="X216" s="314">
        <f t="shared" si="312"/>
        <v>7.8057807337414437E-2</v>
      </c>
      <c r="Y216" s="314">
        <f t="shared" si="312"/>
        <v>8.2756246819381873E-2</v>
      </c>
      <c r="Z216" s="314">
        <f t="shared" si="312"/>
        <v>8.3745040529066062E-2</v>
      </c>
      <c r="AA216" s="314">
        <f t="shared" si="312"/>
        <v>8.7518804292368066E-2</v>
      </c>
      <c r="AB216" s="314">
        <f t="shared" si="312"/>
        <v>8.6676195459619659E-2</v>
      </c>
      <c r="AC216" s="314">
        <f t="shared" si="312"/>
        <v>8.8491323430507474E-2</v>
      </c>
      <c r="AD216" s="314">
        <f t="shared" si="312"/>
        <v>9.2871224280358572E-2</v>
      </c>
      <c r="AE216" s="314">
        <f t="shared" si="312"/>
        <v>8.6896932845066138E-2</v>
      </c>
      <c r="AF216" s="41">
        <f t="shared" si="312"/>
        <v>8.3140858619427743E-2</v>
      </c>
      <c r="AG216" s="41">
        <f t="shared" si="312"/>
        <v>9.1676101958122327E-2</v>
      </c>
      <c r="AH216" s="41">
        <f t="shared" si="312"/>
        <v>9.9207667412037195E-2</v>
      </c>
      <c r="AI216" s="41">
        <f t="shared" si="312"/>
        <v>9.8960383225495607E-2</v>
      </c>
      <c r="AJ216" s="41">
        <f t="shared" si="312"/>
        <v>9.7260456168931073E-2</v>
      </c>
      <c r="AK216" s="13">
        <f t="shared" si="312"/>
        <v>0.10017391537318102</v>
      </c>
      <c r="AL216" s="13">
        <f t="shared" si="312"/>
        <v>0.10399030944088904</v>
      </c>
      <c r="AM216" s="41">
        <f t="shared" si="312"/>
        <v>0.10348202666710843</v>
      </c>
    </row>
    <row r="217" spans="1:39" x14ac:dyDescent="0.25">
      <c r="A217" s="74">
        <v>217</v>
      </c>
      <c r="B217" s="5"/>
      <c r="C217" s="107"/>
      <c r="D217" s="146"/>
      <c r="E217" s="108"/>
      <c r="F217" s="314"/>
      <c r="G217" s="314"/>
      <c r="H217" s="314"/>
      <c r="I217" s="314"/>
      <c r="J217" s="314"/>
      <c r="K217" s="314"/>
      <c r="L217" s="314"/>
      <c r="M217" s="314"/>
      <c r="N217" s="314"/>
      <c r="O217" s="314"/>
      <c r="P217" s="314"/>
      <c r="Q217" s="314"/>
      <c r="R217" s="314"/>
      <c r="S217" s="314"/>
      <c r="T217" s="314"/>
      <c r="U217" s="422"/>
      <c r="V217" s="422"/>
      <c r="W217" s="422"/>
      <c r="X217" s="314"/>
      <c r="Y217" s="314"/>
      <c r="Z217" s="314"/>
      <c r="AA217" s="314"/>
      <c r="AB217" s="314"/>
      <c r="AC217" s="314"/>
      <c r="AD217" s="314"/>
      <c r="AE217" s="314"/>
      <c r="AF217" s="41"/>
      <c r="AG217" s="41"/>
      <c r="AH217" s="41"/>
      <c r="AI217" s="41"/>
      <c r="AJ217" s="41"/>
      <c r="AK217" s="13"/>
      <c r="AL217" s="13"/>
      <c r="AM217" s="41"/>
    </row>
    <row r="218" spans="1:39" x14ac:dyDescent="0.25">
      <c r="A218" s="74">
        <v>218</v>
      </c>
      <c r="B218" s="5" t="s">
        <v>327</v>
      </c>
      <c r="C218" s="107"/>
      <c r="D218" s="146"/>
      <c r="E218" s="108"/>
      <c r="F218" s="314">
        <f>(F87+F96+F125+F173+F197)/F55</f>
        <v>3.9421888240498262E-2</v>
      </c>
      <c r="G218" s="314">
        <f>(G87+G96+G125+G173+G197)/G55</f>
        <v>3.6310579876522746E-2</v>
      </c>
      <c r="H218" s="314">
        <f t="shared" ref="H218:M218" si="313">(H87+H96+H125+H173+H197)/H55</f>
        <v>3.8146932172835449E-2</v>
      </c>
      <c r="I218" s="314">
        <f t="shared" si="313"/>
        <v>3.6210016205925392E-2</v>
      </c>
      <c r="J218" s="314">
        <f t="shared" si="313"/>
        <v>4.8759674469193832E-2</v>
      </c>
      <c r="K218" s="314">
        <f t="shared" si="313"/>
        <v>4.3662029250048327E-2</v>
      </c>
      <c r="L218" s="314">
        <f t="shared" si="313"/>
        <v>4.7424588406819831E-2</v>
      </c>
      <c r="M218" s="314">
        <f t="shared" si="313"/>
        <v>4.7975902539399699E-2</v>
      </c>
      <c r="N218" s="314">
        <f t="shared" ref="N218:S218" si="314">(N87+N96+N125+N173+N197)/N55</f>
        <v>4.6188896070446898E-2</v>
      </c>
      <c r="O218" s="314">
        <f t="shared" si="314"/>
        <v>4.422954303931987E-2</v>
      </c>
      <c r="P218" s="314">
        <f t="shared" si="314"/>
        <v>5.2001282219405226E-2</v>
      </c>
      <c r="Q218" s="314">
        <f t="shared" si="314"/>
        <v>5.7348609333706904E-2</v>
      </c>
      <c r="R218" s="314">
        <f t="shared" si="314"/>
        <v>6.8377359801316456E-2</v>
      </c>
      <c r="S218" s="314">
        <f t="shared" si="314"/>
        <v>6.4715154922789619E-2</v>
      </c>
      <c r="T218" s="314">
        <f t="shared" ref="T218:AM218" si="315">(T87+T96+T125+T173+T197)/T55</f>
        <v>8.4618487214190324E-2</v>
      </c>
      <c r="U218" s="422"/>
      <c r="V218" s="422"/>
      <c r="W218" s="422"/>
      <c r="X218" s="314">
        <f t="shared" si="315"/>
        <v>8.9462439240806824E-2</v>
      </c>
      <c r="Y218" s="314">
        <f t="shared" si="315"/>
        <v>9.494128217993783E-2</v>
      </c>
      <c r="Z218" s="314">
        <f t="shared" si="315"/>
        <v>0.1014298155670886</v>
      </c>
      <c r="AA218" s="314">
        <f t="shared" si="315"/>
        <v>0.1057245109930999</v>
      </c>
      <c r="AB218" s="314">
        <f t="shared" si="315"/>
        <v>0.10429661160198893</v>
      </c>
      <c r="AC218" s="314">
        <f t="shared" si="315"/>
        <v>9.4410173959978805E-2</v>
      </c>
      <c r="AD218" s="314">
        <f t="shared" si="315"/>
        <v>0.10538069467592341</v>
      </c>
      <c r="AE218" s="314">
        <f t="shared" si="315"/>
        <v>9.8046295164290184E-2</v>
      </c>
      <c r="AF218" s="41">
        <f t="shared" si="315"/>
        <v>9.2282005411937623E-2</v>
      </c>
      <c r="AG218" s="41">
        <f t="shared" si="315"/>
        <v>0.10660533115608255</v>
      </c>
      <c r="AH218" s="41">
        <f t="shared" si="315"/>
        <v>0.10374328174205837</v>
      </c>
      <c r="AI218" s="41">
        <f t="shared" si="315"/>
        <v>0.10555847811938814</v>
      </c>
      <c r="AJ218" s="41">
        <f t="shared" si="315"/>
        <v>0.10779108740049062</v>
      </c>
      <c r="AK218" s="13">
        <f t="shared" si="315"/>
        <v>0.10923221825379299</v>
      </c>
      <c r="AL218" s="13">
        <f t="shared" si="315"/>
        <v>0.12089638077312749</v>
      </c>
      <c r="AM218" s="41">
        <f t="shared" si="315"/>
        <v>0.11601324932428736</v>
      </c>
    </row>
    <row r="219" spans="1:39" x14ac:dyDescent="0.25">
      <c r="A219" s="74">
        <v>219</v>
      </c>
      <c r="B219" s="14" t="s">
        <v>328</v>
      </c>
      <c r="C219" s="107"/>
      <c r="D219" s="146"/>
      <c r="E219" s="108"/>
      <c r="F219" s="315">
        <f t="shared" ref="F219:G219" si="316">(F87+F96)/(F99)</f>
        <v>4.4108888039588429E-2</v>
      </c>
      <c r="G219" s="315">
        <f t="shared" si="316"/>
        <v>3.9853592696749401E-2</v>
      </c>
      <c r="H219" s="315">
        <f t="shared" ref="H219" si="317">(H87+H96)/(H99)</f>
        <v>4.1880029261155818E-2</v>
      </c>
      <c r="I219" s="315">
        <f t="shared" ref="I219" si="318">(I87+I96)/(I99)</f>
        <v>3.8474224277402387E-2</v>
      </c>
      <c r="J219" s="315">
        <f t="shared" ref="J219:K219" si="319">(J87+J96)/(J99)</f>
        <v>5.4030356702989925E-2</v>
      </c>
      <c r="K219" s="315">
        <f t="shared" si="319"/>
        <v>4.809585896861291E-2</v>
      </c>
      <c r="L219" s="315">
        <f t="shared" ref="L219:Z219" si="320">(L87+L96)/(L99)</f>
        <v>5.2270059707078098E-2</v>
      </c>
      <c r="M219" s="315">
        <f t="shared" si="320"/>
        <v>5.2689916240167833E-2</v>
      </c>
      <c r="N219" s="315">
        <f t="shared" si="320"/>
        <v>5.070111496130851E-2</v>
      </c>
      <c r="O219" s="315">
        <f t="shared" si="320"/>
        <v>4.8210634972452371E-2</v>
      </c>
      <c r="P219" s="315">
        <f t="shared" si="320"/>
        <v>5.8772450378336158E-2</v>
      </c>
      <c r="Q219" s="315">
        <f t="shared" si="320"/>
        <v>6.5956709749862633E-2</v>
      </c>
      <c r="R219" s="315">
        <f t="shared" si="320"/>
        <v>8.1123259640636131E-2</v>
      </c>
      <c r="S219" s="315">
        <f t="shared" si="320"/>
        <v>7.4618824536237444E-2</v>
      </c>
      <c r="T219" s="315">
        <f t="shared" si="320"/>
        <v>0.10197219465667241</v>
      </c>
      <c r="U219" s="414"/>
      <c r="V219" s="414"/>
      <c r="W219" s="414"/>
      <c r="X219" s="315">
        <f t="shared" si="320"/>
        <v>0.11029328262620661</v>
      </c>
      <c r="Y219" s="315">
        <f t="shared" si="320"/>
        <v>0.11464551092535627</v>
      </c>
      <c r="Z219" s="315">
        <f t="shared" si="320"/>
        <v>0.12251746361413028</v>
      </c>
      <c r="AA219" s="315">
        <f t="shared" ref="AA219:AF219" si="321">(AA87+AA96)/(AA99)</f>
        <v>0.12579319292038577</v>
      </c>
      <c r="AB219" s="315">
        <f t="shared" si="321"/>
        <v>0.12449611267045313</v>
      </c>
      <c r="AC219" s="315">
        <f t="shared" si="321"/>
        <v>0.10888902048648337</v>
      </c>
      <c r="AD219" s="315">
        <f t="shared" si="321"/>
        <v>0.1266487978639054</v>
      </c>
      <c r="AE219" s="315">
        <f t="shared" si="321"/>
        <v>0.11683446925635305</v>
      </c>
      <c r="AF219" s="50">
        <f t="shared" si="321"/>
        <v>0.11077865863913579</v>
      </c>
      <c r="AG219" s="50">
        <f t="shared" ref="AG219:AM219" si="322">(AG87+AG96)/(AG99)</f>
        <v>0.13066517644021292</v>
      </c>
      <c r="AH219" s="50">
        <f t="shared" si="322"/>
        <v>0.12621039234067535</v>
      </c>
      <c r="AI219" s="50">
        <f t="shared" si="322"/>
        <v>0.12547609315240066</v>
      </c>
      <c r="AJ219" s="50">
        <f t="shared" si="322"/>
        <v>0.12684721252584122</v>
      </c>
      <c r="AK219" s="50">
        <f t="shared" si="322"/>
        <v>0.12780901566110872</v>
      </c>
      <c r="AL219" s="50">
        <f t="shared" si="322"/>
        <v>0.14197153979430224</v>
      </c>
      <c r="AM219" s="50">
        <f t="shared" si="322"/>
        <v>0.13554456056716652</v>
      </c>
    </row>
    <row r="220" spans="1:39" x14ac:dyDescent="0.25">
      <c r="A220" s="74">
        <v>220</v>
      </c>
      <c r="B220" s="14" t="s">
        <v>329</v>
      </c>
      <c r="C220" s="107"/>
      <c r="D220" s="146"/>
      <c r="E220" s="108"/>
      <c r="F220" s="316">
        <f t="shared" ref="F220:G220" si="323">(F125+F173+F197)/F204</f>
        <v>2.1649014007631973E-2</v>
      </c>
      <c r="G220" s="316">
        <f t="shared" si="323"/>
        <v>2.3050084193465423E-2</v>
      </c>
      <c r="H220" s="316">
        <f t="shared" ref="H220:M220" si="324">(H125+H173+H197)/H204</f>
        <v>2.4089102926167047E-2</v>
      </c>
      <c r="I220" s="316">
        <f t="shared" si="324"/>
        <v>2.6887319105080087E-2</v>
      </c>
      <c r="J220" s="316">
        <f t="shared" si="324"/>
        <v>2.8308917650405347E-2</v>
      </c>
      <c r="K220" s="316">
        <f t="shared" si="324"/>
        <v>2.842271716741453E-2</v>
      </c>
      <c r="L220" s="316">
        <f t="shared" si="324"/>
        <v>2.9967825953730657E-2</v>
      </c>
      <c r="M220" s="316">
        <f t="shared" si="324"/>
        <v>3.0836341756919374E-2</v>
      </c>
      <c r="N220" s="316">
        <f t="shared" ref="N220:S220" si="325">(N125+N173+N197)/N204</f>
        <v>3.041958700139925E-2</v>
      </c>
      <c r="O220" s="316">
        <f t="shared" si="325"/>
        <v>3.0363279488270754E-2</v>
      </c>
      <c r="P220" s="316">
        <f t="shared" si="325"/>
        <v>2.952117782575581E-2</v>
      </c>
      <c r="Q220" s="316">
        <f t="shared" si="325"/>
        <v>2.9985254191163907E-2</v>
      </c>
      <c r="R220" s="316">
        <f t="shared" si="325"/>
        <v>3.2711944906198054E-2</v>
      </c>
      <c r="S220" s="316">
        <f t="shared" si="325"/>
        <v>3.4234283413738749E-2</v>
      </c>
      <c r="T220" s="316">
        <f t="shared" ref="T220:AM220" si="326">(T125+T173+T197)/T204</f>
        <v>3.4119980655064379E-2</v>
      </c>
      <c r="U220" s="415"/>
      <c r="V220" s="415"/>
      <c r="W220" s="415"/>
      <c r="X220" s="316">
        <f t="shared" si="326"/>
        <v>3.1152740095661238E-2</v>
      </c>
      <c r="Y220" s="316">
        <f t="shared" si="326"/>
        <v>3.6572880920654513E-2</v>
      </c>
      <c r="Z220" s="316">
        <f t="shared" si="326"/>
        <v>3.8765803027504417E-2</v>
      </c>
      <c r="AA220" s="316">
        <f t="shared" si="326"/>
        <v>4.4360266764053025E-2</v>
      </c>
      <c r="AB220" s="316">
        <f t="shared" si="326"/>
        <v>4.4024238196666732E-2</v>
      </c>
      <c r="AC220" s="316">
        <f t="shared" si="326"/>
        <v>4.8043701352617783E-2</v>
      </c>
      <c r="AD220" s="316">
        <f t="shared" si="326"/>
        <v>4.2400950262474507E-2</v>
      </c>
      <c r="AE220" s="316">
        <f t="shared" si="326"/>
        <v>3.8997328756447742E-2</v>
      </c>
      <c r="AF220" s="51">
        <f t="shared" si="326"/>
        <v>3.8656087877696851E-2</v>
      </c>
      <c r="AG220" s="51">
        <f t="shared" si="326"/>
        <v>3.8691643855752231E-2</v>
      </c>
      <c r="AH220" s="51">
        <f t="shared" si="326"/>
        <v>4.3251187688989987E-2</v>
      </c>
      <c r="AI220" s="51">
        <f t="shared" si="326"/>
        <v>4.5944156496559717E-2</v>
      </c>
      <c r="AJ220" s="51">
        <f t="shared" si="326"/>
        <v>4.7153102619917939E-2</v>
      </c>
      <c r="AK220" s="51">
        <f t="shared" si="326"/>
        <v>4.6253756342835059E-2</v>
      </c>
      <c r="AL220" s="51">
        <f t="shared" si="326"/>
        <v>5.0684402744273799E-2</v>
      </c>
      <c r="AM220" s="51">
        <f t="shared" si="326"/>
        <v>4.8612532850685092E-2</v>
      </c>
    </row>
    <row r="221" spans="1:39" x14ac:dyDescent="0.25">
      <c r="A221" s="74">
        <v>221</v>
      </c>
      <c r="C221" s="107"/>
      <c r="D221" s="146"/>
      <c r="E221" s="108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423"/>
      <c r="V221" s="423"/>
      <c r="W221" s="423"/>
      <c r="X221" s="305"/>
      <c r="Y221" s="305"/>
      <c r="Z221" s="305"/>
      <c r="AA221" s="305"/>
      <c r="AB221" s="305"/>
      <c r="AC221" s="305"/>
      <c r="AD221" s="305"/>
      <c r="AE221" s="305"/>
      <c r="AF221" s="39"/>
      <c r="AG221" s="39"/>
      <c r="AH221" s="39"/>
      <c r="AI221" s="39"/>
      <c r="AJ221" s="39"/>
      <c r="AM221" s="39"/>
    </row>
    <row r="222" spans="1:39" x14ac:dyDescent="0.25">
      <c r="A222" s="74">
        <v>222</v>
      </c>
      <c r="B222" s="5" t="s">
        <v>151</v>
      </c>
      <c r="C222" s="107"/>
      <c r="D222" s="146"/>
      <c r="E222" s="108"/>
      <c r="F222" s="314">
        <f t="shared" ref="F222:G222" si="327">F216/F218</f>
        <v>0.871301185613231</v>
      </c>
      <c r="G222" s="314">
        <f t="shared" si="327"/>
        <v>0.78995716862037879</v>
      </c>
      <c r="H222" s="41">
        <f t="shared" ref="H222" si="328">H216/H218</f>
        <v>0.78581745837080641</v>
      </c>
      <c r="I222" s="41">
        <f t="shared" ref="I222" si="329">I216/I218</f>
        <v>1.0163089134150225</v>
      </c>
      <c r="J222" s="41">
        <f t="shared" ref="J222:K222" si="330">J216/J218</f>
        <v>0.85984794147181176</v>
      </c>
      <c r="K222" s="41">
        <f t="shared" si="330"/>
        <v>0.93551399054245354</v>
      </c>
      <c r="L222" s="41">
        <f t="shared" ref="L222:Y222" si="331">L216/L218</f>
        <v>0.93444325902633496</v>
      </c>
      <c r="M222" s="41">
        <f t="shared" si="331"/>
        <v>0.87020233331454666</v>
      </c>
      <c r="N222" s="41">
        <f t="shared" si="331"/>
        <v>0.88823404962674146</v>
      </c>
      <c r="O222" s="41">
        <f t="shared" si="331"/>
        <v>0.96565753644081376</v>
      </c>
      <c r="P222" s="41">
        <f t="shared" si="331"/>
        <v>0.96816946398049819</v>
      </c>
      <c r="Q222" s="41">
        <f t="shared" si="331"/>
        <v>0.97126785855758313</v>
      </c>
      <c r="R222" s="41">
        <f t="shared" si="331"/>
        <v>0.94488328973102031</v>
      </c>
      <c r="S222" s="41">
        <f t="shared" si="331"/>
        <v>0.9357432834277144</v>
      </c>
      <c r="T222" s="41">
        <f t="shared" si="331"/>
        <v>0.90195746123209886</v>
      </c>
      <c r="U222" s="422"/>
      <c r="V222" s="422"/>
      <c r="W222" s="422"/>
      <c r="X222" s="41">
        <f t="shared" si="331"/>
        <v>0.87252044544980001</v>
      </c>
      <c r="Y222" s="41">
        <f t="shared" si="331"/>
        <v>0.8716571434388023</v>
      </c>
      <c r="Z222" s="41">
        <f t="shared" ref="Z222:AE222" si="332">Z216/Z218</f>
        <v>0.82564520166828737</v>
      </c>
      <c r="AA222" s="41">
        <f t="shared" si="332"/>
        <v>0.82780051163424129</v>
      </c>
      <c r="AB222" s="41">
        <f t="shared" si="332"/>
        <v>0.83105475938555562</v>
      </c>
      <c r="AC222" s="41">
        <f t="shared" si="332"/>
        <v>0.93730706891843696</v>
      </c>
      <c r="AD222" s="41">
        <f t="shared" si="332"/>
        <v>0.88129257987874221</v>
      </c>
      <c r="AE222" s="41">
        <f t="shared" si="332"/>
        <v>0.88628471580143098</v>
      </c>
      <c r="AF222" s="41">
        <f>AF216/AF218</f>
        <v>0.90094334478639992</v>
      </c>
      <c r="AG222" s="41">
        <f>AG216/AG218</f>
        <v>0.85995794923143098</v>
      </c>
      <c r="AH222" s="41">
        <f t="shared" ref="AH222:AM222" si="333">AH216/AH218</f>
        <v>0.95628040434176476</v>
      </c>
      <c r="AI222" s="41">
        <f t="shared" si="333"/>
        <v>0.93749346323058969</v>
      </c>
      <c r="AJ222" s="41">
        <f t="shared" si="333"/>
        <v>0.9023051767495982</v>
      </c>
      <c r="AK222" s="13">
        <f t="shared" si="333"/>
        <v>0.91707297512199493</v>
      </c>
      <c r="AL222" s="13">
        <f t="shared" si="333"/>
        <v>0.86016064977193851</v>
      </c>
      <c r="AM222" s="41">
        <f t="shared" si="333"/>
        <v>0.89198455581438907</v>
      </c>
    </row>
    <row r="223" spans="1:39" x14ac:dyDescent="0.25">
      <c r="A223" s="74">
        <v>223</v>
      </c>
      <c r="C223" s="13"/>
      <c r="D223" s="13"/>
      <c r="G223" s="301"/>
      <c r="S223" s="363"/>
    </row>
    <row r="224" spans="1:39" x14ac:dyDescent="0.25">
      <c r="A224" s="74">
        <v>224</v>
      </c>
      <c r="B224" s="5"/>
      <c r="C224" s="13"/>
      <c r="D224" s="13"/>
      <c r="E224" s="13"/>
      <c r="F224" s="307"/>
      <c r="G224" s="307"/>
      <c r="H224" s="13"/>
      <c r="I224" s="13"/>
      <c r="J224" s="13"/>
      <c r="K224" s="13"/>
      <c r="L224" s="13"/>
      <c r="M224" s="13"/>
      <c r="N224" s="13"/>
      <c r="O224" s="13"/>
      <c r="P224" s="318"/>
      <c r="Q224" s="318"/>
      <c r="R224" s="318"/>
      <c r="S224" s="318"/>
    </row>
    <row r="225" spans="1:39" x14ac:dyDescent="0.25">
      <c r="A225" s="74">
        <v>225</v>
      </c>
      <c r="B225" s="453" t="s">
        <v>440</v>
      </c>
      <c r="C225" s="470" t="s">
        <v>201</v>
      </c>
      <c r="D225" s="472" t="s">
        <v>202</v>
      </c>
      <c r="E225" s="468" t="s">
        <v>297</v>
      </c>
      <c r="F225" s="479">
        <v>46203</v>
      </c>
      <c r="G225" s="479">
        <v>46112</v>
      </c>
      <c r="H225" s="446">
        <v>46022</v>
      </c>
      <c r="I225" s="446">
        <v>45930</v>
      </c>
      <c r="J225" s="446">
        <v>45838</v>
      </c>
      <c r="K225" s="446">
        <v>45747</v>
      </c>
      <c r="L225" s="446">
        <v>45657</v>
      </c>
      <c r="M225" s="446">
        <v>45565</v>
      </c>
      <c r="N225" s="446">
        <v>45473</v>
      </c>
      <c r="O225" s="446">
        <v>45382</v>
      </c>
      <c r="P225" s="446">
        <v>45291</v>
      </c>
      <c r="Q225" s="446">
        <v>45199</v>
      </c>
      <c r="R225" s="446">
        <v>45107</v>
      </c>
      <c r="S225" s="446">
        <v>45016</v>
      </c>
      <c r="T225" s="446">
        <v>44926</v>
      </c>
      <c r="U225" s="446">
        <v>44834</v>
      </c>
      <c r="V225" s="446">
        <v>44742</v>
      </c>
      <c r="W225" s="446">
        <v>44651</v>
      </c>
      <c r="X225" s="446">
        <v>44561</v>
      </c>
      <c r="Y225" s="446">
        <v>44469</v>
      </c>
      <c r="Z225" s="446">
        <v>44377</v>
      </c>
      <c r="AA225" s="446">
        <v>44286</v>
      </c>
      <c r="AB225" s="479">
        <v>44196</v>
      </c>
      <c r="AC225" s="479">
        <v>44104</v>
      </c>
      <c r="AD225" s="479">
        <v>44012</v>
      </c>
      <c r="AE225" s="479">
        <v>43921</v>
      </c>
      <c r="AF225" s="446">
        <v>43830</v>
      </c>
      <c r="AG225" s="459">
        <v>43738</v>
      </c>
      <c r="AH225" s="459">
        <v>43646</v>
      </c>
      <c r="AI225" s="459">
        <v>43555</v>
      </c>
      <c r="AJ225" s="446">
        <v>43465</v>
      </c>
      <c r="AK225" s="446">
        <v>43373</v>
      </c>
      <c r="AL225" s="446">
        <v>43281</v>
      </c>
      <c r="AM225" s="446">
        <v>43190</v>
      </c>
    </row>
    <row r="226" spans="1:39" x14ac:dyDescent="0.25">
      <c r="A226" s="74">
        <v>226</v>
      </c>
      <c r="B226" s="454"/>
      <c r="C226" s="471"/>
      <c r="D226" s="487"/>
      <c r="E226" s="478"/>
      <c r="F226" s="493"/>
      <c r="G226" s="493"/>
      <c r="H226" s="447"/>
      <c r="I226" s="447"/>
      <c r="J226" s="447"/>
      <c r="K226" s="447"/>
      <c r="L226" s="447"/>
      <c r="M226" s="447"/>
      <c r="N226" s="447"/>
      <c r="O226" s="447"/>
      <c r="P226" s="447"/>
      <c r="Q226" s="447"/>
      <c r="R226" s="447"/>
      <c r="S226" s="447"/>
      <c r="T226" s="447"/>
      <c r="U226" s="447"/>
      <c r="V226" s="447"/>
      <c r="W226" s="447"/>
      <c r="X226" s="447"/>
      <c r="Y226" s="447"/>
      <c r="Z226" s="447"/>
      <c r="AA226" s="447"/>
      <c r="AB226" s="480"/>
      <c r="AC226" s="480"/>
      <c r="AD226" s="480"/>
      <c r="AE226" s="480"/>
      <c r="AF226" s="447"/>
      <c r="AG226" s="460"/>
      <c r="AH226" s="460"/>
      <c r="AI226" s="460"/>
      <c r="AJ226" s="447"/>
      <c r="AK226" s="447"/>
      <c r="AL226" s="447"/>
      <c r="AM226" s="447"/>
    </row>
    <row r="227" spans="1:39" x14ac:dyDescent="0.25">
      <c r="A227" s="74">
        <v>227</v>
      </c>
      <c r="B227" s="8"/>
      <c r="C227" s="89"/>
      <c r="D227" s="57"/>
      <c r="E227" s="90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303"/>
      <c r="Q227" s="303"/>
      <c r="R227" s="303"/>
      <c r="S227" s="303"/>
      <c r="T227" s="303"/>
      <c r="U227" s="303"/>
      <c r="V227" s="303"/>
      <c r="W227" s="303"/>
      <c r="X227" s="303"/>
      <c r="Y227" s="303"/>
      <c r="Z227" s="303"/>
      <c r="AA227" s="303"/>
      <c r="AB227" s="303"/>
      <c r="AC227" s="303"/>
      <c r="AD227" s="303"/>
      <c r="AE227" s="303"/>
      <c r="AF227" s="57"/>
      <c r="AG227" s="57"/>
      <c r="AH227" s="57"/>
      <c r="AI227" s="57"/>
      <c r="AJ227" s="57"/>
      <c r="AK227" s="57"/>
      <c r="AL227" s="57"/>
      <c r="AM227" s="57"/>
    </row>
    <row r="228" spans="1:39" x14ac:dyDescent="0.25">
      <c r="A228" s="74">
        <v>228</v>
      </c>
      <c r="B228" s="190" t="s">
        <v>56</v>
      </c>
      <c r="C228" s="152"/>
      <c r="D228" s="170"/>
      <c r="E228" s="153"/>
      <c r="F228" s="355"/>
      <c r="G228" s="355"/>
      <c r="H228" s="355"/>
      <c r="I228" s="355"/>
      <c r="J228" s="355"/>
      <c r="K228" s="355"/>
      <c r="L228" s="355"/>
      <c r="M228" s="355"/>
      <c r="N228" s="355"/>
      <c r="O228" s="355"/>
      <c r="P228" s="355"/>
      <c r="Q228" s="355"/>
      <c r="R228" s="355"/>
      <c r="S228" s="355"/>
      <c r="T228" s="355"/>
      <c r="U228" s="355"/>
      <c r="V228" s="355"/>
      <c r="W228" s="355"/>
      <c r="X228" s="307">
        <f>(135269)/$X$55</f>
        <v>0.26321330027981338</v>
      </c>
      <c r="Y228" s="307">
        <f>(130055.3)/$Y$55</f>
        <v>0.25238330954435384</v>
      </c>
      <c r="Z228" s="307">
        <f>(127736.828)/$Z$55</f>
        <v>0.2517877417943537</v>
      </c>
      <c r="AA228" s="307">
        <f>(118957.107)/$AA$55</f>
        <v>0.24644431772915248</v>
      </c>
      <c r="AB228" s="307">
        <f>(115283.493)/$AB$55</f>
        <v>0.2510132278068653</v>
      </c>
      <c r="AC228" s="307">
        <f>(111521.674)/$AC$55</f>
        <v>0.23796155123534982</v>
      </c>
      <c r="AD228" s="307">
        <f>(105325.847)/$AD$55</f>
        <v>0.25244684337337014</v>
      </c>
      <c r="AE228" s="307">
        <f>(104842.181)/$AE$55</f>
        <v>0.24137801018121582</v>
      </c>
      <c r="AF228" s="129">
        <f>(102955.452)/$AF$55</f>
        <v>0.25646136891570182</v>
      </c>
      <c r="AG228" s="129">
        <f>(102223.726)/$AG$55</f>
        <v>0.26159531560925803</v>
      </c>
      <c r="AH228" s="129">
        <f>(99034.344)/$AG$55</f>
        <v>0.25343353728698786</v>
      </c>
      <c r="AI228" s="129">
        <f>(93185.844)/$AI$55</f>
        <v>0.25043543349386971</v>
      </c>
      <c r="AJ228" s="129">
        <f>(89736.322)/$AJ$55</f>
        <v>0.23911585370419308</v>
      </c>
      <c r="AK228" s="129">
        <f>85700.045/AK$55</f>
        <v>0.22778172202014318</v>
      </c>
      <c r="AL228" s="129">
        <f>81977.389/AL$55</f>
        <v>0.23086668836623564</v>
      </c>
      <c r="AM228" s="129">
        <f>77687.497/$AM$55</f>
        <v>0.22467335832714347</v>
      </c>
    </row>
    <row r="229" spans="1:39" x14ac:dyDescent="0.25">
      <c r="A229" s="74">
        <v>229</v>
      </c>
      <c r="B229" s="189" t="s">
        <v>82</v>
      </c>
      <c r="C229" s="152"/>
      <c r="D229" s="170"/>
      <c r="E229" s="153"/>
      <c r="F229" s="355"/>
      <c r="G229" s="355"/>
      <c r="H229" s="355"/>
      <c r="I229" s="355"/>
      <c r="J229" s="355"/>
      <c r="K229" s="355"/>
      <c r="L229" s="355"/>
      <c r="M229" s="355"/>
      <c r="N229" s="355"/>
      <c r="O229" s="355"/>
      <c r="P229" s="355"/>
      <c r="Q229" s="355"/>
      <c r="R229" s="355"/>
      <c r="S229" s="355"/>
      <c r="T229" s="355"/>
      <c r="U229" s="355"/>
      <c r="V229" s="355"/>
      <c r="W229" s="355"/>
      <c r="X229" s="307">
        <f>(73859)/$X$55</f>
        <v>0.14371859883171115</v>
      </c>
      <c r="Y229" s="307">
        <f>(72211.447)/$Y$55</f>
        <v>0.14013242044612331</v>
      </c>
      <c r="Z229" s="307">
        <f>(49762.777)/$Z$55</f>
        <v>9.8089622565592477E-2</v>
      </c>
      <c r="AA229" s="307">
        <f>(70365.163)/$AA$55</f>
        <v>0.14577602822364874</v>
      </c>
      <c r="AB229" s="307">
        <f>(47183.535)/$AB$55</f>
        <v>0.10273536229239864</v>
      </c>
      <c r="AC229" s="307">
        <f>(55504.556)/$AC$55</f>
        <v>0.11843393102572458</v>
      </c>
      <c r="AD229" s="307">
        <f>(50944.273)/$AD$55</f>
        <v>0.12210412992739769</v>
      </c>
      <c r="AE229" s="307">
        <f>(61788.896)/$AE$55</f>
        <v>0.14225649090392431</v>
      </c>
      <c r="AF229" s="129">
        <f>(53852.537)/$AF$55</f>
        <v>0.13414632338852225</v>
      </c>
      <c r="AG229" s="129">
        <f>(57538.216)/$AG$55</f>
        <v>0.14724299693511134</v>
      </c>
      <c r="AH229" s="129">
        <f>(44223.198)/$AG$55</f>
        <v>0.11316924055439642</v>
      </c>
      <c r="AI229" s="129">
        <f>(35534.713)/$AI$55</f>
        <v>9.5498960703036068E-2</v>
      </c>
      <c r="AJ229" s="129">
        <f>(38077.446)/$AJ$55</f>
        <v>0.10146305090557771</v>
      </c>
      <c r="AK229" s="129">
        <f>45784.654/AK$55</f>
        <v>0.12169080343209199</v>
      </c>
      <c r="AL229" s="129">
        <f>37347.511/$AL$55</f>
        <v>0.10517895591053233</v>
      </c>
      <c r="AM229" s="129">
        <f>40863.932/$AM$55</f>
        <v>0.11817907889209024</v>
      </c>
    </row>
    <row r="230" spans="1:39" x14ac:dyDescent="0.25">
      <c r="A230" s="74">
        <v>230</v>
      </c>
      <c r="B230" s="190" t="s">
        <v>83</v>
      </c>
      <c r="C230" s="152"/>
      <c r="D230" s="170"/>
      <c r="E230" s="153"/>
      <c r="F230" s="355"/>
      <c r="G230" s="355"/>
      <c r="H230" s="355"/>
      <c r="I230" s="355"/>
      <c r="J230" s="355"/>
      <c r="K230" s="355"/>
      <c r="L230" s="355"/>
      <c r="M230" s="355"/>
      <c r="N230" s="355"/>
      <c r="O230" s="355"/>
      <c r="P230" s="355"/>
      <c r="Q230" s="355"/>
      <c r="R230" s="355"/>
      <c r="S230" s="355"/>
      <c r="T230" s="355"/>
      <c r="U230" s="355"/>
      <c r="V230" s="355"/>
      <c r="W230" s="355"/>
      <c r="X230" s="307">
        <f>(37465)/$X$55</f>
        <v>7.290130255256716E-2</v>
      </c>
      <c r="Y230" s="307">
        <f>(37173.951)/$Y$55</f>
        <v>7.2139196035991171E-2</v>
      </c>
      <c r="Z230" s="307">
        <f>(24742.786)/$Z$55</f>
        <v>4.877160573175459E-2</v>
      </c>
      <c r="AA230" s="307">
        <f>(36153.12)/$AA$55</f>
        <v>7.4898685895077949E-2</v>
      </c>
      <c r="AB230" s="307">
        <f>(26174.323)/$AB$55</f>
        <v>5.6990824366238403E-2</v>
      </c>
      <c r="AC230" s="307">
        <f>(28224.567)/$AC$55</f>
        <v>6.0224721396004724E-2</v>
      </c>
      <c r="AD230" s="307">
        <f>(26643.947)/$AD$55</f>
        <v>6.3860680988944485E-2</v>
      </c>
      <c r="AE230" s="307">
        <f>(32881.56)/$AE$55</f>
        <v>7.5703170696670818E-2</v>
      </c>
      <c r="AF230" s="129">
        <f>(28599.294)/$AF$55</f>
        <v>7.1240657457000117E-2</v>
      </c>
      <c r="AG230" s="129">
        <f>(23952.376)/$AG$55</f>
        <v>6.129525506937223E-2</v>
      </c>
      <c r="AH230" s="129">
        <f>(25487.051)/$AG$55</f>
        <v>6.522256046795101E-2</v>
      </c>
      <c r="AI230" s="129">
        <f>(24583.227)/$AI$55</f>
        <v>6.6067020978242172E-2</v>
      </c>
      <c r="AJ230" s="129">
        <f>(31265.466)/$AJ$55</f>
        <v>8.3311511185508849E-2</v>
      </c>
      <c r="AK230" s="129">
        <f>35322.499/AK$55</f>
        <v>9.3883493856681016E-2</v>
      </c>
      <c r="AL230" s="129">
        <f>24392.873/$AL$55</f>
        <v>6.8695793778552325E-2</v>
      </c>
      <c r="AM230" s="129">
        <f>18398.269/$AM$55</f>
        <v>5.3208058481227359E-2</v>
      </c>
    </row>
    <row r="231" spans="1:39" x14ac:dyDescent="0.25">
      <c r="A231" s="74">
        <v>231</v>
      </c>
      <c r="B231" s="190" t="s">
        <v>89</v>
      </c>
      <c r="C231" s="152"/>
      <c r="D231" s="170"/>
      <c r="E231" s="153"/>
      <c r="F231" s="355"/>
      <c r="G231" s="355"/>
      <c r="H231" s="355"/>
      <c r="I231" s="355"/>
      <c r="J231" s="355"/>
      <c r="K231" s="355"/>
      <c r="L231" s="355"/>
      <c r="M231" s="355"/>
      <c r="N231" s="355"/>
      <c r="O231" s="355"/>
      <c r="P231" s="355"/>
      <c r="Q231" s="355"/>
      <c r="R231" s="355"/>
      <c r="S231" s="355"/>
      <c r="T231" s="355"/>
      <c r="U231" s="355"/>
      <c r="V231" s="355"/>
      <c r="W231" s="355"/>
      <c r="X231" s="307">
        <f>(25197)/$X$55</f>
        <v>4.9029604175017609E-2</v>
      </c>
      <c r="Y231" s="307">
        <f>(20591.591)/$Y$55</f>
        <v>3.9959723943305124E-2</v>
      </c>
      <c r="Z231" s="307">
        <f>(22297.681)/$Z$55</f>
        <v>4.3951950538813032E-2</v>
      </c>
      <c r="AA231" s="307">
        <f>(20174.568)/$AA$55</f>
        <v>4.1795801626550923E-2</v>
      </c>
      <c r="AB231" s="307">
        <f>(12062.008)/$AB$55</f>
        <v>2.6263287857804862E-2</v>
      </c>
      <c r="AC231" s="307">
        <f>(12355.261)/$AC$55</f>
        <v>2.6363279603188339E-2</v>
      </c>
      <c r="AD231" s="307">
        <f>(13568.571)/$AD$55</f>
        <v>3.2521389721532006E-2</v>
      </c>
      <c r="AE231" s="307">
        <f>(12877.534)/$AE$55</f>
        <v>2.9647928947233108E-2</v>
      </c>
      <c r="AF231" s="129">
        <f>(8570.906)/$AF$55</f>
        <v>2.1350071734013681E-2</v>
      </c>
      <c r="AG231" s="129">
        <f>(9348.077)/$AG$55</f>
        <v>2.3922168060618781E-2</v>
      </c>
      <c r="AH231" s="129">
        <f>(11955.643)/$AG$55</f>
        <v>3.0595051914822754E-2</v>
      </c>
      <c r="AI231" s="129">
        <f>(12018.06)/$AI$55</f>
        <v>3.2298339926559401E-2</v>
      </c>
      <c r="AJ231" s="129">
        <f>(12143.785)/$AJ$55</f>
        <v>3.2358931731959938E-2</v>
      </c>
      <c r="AK231" s="129">
        <f>12514.346/AK$55</f>
        <v>3.326181779526359E-2</v>
      </c>
      <c r="AL231" s="129">
        <f>11534.703/$AL$55</f>
        <v>3.2484307141059147E-2</v>
      </c>
      <c r="AM231" s="129">
        <f>12120.655/$AM$55</f>
        <v>3.505310853269842E-2</v>
      </c>
    </row>
    <row r="232" spans="1:39" x14ac:dyDescent="0.25">
      <c r="A232" s="74">
        <v>232</v>
      </c>
      <c r="B232" s="190" t="s">
        <v>88</v>
      </c>
      <c r="C232" s="152"/>
      <c r="D232" s="170"/>
      <c r="E232" s="153"/>
      <c r="F232" s="355"/>
      <c r="G232" s="355"/>
      <c r="H232" s="355"/>
      <c r="I232" s="355"/>
      <c r="J232" s="355"/>
      <c r="K232" s="355"/>
      <c r="L232" s="355"/>
      <c r="M232" s="355"/>
      <c r="N232" s="355"/>
      <c r="O232" s="355"/>
      <c r="P232" s="355"/>
      <c r="Q232" s="355"/>
      <c r="R232" s="355"/>
      <c r="S232" s="355"/>
      <c r="T232" s="355"/>
      <c r="U232" s="355"/>
      <c r="V232" s="355"/>
      <c r="W232" s="355"/>
      <c r="X232" s="307">
        <f>(36906)/$X$55</f>
        <v>7.1813571920593719E-2</v>
      </c>
      <c r="Y232" s="307">
        <f>(42438.92)/$Y$55</f>
        <v>8.2356313684164115E-2</v>
      </c>
      <c r="Z232" s="307">
        <f>(37668.949)/$Z$55</f>
        <v>7.4250940413806726E-2</v>
      </c>
      <c r="AA232" s="307">
        <f>(27122.722)/$AA$55</f>
        <v>5.6190343618960692E-2</v>
      </c>
      <c r="AB232" s="307">
        <f>(32018.654)/$AB$55</f>
        <v>6.971601468192154E-2</v>
      </c>
      <c r="AC232" s="307">
        <f>(37647.212)/$AC$55</f>
        <v>8.0330474300503024E-2</v>
      </c>
      <c r="AD232" s="307">
        <f>(26690.488)/$AD$55</f>
        <v>6.3972231276666736E-2</v>
      </c>
      <c r="AE232" s="307">
        <f>(24679.365)/$AE$55</f>
        <v>5.6819268346162521E-2</v>
      </c>
      <c r="AF232" s="129">
        <f>(28034.925)/$AF$55</f>
        <v>6.9834817906962623E-2</v>
      </c>
      <c r="AG232" s="129">
        <f>(28000.416)/$AG$55</f>
        <v>7.1654379539154336E-2</v>
      </c>
      <c r="AH232" s="129">
        <f>(31162.002)/$AG$55</f>
        <v>7.9745026592029436E-2</v>
      </c>
      <c r="AI232" s="129">
        <f>(37581.225)/$AI$55</f>
        <v>0.10099892827182694</v>
      </c>
      <c r="AJ232" s="129">
        <f>(26288.336)/$AJ$55</f>
        <v>7.0049203767262411E-2</v>
      </c>
      <c r="AK232" s="129">
        <f>21762.988/AK$55</f>
        <v>5.7843737222585033E-2</v>
      </c>
      <c r="AL232" s="129">
        <f>20718.593/$AL$55</f>
        <v>5.8348198349155424E-2</v>
      </c>
      <c r="AM232" s="129">
        <f>22013.866/$AM$55</f>
        <v>6.3664416990854011E-2</v>
      </c>
    </row>
    <row r="233" spans="1:39" x14ac:dyDescent="0.25">
      <c r="A233" s="74">
        <v>233</v>
      </c>
      <c r="B233" s="190" t="s">
        <v>81</v>
      </c>
      <c r="C233" s="231"/>
      <c r="D233" s="223"/>
      <c r="E233" s="232"/>
      <c r="F233" s="355"/>
      <c r="G233" s="355"/>
      <c r="H233" s="355"/>
      <c r="I233" s="355"/>
      <c r="J233" s="355"/>
      <c r="K233" s="355"/>
      <c r="L233" s="355"/>
      <c r="M233" s="355"/>
      <c r="N233" s="355"/>
      <c r="O233" s="355"/>
      <c r="P233" s="355"/>
      <c r="Q233" s="355"/>
      <c r="R233" s="355"/>
      <c r="S233" s="355"/>
      <c r="T233" s="355"/>
      <c r="U233" s="355"/>
      <c r="V233" s="355"/>
      <c r="W233" s="355"/>
      <c r="X233" s="307">
        <f>(32114)/$X$55</f>
        <v>6.2489054588900091E-2</v>
      </c>
      <c r="Y233" s="307">
        <f>(33300.977)/$Y$55</f>
        <v>6.4623362418297498E-2</v>
      </c>
      <c r="Z233" s="307">
        <f>(30844.234)/$Z$55</f>
        <v>6.0798441200032201E-2</v>
      </c>
      <c r="AA233" s="307">
        <f>(26230.995)/$AA$55</f>
        <v>5.4342946202716666E-2</v>
      </c>
      <c r="AB233" s="307">
        <f>(29154.482)/$AB$55</f>
        <v>6.347969203064617E-2</v>
      </c>
      <c r="AC233" s="307">
        <f>(32617.325)/$AC$55</f>
        <v>6.9597854621044841E-2</v>
      </c>
      <c r="AD233" s="307">
        <f>(29441.543)/$AD$55</f>
        <v>7.0566008307451286E-2</v>
      </c>
      <c r="AE233" s="307">
        <f>(29493.247)/$AE$55</f>
        <v>6.7902262302642416E-2</v>
      </c>
      <c r="AF233" s="129">
        <f>(29029.365)/$AF$55</f>
        <v>7.2311961552590356E-2</v>
      </c>
      <c r="AG233" s="129">
        <f>(33741.437)/$AG$55</f>
        <v>8.6345921896105571E-2</v>
      </c>
      <c r="AH233" s="129">
        <f>(35045.097)/$AG$55</f>
        <v>8.9682049060431063E-2</v>
      </c>
      <c r="AI233" s="129">
        <f>(36771.51)/$AI$55</f>
        <v>9.8822832436589472E-2</v>
      </c>
      <c r="AJ233" s="129">
        <f>(40348.431)/$AJ$55</f>
        <v>0.10751443015671769</v>
      </c>
      <c r="AK233" s="129">
        <f>40772.284/AK$55</f>
        <v>0.10836845021743374</v>
      </c>
      <c r="AL233" s="129">
        <f>42399.591/$AL$55</f>
        <v>0.11940674473363443</v>
      </c>
      <c r="AM233" s="129">
        <f>47495.862/$AM$55</f>
        <v>0.1373587158070308</v>
      </c>
    </row>
    <row r="234" spans="1:39" x14ac:dyDescent="0.25">
      <c r="A234" s="74">
        <v>234</v>
      </c>
      <c r="B234" s="190" t="s">
        <v>84</v>
      </c>
      <c r="C234" s="152"/>
      <c r="D234" s="170"/>
      <c r="E234" s="153"/>
      <c r="F234" s="355"/>
      <c r="G234" s="355"/>
      <c r="H234" s="355"/>
      <c r="I234" s="355"/>
      <c r="J234" s="355"/>
      <c r="K234" s="355"/>
      <c r="L234" s="355"/>
      <c r="M234" s="355"/>
      <c r="N234" s="355"/>
      <c r="O234" s="355"/>
      <c r="P234" s="355"/>
      <c r="Q234" s="355"/>
      <c r="R234" s="355"/>
      <c r="S234" s="355"/>
      <c r="T234" s="355"/>
      <c r="U234" s="355"/>
      <c r="V234" s="355"/>
      <c r="W234" s="355"/>
      <c r="X234" s="307">
        <f>(64993)/$X$55</f>
        <v>0.12646668508738818</v>
      </c>
      <c r="Y234" s="307">
        <f>(59242.876)/$Y$55</f>
        <v>0.11496581155712816</v>
      </c>
      <c r="Z234" s="307">
        <f>(64571.255)/$Z$55</f>
        <v>0.12727927204578285</v>
      </c>
      <c r="AA234" s="307">
        <f>(56066.545)/$AA$55</f>
        <v>0.11615347563854109</v>
      </c>
      <c r="AB234" s="307">
        <f>(55359.281)/$AB$55</f>
        <v>0.12053687350432096</v>
      </c>
      <c r="AC234" s="307">
        <f>(51809.694)/$AC$55</f>
        <v>0.11054994702885106</v>
      </c>
      <c r="AD234" s="307">
        <f>(33080.894)/$AD$55</f>
        <v>7.9288868821240616E-2</v>
      </c>
      <c r="AE234" s="307">
        <f>(46716.046)/$AE$55</f>
        <v>0.10755428892703164</v>
      </c>
      <c r="AF234" s="129">
        <f>(45381.314)/$AF$55</f>
        <v>0.11304456136653455</v>
      </c>
      <c r="AG234" s="129">
        <f>(33526.911)/$AG$55</f>
        <v>8.5796939787232032E-2</v>
      </c>
      <c r="AH234" s="129">
        <f>(28522.463)/$AG$55</f>
        <v>7.2990322329264196E-2</v>
      </c>
      <c r="AI234" s="129">
        <f>(27172.811)/$AI$55</f>
        <v>7.302648567557099E-2</v>
      </c>
      <c r="AJ234" s="129">
        <f>(26588.47)/$AJ$55</f>
        <v>7.0848955707570979E-2</v>
      </c>
      <c r="AK234" s="129">
        <f>25203.314/AK$55</f>
        <v>6.6987762533081321E-2</v>
      </c>
      <c r="AL234" s="129">
        <f>21943.875/$AL$55</f>
        <v>6.1798866894536363E-2</v>
      </c>
      <c r="AM234" s="129">
        <f>21986.874/$AM$55</f>
        <v>6.358635573875876E-2</v>
      </c>
    </row>
    <row r="235" spans="1:39" x14ac:dyDescent="0.25">
      <c r="A235" s="74">
        <v>235</v>
      </c>
      <c r="B235" s="190" t="s">
        <v>85</v>
      </c>
      <c r="C235" s="152"/>
      <c r="D235" s="170"/>
      <c r="E235" s="153"/>
      <c r="F235" s="355"/>
      <c r="G235" s="355"/>
      <c r="H235" s="355"/>
      <c r="I235" s="355"/>
      <c r="J235" s="355"/>
      <c r="K235" s="355"/>
      <c r="L235" s="355"/>
      <c r="M235" s="355"/>
      <c r="N235" s="355"/>
      <c r="O235" s="355"/>
      <c r="P235" s="355"/>
      <c r="Q235" s="355"/>
      <c r="R235" s="355"/>
      <c r="S235" s="355"/>
      <c r="T235" s="355"/>
      <c r="U235" s="355"/>
      <c r="V235" s="355"/>
      <c r="W235" s="355"/>
      <c r="X235" s="307">
        <f>(39104)/$X$55</f>
        <v>7.6090552115723645E-2</v>
      </c>
      <c r="Y235" s="307">
        <f>(43999.027)/$Y$55</f>
        <v>8.538383326931992E-2</v>
      </c>
      <c r="Z235" s="307">
        <f>(58225.015)/$Z$55</f>
        <v>0.11476991618104351</v>
      </c>
      <c r="AA235" s="307">
        <f>(51120.221)/$AA$55</f>
        <v>0.10590613965173593</v>
      </c>
      <c r="AB235" s="307">
        <f>(54154.074)/$AB$55</f>
        <v>0.11791270857512828</v>
      </c>
      <c r="AC235" s="307">
        <f>(54074.573)/$AC$55</f>
        <v>0.11538267685498663</v>
      </c>
      <c r="AD235" s="307">
        <f>(44319.632)/$AD$55</f>
        <v>0.10622607381329108</v>
      </c>
      <c r="AE235" s="307">
        <f>(46702.525)/$AE$55</f>
        <v>0.10752315954719109</v>
      </c>
      <c r="AF235" s="129">
        <f>(36863.609)/$AF$55</f>
        <v>9.1827012981431866E-2</v>
      </c>
      <c r="AG235" s="129">
        <f>(41877.011)/$AG$55</f>
        <v>0.10716523783644288</v>
      </c>
      <c r="AH235" s="129">
        <f>(32831.79)/$AG$55</f>
        <v>8.4018092502976094E-2</v>
      </c>
      <c r="AI235" s="129">
        <f>(39741.077)/$AI$55</f>
        <v>0.10680349523912941</v>
      </c>
      <c r="AJ235" s="129">
        <f>(39535.978)/$AJ$55</f>
        <v>0.10534952760266013</v>
      </c>
      <c r="AK235" s="129">
        <f>36957.462/AK$55</f>
        <v>9.8229053857019619E-2</v>
      </c>
      <c r="AL235" s="129">
        <f>37752.017/$AL$55</f>
        <v>0.10631813540604265</v>
      </c>
      <c r="AM235" s="129">
        <f>31487.27/$AM$55</f>
        <v>9.1061637568958034E-2</v>
      </c>
    </row>
    <row r="236" spans="1:39" x14ac:dyDescent="0.25">
      <c r="A236" s="74">
        <v>236</v>
      </c>
      <c r="B236" s="190" t="s">
        <v>87</v>
      </c>
      <c r="C236" s="152"/>
      <c r="D236" s="170"/>
      <c r="E236" s="153"/>
      <c r="F236" s="355"/>
      <c r="G236" s="355"/>
      <c r="H236" s="355"/>
      <c r="I236" s="355"/>
      <c r="J236" s="355"/>
      <c r="K236" s="355"/>
      <c r="L236" s="355"/>
      <c r="M236" s="355"/>
      <c r="N236" s="355"/>
      <c r="O236" s="355"/>
      <c r="P236" s="355"/>
      <c r="Q236" s="355"/>
      <c r="R236" s="355"/>
      <c r="S236" s="355"/>
      <c r="T236" s="355"/>
      <c r="U236" s="355"/>
      <c r="V236" s="355"/>
      <c r="W236" s="355"/>
      <c r="X236" s="307">
        <f>(25337)/$X$55</f>
        <v>4.930202329572652E-2</v>
      </c>
      <c r="Y236" s="307">
        <f>(25887.46)/$Y$55</f>
        <v>5.0236805654956605E-2</v>
      </c>
      <c r="Z236" s="307">
        <f>(24094.502)/$Z$55</f>
        <v>4.7493744311856087E-2</v>
      </c>
      <c r="AA236" s="307">
        <f>(24517.539)/$AA$55</f>
        <v>5.0793166744151637E-2</v>
      </c>
      <c r="AB236" s="307">
        <f>(24519.61)/$AB$55</f>
        <v>5.3387924762702085E-2</v>
      </c>
      <c r="AC236" s="307">
        <f>(26481.812)/$AC$55</f>
        <v>5.6506083858128796E-2</v>
      </c>
      <c r="AD236" s="307">
        <f>(27285.861)/$AD$55</f>
        <v>6.5399231759081411E-2</v>
      </c>
      <c r="AE236" s="307">
        <f>(30435.033)/$AE$55</f>
        <v>7.0070534924675396E-2</v>
      </c>
      <c r="AF236" s="129">
        <f>(29408.637)/$AF$55</f>
        <v>7.325672566582446E-2</v>
      </c>
      <c r="AG236" s="129">
        <f>(25888.444)/$AG$55</f>
        <v>6.6249744005737007E-2</v>
      </c>
      <c r="AH236" s="129">
        <f>(23018.678)/$AG$55</f>
        <v>5.8905878037725651E-2</v>
      </c>
      <c r="AI236" s="129">
        <f>(18922.189)/$AI$55</f>
        <v>5.085307383026904E-2</v>
      </c>
      <c r="AJ236" s="129">
        <f>(20594.945)/$AJ$55</f>
        <v>5.4878311768404138E-2</v>
      </c>
      <c r="AK236" s="129">
        <f>20043.101/AK$55</f>
        <v>5.3272458146359829E-2</v>
      </c>
      <c r="AL236" s="129">
        <f>20750.289/$AL$55</f>
        <v>5.8437461384288882E-2</v>
      </c>
      <c r="AM236" s="129">
        <f>18465.973/$AM$55</f>
        <v>5.340385942268621E-2</v>
      </c>
    </row>
    <row r="237" spans="1:39" x14ac:dyDescent="0.25">
      <c r="A237" s="74">
        <v>237</v>
      </c>
      <c r="B237" s="189" t="s">
        <v>86</v>
      </c>
      <c r="C237" s="152"/>
      <c r="D237" s="170"/>
      <c r="E237" s="153"/>
      <c r="F237" s="355"/>
      <c r="G237" s="355"/>
      <c r="H237" s="355"/>
      <c r="I237" s="355"/>
      <c r="J237" s="355"/>
      <c r="K237" s="355"/>
      <c r="L237" s="355"/>
      <c r="M237" s="355"/>
      <c r="N237" s="355"/>
      <c r="O237" s="355"/>
      <c r="P237" s="355"/>
      <c r="Q237" s="355"/>
      <c r="R237" s="355"/>
      <c r="S237" s="355"/>
      <c r="T237" s="355"/>
      <c r="U237" s="355"/>
      <c r="V237" s="355"/>
      <c r="W237" s="355"/>
      <c r="X237" s="307">
        <f>(25238)/$X$55</f>
        <v>4.9109384060368078E-2</v>
      </c>
      <c r="Y237" s="307">
        <f>(27656.797)/$Y$55</f>
        <v>5.3670353751491533E-2</v>
      </c>
      <c r="Z237" s="307">
        <f>(43275.29)/$Z$55</f>
        <v>8.5301848458267479E-2</v>
      </c>
      <c r="AA237" s="307">
        <f>(30156.844)/$AA$55</f>
        <v>6.2476156590160571E-2</v>
      </c>
      <c r="AB237" s="307">
        <f>(43623.674)/$AB$55</f>
        <v>9.498427688632255E-2</v>
      </c>
      <c r="AC237" s="307">
        <f>(32116.466)/$AC$55</f>
        <v>6.852913694209227E-2</v>
      </c>
      <c r="AD237" s="307">
        <f>(33224.77)/$AD$55</f>
        <v>7.9633713349641963E-2</v>
      </c>
      <c r="AE237" s="307">
        <f>(17320.782)/$AE$55</f>
        <v>3.9877612751518583E-2</v>
      </c>
      <c r="AF237" s="129">
        <f>(10625.487)/$AF$55</f>
        <v>2.646801979380357E-2</v>
      </c>
      <c r="AG237" s="129">
        <f>(10129.347)/$AG$55</f>
        <v>2.5921474681725953E-2</v>
      </c>
      <c r="AH237" s="129">
        <f>(8470.444)/$AG$55</f>
        <v>2.1676263996976065E-2</v>
      </c>
      <c r="AI237" s="129">
        <f>(23005.314)/$AI$55</f>
        <v>6.1826405567057909E-2</v>
      </c>
      <c r="AJ237" s="129">
        <f>(24715.3)/$AJ$55</f>
        <v>6.5857614033426104E-2</v>
      </c>
      <c r="AK237" s="129">
        <f>23125.749/AK$55</f>
        <v>6.1465812885227823E-2</v>
      </c>
      <c r="AL237" s="129">
        <f>23969.679/$AL$55</f>
        <v>6.750398468938433E-2</v>
      </c>
      <c r="AM237" s="129">
        <f>23167.545/$AM$55</f>
        <v>6.7000873246633494E-2</v>
      </c>
    </row>
    <row r="238" spans="1:39" x14ac:dyDescent="0.25">
      <c r="A238" s="74">
        <v>238</v>
      </c>
      <c r="B238" s="190" t="s">
        <v>90</v>
      </c>
      <c r="C238" s="152"/>
      <c r="D238" s="170"/>
      <c r="E238" s="153"/>
      <c r="F238" s="355"/>
      <c r="G238" s="355"/>
      <c r="H238" s="355"/>
      <c r="I238" s="355"/>
      <c r="J238" s="355"/>
      <c r="K238" s="355"/>
      <c r="L238" s="355"/>
      <c r="M238" s="355"/>
      <c r="N238" s="355"/>
      <c r="O238" s="355"/>
      <c r="P238" s="355"/>
      <c r="Q238" s="355"/>
      <c r="R238" s="355"/>
      <c r="S238" s="355"/>
      <c r="T238" s="355"/>
      <c r="U238" s="355"/>
      <c r="V238" s="355"/>
      <c r="W238" s="355"/>
      <c r="X238" s="307">
        <f>(6856)/$X$55</f>
        <v>1.334075351128788E-2</v>
      </c>
      <c r="Y238" s="307">
        <f>(6747.275)/$Y$55</f>
        <v>1.3093657812529592E-2</v>
      </c>
      <c r="Z238" s="307">
        <f>(7145.252)/$Z$55</f>
        <v>1.4084323947918838E-2</v>
      </c>
      <c r="AA238" s="307">
        <f>(7060.195)/$AA$55</f>
        <v>1.4626658160153252E-2</v>
      </c>
      <c r="AB238" s="307">
        <f>(7084.117)/$AB$55</f>
        <v>1.542464604478533E-2</v>
      </c>
      <c r="AC238" s="307">
        <f>(6914.537)/$AC$55</f>
        <v>1.4754028446472407E-2</v>
      </c>
      <c r="AD238" s="307">
        <f>(6745.973)/$AD$55</f>
        <v>1.6168866786630102E-2</v>
      </c>
      <c r="AE238" s="307">
        <f>(6617.35)/$AE$55</f>
        <v>1.5235115870707312E-2</v>
      </c>
      <c r="AF238" s="129">
        <f>(7252.989)/$AF$55</f>
        <v>1.8067148961383096E-2</v>
      </c>
      <c r="AG238" s="129">
        <f>(7075.749)/$AG$55</f>
        <v>1.8107173992336103E-2</v>
      </c>
      <c r="AH238" s="129">
        <f>(7638.131)/$AG$55</f>
        <v>1.9546335941715311E-2</v>
      </c>
      <c r="AI238" s="129">
        <f>(6990.071)/$AI$55</f>
        <v>1.878570162478678E-2</v>
      </c>
      <c r="AJ238" s="129">
        <f>(6790.473)/$AJ$55</f>
        <v>1.8094231101317849E-2</v>
      </c>
      <c r="AK238" s="129">
        <f>7149.944/AK$55</f>
        <v>1.9003800484207339E-2</v>
      </c>
      <c r="AL238" s="129">
        <f>7003.792/$AL$55</f>
        <v>1.9724246951143255E-2</v>
      </c>
      <c r="AM238" s="129">
        <f>6260.345/$AM$55</f>
        <v>1.8105007752232522E-2</v>
      </c>
    </row>
    <row r="239" spans="1:39" x14ac:dyDescent="0.25">
      <c r="A239" s="74">
        <v>239</v>
      </c>
      <c r="B239" s="189" t="s">
        <v>93</v>
      </c>
      <c r="C239" s="152"/>
      <c r="D239" s="170"/>
      <c r="E239" s="153"/>
      <c r="F239" s="355"/>
      <c r="G239" s="355"/>
      <c r="H239" s="355"/>
      <c r="I239" s="355"/>
      <c r="J239" s="355"/>
      <c r="K239" s="355"/>
      <c r="L239" s="355"/>
      <c r="M239" s="355"/>
      <c r="N239" s="355"/>
      <c r="O239" s="355"/>
      <c r="P239" s="355"/>
      <c r="Q239" s="355"/>
      <c r="R239" s="355"/>
      <c r="S239" s="355"/>
      <c r="T239" s="355"/>
      <c r="U239" s="355"/>
      <c r="V239" s="355"/>
      <c r="W239" s="355"/>
      <c r="X239" s="307">
        <f>(889)/$X$55</f>
        <v>1.7298614165015937E-3</v>
      </c>
      <c r="Y239" s="307">
        <f>(4973.949)/$Y$55</f>
        <v>9.65236872411066E-3</v>
      </c>
      <c r="Z239" s="307">
        <f>(5945.705)/$Z$55</f>
        <v>1.1719843515492634E-2</v>
      </c>
      <c r="AA239" s="307">
        <f>(3142.018)/$AA$55</f>
        <v>6.5093419118095758E-3</v>
      </c>
      <c r="AB239" s="307">
        <f>(2968.304)/$AB$55</f>
        <v>6.4630551067014382E-3</v>
      </c>
      <c r="AC239" s="307">
        <f>(2661.809)/$AC$55</f>
        <v>5.6796869703750622E-3</v>
      </c>
      <c r="AD239" s="307">
        <f>(3576.792)/$AD$55</f>
        <v>8.5729180018189015E-3</v>
      </c>
      <c r="AE239" s="307">
        <f>(2103.529)/$AE$55</f>
        <v>4.8429519448711465E-3</v>
      </c>
      <c r="AF239" s="129">
        <f>(5030.982)/$AF$55</f>
        <v>1.2532143812163103E-2</v>
      </c>
      <c r="AG239" s="129">
        <f>(1992.093)/$AG$55</f>
        <v>5.0978595424901038E-3</v>
      </c>
      <c r="AH239" s="129">
        <f>(3268.403)/$AG$55</f>
        <v>8.3639967723661904E-3</v>
      </c>
      <c r="AI239" s="129">
        <f>(2786.688)/$AI$55</f>
        <v>7.4891784774966993E-3</v>
      </c>
      <c r="AJ239" s="129">
        <f>(3671.459)/$AJ$55</f>
        <v>9.7831517222752122E-3</v>
      </c>
      <c r="AK239" s="129">
        <f>5816.742/AK$55</f>
        <v>1.5460289540185093E-2</v>
      </c>
      <c r="AL239" s="129">
        <f>8386.863/$AL$55</f>
        <v>2.3619284661424288E-2</v>
      </c>
      <c r="AM239" s="129">
        <f>7736.75/$AM$55</f>
        <v>2.2374792240217586E-2</v>
      </c>
    </row>
    <row r="240" spans="1:39" x14ac:dyDescent="0.25">
      <c r="A240" s="74">
        <v>240</v>
      </c>
      <c r="B240" s="5" t="s">
        <v>92</v>
      </c>
      <c r="C240" s="93"/>
      <c r="D240" s="88"/>
      <c r="E240" s="94"/>
      <c r="F240" s="355"/>
      <c r="G240" s="355"/>
      <c r="H240" s="355"/>
      <c r="I240" s="355"/>
      <c r="J240" s="355"/>
      <c r="K240" s="355"/>
      <c r="L240" s="355"/>
      <c r="M240" s="355"/>
      <c r="N240" s="355"/>
      <c r="O240" s="355"/>
      <c r="P240" s="355"/>
      <c r="Q240" s="355"/>
      <c r="R240" s="355"/>
      <c r="S240" s="355"/>
      <c r="T240" s="355"/>
      <c r="U240" s="355"/>
      <c r="V240" s="355"/>
      <c r="W240" s="355"/>
      <c r="X240" s="307">
        <f>(2041)/$X$55</f>
        <v>3.9714816097635016E-3</v>
      </c>
      <c r="Y240" s="307">
        <f>(2461.275)/$Y$55</f>
        <v>4.7763123086777661E-3</v>
      </c>
      <c r="Z240" s="307">
        <f>(2649.659)/$Z$55</f>
        <v>5.2228606783243873E-3</v>
      </c>
      <c r="AA240" s="307">
        <f>(2430.423)/$AA$55</f>
        <v>5.0351252912382944E-3</v>
      </c>
      <c r="AB240" s="307">
        <f>(1501.799)/$AB$55</f>
        <v>3.2699513581456322E-3</v>
      </c>
      <c r="AC240" s="307">
        <f>(1451.326)/$AC$55</f>
        <v>3.0967952140692877E-3</v>
      </c>
      <c r="AD240" s="307">
        <f>(2417.655)/$AD$55</f>
        <v>5.7946780443725769E-3</v>
      </c>
      <c r="AE240" s="307">
        <f>(1607.198)/$AE$55</f>
        <v>3.7002497611837142E-3</v>
      </c>
      <c r="AF240" s="129">
        <f>(1720.988)/$AF$55</f>
        <v>4.28697004183417E-3</v>
      </c>
      <c r="AG240" s="129">
        <f>(1747.001)/$AG$55</f>
        <v>4.4706576041328152E-3</v>
      </c>
      <c r="AH240" s="129">
        <f>(1975.364)/$AG$55</f>
        <v>5.0550492458391353E-3</v>
      </c>
      <c r="AI240" s="129">
        <f>(1944.697)/$AI$55</f>
        <v>5.2263414195103282E-3</v>
      </c>
      <c r="AJ240" s="129">
        <f>(1736.826)/$AJ$55</f>
        <v>4.6280326903262083E-3</v>
      </c>
      <c r="AK240" s="129">
        <f>1835.782/AK$55</f>
        <v>4.8793158184874058E-3</v>
      </c>
      <c r="AL240" s="129">
        <f>1918.529/$AL$55</f>
        <v>5.4030073678558574E-3</v>
      </c>
      <c r="AM240" s="129">
        <f>2154.86/$AM$55</f>
        <v>6.2318861029185737E-3</v>
      </c>
    </row>
    <row r="241" spans="1:39" x14ac:dyDescent="0.25">
      <c r="A241" s="74">
        <v>241</v>
      </c>
      <c r="B241" s="5" t="s">
        <v>91</v>
      </c>
      <c r="C241" s="93"/>
      <c r="D241" s="88"/>
      <c r="E241" s="94"/>
      <c r="F241" s="355"/>
      <c r="G241" s="355"/>
      <c r="H241" s="355"/>
      <c r="I241" s="355"/>
      <c r="J241" s="355"/>
      <c r="K241" s="355"/>
      <c r="L241" s="355"/>
      <c r="M241" s="355"/>
      <c r="N241" s="355"/>
      <c r="O241" s="355"/>
      <c r="P241" s="355"/>
      <c r="Q241" s="355"/>
      <c r="R241" s="355"/>
      <c r="S241" s="355"/>
      <c r="T241" s="355"/>
      <c r="U241" s="355"/>
      <c r="V241" s="355"/>
      <c r="W241" s="355"/>
      <c r="X241" s="307">
        <f>(691)/$X$55</f>
        <v>1.3445829457847034E-3</v>
      </c>
      <c r="Y241" s="307">
        <f>(590.067)/$Y$55</f>
        <v>1.1450749205369427E-3</v>
      </c>
      <c r="Z241" s="307">
        <f>(563.197)/$Z$55</f>
        <v>1.1101426506015528E-3</v>
      </c>
      <c r="AA241" s="307">
        <f>(1981.759)/$AA$55</f>
        <v>4.1056247665690751E-3</v>
      </c>
      <c r="AB241" s="307">
        <f>(569.17)/$AB$55</f>
        <v>1.2392858262095989E-3</v>
      </c>
      <c r="AC241" s="307">
        <f>(3870.119)/$AC$55</f>
        <v>8.2579420454664335E-3</v>
      </c>
      <c r="AD241" s="307">
        <f>(3041.29)/$AD$55</f>
        <v>7.2894173856773914E-3</v>
      </c>
      <c r="AE241" s="307">
        <f>(3952.158)/$AE$55</f>
        <v>9.0990479677428068E-3</v>
      </c>
      <c r="AF241" s="129">
        <f>(2029.867)/$AF$55</f>
        <v>5.0563856447039725E-3</v>
      </c>
      <c r="AG241" s="129">
        <f>(1126.141)/$AG$55</f>
        <v>2.8818477064270331E-3</v>
      </c>
      <c r="AH241" s="129">
        <f>(1496.156)/$AG$55</f>
        <v>3.8287334685950017E-3</v>
      </c>
      <c r="AI241" s="129">
        <f>(764.016)/$AI$55</f>
        <v>2.0532805192626938E-3</v>
      </c>
      <c r="AJ241" s="129">
        <f>(1658.732)/$AJ$55</f>
        <v>4.419939545176184E-3</v>
      </c>
      <c r="AK241" s="129">
        <f>964.436/AK$55</f>
        <v>2.5633696325155818E-3</v>
      </c>
      <c r="AL241" s="129">
        <f>1003.663/$AL$55</f>
        <v>2.826539804112585E-3</v>
      </c>
      <c r="AM241" s="129">
        <f>1498.835/$AM$55</f>
        <v>4.3346523704871588E-3</v>
      </c>
    </row>
    <row r="242" spans="1:39" x14ac:dyDescent="0.25">
      <c r="A242" s="74">
        <v>242</v>
      </c>
      <c r="B242" s="5" t="s">
        <v>60</v>
      </c>
      <c r="C242" s="93"/>
      <c r="D242" s="88"/>
      <c r="E242" s="94"/>
      <c r="F242" s="355"/>
      <c r="G242" s="355"/>
      <c r="H242" s="355"/>
      <c r="I242" s="355"/>
      <c r="J242" s="355"/>
      <c r="K242" s="355"/>
      <c r="L242" s="355"/>
      <c r="M242" s="355"/>
      <c r="N242" s="355"/>
      <c r="O242" s="355"/>
      <c r="P242" s="355"/>
      <c r="Q242" s="355"/>
      <c r="R242" s="355"/>
      <c r="S242" s="355"/>
      <c r="T242" s="355"/>
      <c r="U242" s="355"/>
      <c r="V242" s="355"/>
      <c r="W242" s="355"/>
      <c r="X242" s="307">
        <f>(7955)/$X$55</f>
        <v>1.5479243608852843E-2</v>
      </c>
      <c r="Y242" s="307">
        <f>(7977.728)/$Y$55</f>
        <v>1.5481455929013727E-2</v>
      </c>
      <c r="Z242" s="307">
        <f>(7796.357)/$Z$55</f>
        <v>1.5367745966359852E-2</v>
      </c>
      <c r="AA242" s="307">
        <f>(7214.43)/$AA$55</f>
        <v>1.4946187949533184E-2</v>
      </c>
      <c r="AB242" s="307">
        <f>(7616.057)/$AB$55</f>
        <v>1.6582868899809197E-2</v>
      </c>
      <c r="AC242" s="307">
        <f>(11403.242)/$AC$55</f>
        <v>2.4331890457742707E-2</v>
      </c>
      <c r="AD242" s="307">
        <f>(10912.365)/$AD$55</f>
        <v>2.6154948442883599E-2</v>
      </c>
      <c r="AE242" s="307">
        <f>(12331.114)/$AE$55</f>
        <v>2.8389906927229345E-2</v>
      </c>
      <c r="AF242" s="129">
        <f>(12089.887)/$AF$55</f>
        <v>3.0115830777530338E-2</v>
      </c>
      <c r="AG242" s="129">
        <f>(12603.531)/$AG$55</f>
        <v>3.2253027733855716E-2</v>
      </c>
      <c r="AH242" s="129">
        <f>(11552.901)/$AG$55</f>
        <v>2.9564416222683104E-2</v>
      </c>
      <c r="AI242" s="129">
        <f>(11093.843)/$AI$55</f>
        <v>2.9814521836792427E-2</v>
      </c>
      <c r="AJ242" s="129">
        <f>(12131.897)/$AJ$55</f>
        <v>3.2327254377623578E-2</v>
      </c>
      <c r="AK242" s="129">
        <f>13284.239/AK$55</f>
        <v>3.5308112558717381E-2</v>
      </c>
      <c r="AL242" s="129">
        <f>13986.027/$AL$55</f>
        <v>3.938778456204256E-2</v>
      </c>
      <c r="AM242" s="129">
        <f>14441.214/$AM$55</f>
        <v>4.1764198526063473E-2</v>
      </c>
    </row>
    <row r="243" spans="1:39" x14ac:dyDescent="0.25">
      <c r="A243" s="74">
        <v>243</v>
      </c>
      <c r="B243" s="19" t="s">
        <v>178</v>
      </c>
      <c r="C243" s="93"/>
      <c r="D243" s="88"/>
      <c r="E243" s="94"/>
      <c r="F243" s="356"/>
      <c r="G243" s="356"/>
      <c r="H243" s="356"/>
      <c r="I243" s="356"/>
      <c r="J243" s="356"/>
      <c r="K243" s="356"/>
      <c r="L243" s="356"/>
      <c r="M243" s="356"/>
      <c r="N243" s="356"/>
      <c r="O243" s="356"/>
      <c r="P243" s="356"/>
      <c r="Q243" s="356"/>
      <c r="R243" s="356"/>
      <c r="S243" s="356"/>
      <c r="T243" s="356"/>
      <c r="U243" s="356"/>
      <c r="V243" s="356"/>
      <c r="W243" s="356"/>
      <c r="X243" s="20">
        <f t="shared" ref="X243:AD243" si="334">X55</f>
        <v>513914</v>
      </c>
      <c r="Y243" s="20">
        <f t="shared" si="334"/>
        <v>515308.64</v>
      </c>
      <c r="Z243" s="20">
        <f t="shared" si="334"/>
        <v>507319.48700000002</v>
      </c>
      <c r="AA243" s="20">
        <f t="shared" si="334"/>
        <v>482693.64899999998</v>
      </c>
      <c r="AB243" s="20">
        <f t="shared" si="334"/>
        <v>459272.58100000001</v>
      </c>
      <c r="AC243" s="20">
        <f t="shared" si="334"/>
        <v>468654.17300000001</v>
      </c>
      <c r="AD243" s="20">
        <f t="shared" si="334"/>
        <v>417219.90100000001</v>
      </c>
      <c r="AE243" s="20">
        <f t="shared" ref="AE243:AM243" si="335">AE55</f>
        <v>434348.51799999998</v>
      </c>
      <c r="AF243" s="20">
        <f t="shared" si="335"/>
        <v>401446.239</v>
      </c>
      <c r="AG243" s="20">
        <f t="shared" si="335"/>
        <v>390770.47600000002</v>
      </c>
      <c r="AH243" s="20">
        <f t="shared" si="335"/>
        <v>365681.66499999998</v>
      </c>
      <c r="AI243" s="20">
        <f t="shared" si="335"/>
        <v>372095.28499999997</v>
      </c>
      <c r="AJ243" s="20">
        <f t="shared" si="335"/>
        <v>375283.86599999998</v>
      </c>
      <c r="AK243" s="20">
        <f t="shared" si="335"/>
        <v>376237.58500000002</v>
      </c>
      <c r="AL243" s="20">
        <f t="shared" si="335"/>
        <v>355085.39399999997</v>
      </c>
      <c r="AM243" s="20">
        <f t="shared" si="335"/>
        <v>345779.74699999997</v>
      </c>
    </row>
  </sheetData>
  <sortState ref="B38:T49">
    <sortCondition descending="1" ref="F38:F49"/>
  </sortState>
  <customSheetViews>
    <customSheetView guid="{E4AC4991-F371-4BAF-8335-AD017EF379C0}" showGridLines="0" fitToPage="1" topLeftCell="D1">
      <pane ySplit="5" topLeftCell="A195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1"/>
    </customSheetView>
    <customSheetView guid="{0284F5E2-DB98-486F-B3F7-128FA2A0A465}" showGridLines="0" fitToPage="1">
      <pane ySplit="5" topLeftCell="A30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2"/>
    </customSheetView>
  </customSheetViews>
  <mergeCells count="267">
    <mergeCell ref="F7:F8"/>
    <mergeCell ref="F28:F29"/>
    <mergeCell ref="F35:F36"/>
    <mergeCell ref="F59:F60"/>
    <mergeCell ref="F105:F106"/>
    <mergeCell ref="F210:F211"/>
    <mergeCell ref="F225:F226"/>
    <mergeCell ref="G7:G8"/>
    <mergeCell ref="G28:G29"/>
    <mergeCell ref="G35:G36"/>
    <mergeCell ref="G59:G60"/>
    <mergeCell ref="G105:G106"/>
    <mergeCell ref="G210:G211"/>
    <mergeCell ref="G225:G226"/>
    <mergeCell ref="H7:H8"/>
    <mergeCell ref="H28:H29"/>
    <mergeCell ref="H35:H36"/>
    <mergeCell ref="H59:H60"/>
    <mergeCell ref="H105:H106"/>
    <mergeCell ref="H210:H211"/>
    <mergeCell ref="H225:H226"/>
    <mergeCell ref="K210:K211"/>
    <mergeCell ref="K225:K226"/>
    <mergeCell ref="I7:I8"/>
    <mergeCell ref="I105:I106"/>
    <mergeCell ref="I210:I211"/>
    <mergeCell ref="M210:M211"/>
    <mergeCell ref="M225:M226"/>
    <mergeCell ref="N210:N211"/>
    <mergeCell ref="N225:N226"/>
    <mergeCell ref="Y105:Y106"/>
    <mergeCell ref="V59:V60"/>
    <mergeCell ref="V105:V106"/>
    <mergeCell ref="X59:X60"/>
    <mergeCell ref="X105:X106"/>
    <mergeCell ref="W59:W60"/>
    <mergeCell ref="W105:W106"/>
    <mergeCell ref="M7:M8"/>
    <mergeCell ref="M28:M29"/>
    <mergeCell ref="M35:M36"/>
    <mergeCell ref="M59:M60"/>
    <mergeCell ref="M105:M106"/>
    <mergeCell ref="O7:O8"/>
    <mergeCell ref="O28:O29"/>
    <mergeCell ref="O35:O36"/>
    <mergeCell ref="O59:O60"/>
    <mergeCell ref="N7:N8"/>
    <mergeCell ref="N28:N29"/>
    <mergeCell ref="N35:N36"/>
    <mergeCell ref="N59:N60"/>
    <mergeCell ref="N105:N106"/>
    <mergeCell ref="O105:O106"/>
    <mergeCell ref="P7:P8"/>
    <mergeCell ref="P28:P29"/>
    <mergeCell ref="Q35:Q36"/>
    <mergeCell ref="X28:X29"/>
    <mergeCell ref="X35:X36"/>
    <mergeCell ref="Q105:Q106"/>
    <mergeCell ref="S35:S36"/>
    <mergeCell ref="S59:S60"/>
    <mergeCell ref="S105:S106"/>
    <mergeCell ref="X7:X8"/>
    <mergeCell ref="Q7:Q8"/>
    <mergeCell ref="Q28:Q29"/>
    <mergeCell ref="R35:R36"/>
    <mergeCell ref="R59:R60"/>
    <mergeCell ref="R105:R106"/>
    <mergeCell ref="S28:S29"/>
    <mergeCell ref="W7:W8"/>
    <mergeCell ref="W28:W29"/>
    <mergeCell ref="W35:W36"/>
    <mergeCell ref="U105:U106"/>
    <mergeCell ref="C28:C29"/>
    <mergeCell ref="E28:E29"/>
    <mergeCell ref="B59:B60"/>
    <mergeCell ref="C59:C60"/>
    <mergeCell ref="E59:E60"/>
    <mergeCell ref="P35:P36"/>
    <mergeCell ref="P59:P60"/>
    <mergeCell ref="Q59:Q60"/>
    <mergeCell ref="AD35:AD36"/>
    <mergeCell ref="Z35:Z36"/>
    <mergeCell ref="D35:D36"/>
    <mergeCell ref="D59:D60"/>
    <mergeCell ref="Z28:Z29"/>
    <mergeCell ref="K28:K29"/>
    <mergeCell ref="K35:K36"/>
    <mergeCell ref="K59:K60"/>
    <mergeCell ref="AD59:AD60"/>
    <mergeCell ref="U59:U60"/>
    <mergeCell ref="Y28:Y29"/>
    <mergeCell ref="AB28:AB29"/>
    <mergeCell ref="AB35:AB36"/>
    <mergeCell ref="I28:I29"/>
    <mergeCell ref="I35:I36"/>
    <mergeCell ref="I59:I60"/>
    <mergeCell ref="AM28:AM29"/>
    <mergeCell ref="C5:E5"/>
    <mergeCell ref="B7:B8"/>
    <mergeCell ref="C7:C8"/>
    <mergeCell ref="D7:D8"/>
    <mergeCell ref="AM7:AM8"/>
    <mergeCell ref="AL7:AL8"/>
    <mergeCell ref="AL28:AL29"/>
    <mergeCell ref="AK7:AK8"/>
    <mergeCell ref="AK28:AK29"/>
    <mergeCell ref="AJ7:AJ8"/>
    <mergeCell ref="AJ28:AJ29"/>
    <mergeCell ref="AI7:AI8"/>
    <mergeCell ref="AI28:AI29"/>
    <mergeCell ref="AG7:AG8"/>
    <mergeCell ref="AG28:AG29"/>
    <mergeCell ref="AF7:AF8"/>
    <mergeCell ref="AF28:AF29"/>
    <mergeCell ref="AE7:AE8"/>
    <mergeCell ref="AE28:AE29"/>
    <mergeCell ref="AH7:AH8"/>
    <mergeCell ref="AH28:AH29"/>
    <mergeCell ref="Z7:Z8"/>
    <mergeCell ref="B28:B29"/>
    <mergeCell ref="AM59:AM60"/>
    <mergeCell ref="B35:B36"/>
    <mergeCell ref="C35:C36"/>
    <mergeCell ref="E35:E36"/>
    <mergeCell ref="AM35:AM36"/>
    <mergeCell ref="AL35:AL36"/>
    <mergeCell ref="AL59:AL60"/>
    <mergeCell ref="AK35:AK36"/>
    <mergeCell ref="AK59:AK60"/>
    <mergeCell ref="AJ35:AJ36"/>
    <mergeCell ref="AJ59:AJ60"/>
    <mergeCell ref="AI35:AI36"/>
    <mergeCell ref="AI59:AI60"/>
    <mergeCell ref="AG35:AG36"/>
    <mergeCell ref="AG59:AG60"/>
    <mergeCell ref="AF35:AF36"/>
    <mergeCell ref="AF59:AF60"/>
    <mergeCell ref="AC59:AC60"/>
    <mergeCell ref="Y59:Y60"/>
    <mergeCell ref="AE35:AE36"/>
    <mergeCell ref="AC35:AC36"/>
    <mergeCell ref="AH35:AH36"/>
    <mergeCell ref="AH59:AH60"/>
    <mergeCell ref="Z59:Z60"/>
    <mergeCell ref="AM210:AM211"/>
    <mergeCell ref="B105:B106"/>
    <mergeCell ref="C105:C106"/>
    <mergeCell ref="E105:E106"/>
    <mergeCell ref="AM105:AM106"/>
    <mergeCell ref="AL105:AL106"/>
    <mergeCell ref="AL210:AL211"/>
    <mergeCell ref="AK105:AK106"/>
    <mergeCell ref="AK210:AK211"/>
    <mergeCell ref="AJ105:AJ106"/>
    <mergeCell ref="AJ210:AJ211"/>
    <mergeCell ref="AH210:AH211"/>
    <mergeCell ref="D210:D211"/>
    <mergeCell ref="AI105:AI106"/>
    <mergeCell ref="AI210:AI211"/>
    <mergeCell ref="AG105:AG106"/>
    <mergeCell ref="AG210:AG211"/>
    <mergeCell ref="AF105:AF106"/>
    <mergeCell ref="AH105:AH106"/>
    <mergeCell ref="Z105:Z106"/>
    <mergeCell ref="AE105:AE106"/>
    <mergeCell ref="B210:B211"/>
    <mergeCell ref="C210:C211"/>
    <mergeCell ref="E210:E211"/>
    <mergeCell ref="D105:D106"/>
    <mergeCell ref="T7:T8"/>
    <mergeCell ref="T28:T29"/>
    <mergeCell ref="T35:T36"/>
    <mergeCell ref="T59:T60"/>
    <mergeCell ref="T105:T106"/>
    <mergeCell ref="R7:R8"/>
    <mergeCell ref="R28:R29"/>
    <mergeCell ref="E7:E8"/>
    <mergeCell ref="S7:S8"/>
    <mergeCell ref="P105:P106"/>
    <mergeCell ref="L7:L8"/>
    <mergeCell ref="L28:L29"/>
    <mergeCell ref="L35:L36"/>
    <mergeCell ref="L59:L60"/>
    <mergeCell ref="L105:L106"/>
    <mergeCell ref="D28:D29"/>
    <mergeCell ref="K7:K8"/>
    <mergeCell ref="K105:K106"/>
    <mergeCell ref="J7:J8"/>
    <mergeCell ref="J28:J29"/>
    <mergeCell ref="J35:J36"/>
    <mergeCell ref="J59:J60"/>
    <mergeCell ref="J105:J106"/>
    <mergeCell ref="AJ225:AJ226"/>
    <mergeCell ref="AK225:AK226"/>
    <mergeCell ref="AL225:AL226"/>
    <mergeCell ref="AM225:AM226"/>
    <mergeCell ref="B225:B226"/>
    <mergeCell ref="C225:C226"/>
    <mergeCell ref="D225:D226"/>
    <mergeCell ref="E225:E226"/>
    <mergeCell ref="S225:S226"/>
    <mergeCell ref="T225:T226"/>
    <mergeCell ref="U225:U226"/>
    <mergeCell ref="V225:V226"/>
    <mergeCell ref="W225:W226"/>
    <mergeCell ref="X225:X226"/>
    <mergeCell ref="Y225:Y226"/>
    <mergeCell ref="Z225:Z226"/>
    <mergeCell ref="AA225:AA226"/>
    <mergeCell ref="AB225:AB226"/>
    <mergeCell ref="AC225:AC226"/>
    <mergeCell ref="AD225:AD226"/>
    <mergeCell ref="AE225:AE226"/>
    <mergeCell ref="I225:I226"/>
    <mergeCell ref="Z210:Z211"/>
    <mergeCell ref="AD210:AD211"/>
    <mergeCell ref="AB210:AB211"/>
    <mergeCell ref="J210:J211"/>
    <mergeCell ref="J225:J226"/>
    <mergeCell ref="L210:L211"/>
    <mergeCell ref="L225:L226"/>
    <mergeCell ref="Q225:Q226"/>
    <mergeCell ref="AA210:AA211"/>
    <mergeCell ref="AC210:AC211"/>
    <mergeCell ref="P225:P226"/>
    <mergeCell ref="R225:R226"/>
    <mergeCell ref="O225:O226"/>
    <mergeCell ref="O210:O211"/>
    <mergeCell ref="Y210:Y211"/>
    <mergeCell ref="V210:V211"/>
    <mergeCell ref="R210:R211"/>
    <mergeCell ref="U210:U211"/>
    <mergeCell ref="W210:W211"/>
    <mergeCell ref="P210:P211"/>
    <mergeCell ref="T210:T211"/>
    <mergeCell ref="X210:X211"/>
    <mergeCell ref="Q210:Q211"/>
    <mergeCell ref="S210:S211"/>
    <mergeCell ref="AD105:AD106"/>
    <mergeCell ref="AA59:AA60"/>
    <mergeCell ref="AA105:AA106"/>
    <mergeCell ref="AC105:AC106"/>
    <mergeCell ref="AB59:AB60"/>
    <mergeCell ref="AH225:AH226"/>
    <mergeCell ref="AI225:AI226"/>
    <mergeCell ref="AF225:AF226"/>
    <mergeCell ref="AF210:AF211"/>
    <mergeCell ref="AE210:AE211"/>
    <mergeCell ref="AB105:AB106"/>
    <mergeCell ref="AE59:AE60"/>
    <mergeCell ref="AG225:AG226"/>
    <mergeCell ref="AD7:AD8"/>
    <mergeCell ref="AD28:AD29"/>
    <mergeCell ref="AB7:AB8"/>
    <mergeCell ref="V7:V8"/>
    <mergeCell ref="V28:V29"/>
    <mergeCell ref="V35:V36"/>
    <mergeCell ref="U7:U8"/>
    <mergeCell ref="U28:U29"/>
    <mergeCell ref="U35:U36"/>
    <mergeCell ref="Y7:Y8"/>
    <mergeCell ref="AA7:AA8"/>
    <mergeCell ref="AA28:AA29"/>
    <mergeCell ref="AA35:AA36"/>
    <mergeCell ref="AC7:AC8"/>
    <mergeCell ref="AC28:AC29"/>
    <mergeCell ref="Y35:Y36"/>
  </mergeCells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21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4:AK112"/>
  <sheetViews>
    <sheetView showGridLines="0" zoomScaleNormal="100" workbookViewId="0">
      <pane ySplit="5" topLeftCell="A6" activePane="bottomLeft" state="frozen"/>
      <selection activeCell="C12" sqref="C12:E12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4" width="8.7109375" style="1" customWidth="1"/>
    <col min="5" max="36" width="16.7109375" style="1" customWidth="1"/>
    <col min="37" max="16384" width="9.140625" style="1"/>
  </cols>
  <sheetData>
    <row r="4" spans="1:37" x14ac:dyDescent="0.25">
      <c r="C4" s="6"/>
    </row>
    <row r="5" spans="1:37" ht="51" customHeight="1" thickBot="1" x14ac:dyDescent="0.3">
      <c r="A5" s="122"/>
      <c r="B5" s="123" t="s">
        <v>177</v>
      </c>
      <c r="C5" s="490" t="s">
        <v>3</v>
      </c>
      <c r="D5" s="490"/>
      <c r="E5" s="7" t="s">
        <v>0</v>
      </c>
      <c r="F5" s="47" t="s">
        <v>157</v>
      </c>
      <c r="G5" s="120" t="s">
        <v>177</v>
      </c>
      <c r="H5" s="121" t="s">
        <v>1</v>
      </c>
      <c r="I5" s="121" t="s">
        <v>2</v>
      </c>
      <c r="J5" s="60" t="s">
        <v>194</v>
      </c>
    </row>
    <row r="6" spans="1:37" ht="15.75" thickTop="1" x14ac:dyDescent="0.25">
      <c r="A6" s="61"/>
      <c r="B6" s="61"/>
    </row>
    <row r="7" spans="1:37" ht="15.75" customHeight="1" x14ac:dyDescent="0.25">
      <c r="B7" s="453" t="s">
        <v>159</v>
      </c>
      <c r="C7" s="470" t="s">
        <v>201</v>
      </c>
      <c r="D7" s="468" t="s">
        <v>297</v>
      </c>
      <c r="E7" s="446">
        <v>43100</v>
      </c>
      <c r="F7" s="446">
        <v>43008</v>
      </c>
      <c r="G7" s="446">
        <v>42916</v>
      </c>
      <c r="H7" s="446">
        <v>42825</v>
      </c>
      <c r="I7" s="446">
        <v>42735</v>
      </c>
      <c r="J7" s="446">
        <v>42643</v>
      </c>
      <c r="K7" s="446">
        <v>42551</v>
      </c>
      <c r="L7" s="446">
        <v>42460</v>
      </c>
      <c r="M7" s="446">
        <v>42369</v>
      </c>
      <c r="N7" s="446">
        <v>42277</v>
      </c>
      <c r="O7" s="446">
        <v>42185</v>
      </c>
      <c r="P7" s="446">
        <v>42094</v>
      </c>
      <c r="Q7" s="446">
        <v>42004</v>
      </c>
      <c r="R7" s="446">
        <v>41912</v>
      </c>
      <c r="S7" s="446">
        <v>41820</v>
      </c>
      <c r="T7" s="446">
        <v>41729</v>
      </c>
      <c r="U7" s="446">
        <v>41639</v>
      </c>
      <c r="V7" s="446">
        <v>41547</v>
      </c>
      <c r="W7" s="446">
        <v>41455</v>
      </c>
      <c r="X7" s="446">
        <v>41364</v>
      </c>
      <c r="Y7" s="446">
        <v>41274</v>
      </c>
      <c r="Z7" s="446">
        <v>41182</v>
      </c>
      <c r="AA7" s="446">
        <v>41090</v>
      </c>
      <c r="AB7" s="446">
        <v>40999</v>
      </c>
      <c r="AC7" s="446">
        <v>40908</v>
      </c>
      <c r="AD7" s="446">
        <v>40816</v>
      </c>
      <c r="AE7" s="446">
        <v>40724</v>
      </c>
      <c r="AF7" s="446">
        <v>40633</v>
      </c>
      <c r="AG7" s="446">
        <v>40543</v>
      </c>
      <c r="AH7" s="446">
        <v>40451</v>
      </c>
      <c r="AI7" s="446">
        <v>40359</v>
      </c>
      <c r="AJ7" s="446">
        <v>40268</v>
      </c>
      <c r="AK7" s="446">
        <v>40178</v>
      </c>
    </row>
    <row r="8" spans="1:37" x14ac:dyDescent="0.25">
      <c r="B8" s="454"/>
      <c r="C8" s="471"/>
      <c r="D8" s="478"/>
      <c r="E8" s="447"/>
      <c r="F8" s="447"/>
      <c r="G8" s="447"/>
      <c r="H8" s="448"/>
      <c r="I8" s="447"/>
      <c r="J8" s="447"/>
      <c r="K8" s="447"/>
      <c r="L8" s="448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  <c r="AJ8" s="447"/>
      <c r="AK8" s="447"/>
    </row>
    <row r="9" spans="1:37" ht="9.75" customHeight="1" x14ac:dyDescent="0.25">
      <c r="B9" s="8" t="s">
        <v>8</v>
      </c>
      <c r="C9" s="89"/>
      <c r="D9" s="90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7" ht="15" customHeight="1" x14ac:dyDescent="0.25">
      <c r="B10" s="17" t="s">
        <v>49</v>
      </c>
      <c r="C10" s="91"/>
      <c r="D10" s="92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ht="15" customHeight="1" x14ac:dyDescent="0.25">
      <c r="B11" s="14" t="s">
        <v>73</v>
      </c>
      <c r="C11" s="93">
        <f>(E11-F11)/F11</f>
        <v>-5.9996306059230883E-2</v>
      </c>
      <c r="D11" s="94">
        <f>(E11-I11)/I11</f>
        <v>-0.13590988870678133</v>
      </c>
      <c r="E11" s="22">
        <v>167065.815</v>
      </c>
      <c r="F11" s="22">
        <v>177728.89199999999</v>
      </c>
      <c r="G11" s="22">
        <v>187406.595</v>
      </c>
      <c r="H11" s="11">
        <v>187696.155</v>
      </c>
      <c r="I11" s="22">
        <v>193343.04699999999</v>
      </c>
      <c r="J11" s="11">
        <v>192953.16699999999</v>
      </c>
      <c r="K11" s="11">
        <v>203751.78599999999</v>
      </c>
      <c r="L11" s="11">
        <v>205590.93299999999</v>
      </c>
      <c r="M11" s="11">
        <v>210408.652</v>
      </c>
      <c r="N11" s="11">
        <v>197624.84299999999</v>
      </c>
      <c r="O11" s="11">
        <v>185469.473</v>
      </c>
      <c r="P11" s="11">
        <v>185899.579</v>
      </c>
      <c r="Q11" s="11">
        <v>192004.978</v>
      </c>
      <c r="R11" s="11">
        <v>163577.70699999999</v>
      </c>
      <c r="S11" s="11">
        <v>154061.08900000001</v>
      </c>
      <c r="T11" s="11">
        <v>164348.16399999999</v>
      </c>
      <c r="U11" s="11">
        <v>154322.226</v>
      </c>
      <c r="V11" s="11">
        <v>164029.03</v>
      </c>
      <c r="W11" s="11">
        <v>159666.27900000001</v>
      </c>
      <c r="X11" s="11">
        <v>156186.68799999999</v>
      </c>
      <c r="Y11" s="11">
        <v>148714.049</v>
      </c>
      <c r="Z11" s="11">
        <v>154078.06</v>
      </c>
      <c r="AA11" s="11">
        <v>154518.606</v>
      </c>
      <c r="AB11" s="11">
        <v>146506.56299999999</v>
      </c>
      <c r="AC11" s="11">
        <v>149259.26800000001</v>
      </c>
      <c r="AD11" s="11">
        <v>139506.861</v>
      </c>
      <c r="AE11" s="11">
        <v>135291.52499999999</v>
      </c>
      <c r="AF11" s="11">
        <v>131909.26300000001</v>
      </c>
      <c r="AG11" s="11">
        <v>122694.81</v>
      </c>
      <c r="AH11" s="11">
        <v>121567.216</v>
      </c>
      <c r="AI11" s="11">
        <v>107123.52800000001</v>
      </c>
      <c r="AJ11" s="11">
        <v>107773.09299999999</v>
      </c>
      <c r="AK11" s="11">
        <v>108831.34699999999</v>
      </c>
    </row>
    <row r="12" spans="1:37" ht="15" customHeight="1" x14ac:dyDescent="0.25">
      <c r="B12" s="14" t="s">
        <v>74</v>
      </c>
      <c r="C12" s="93">
        <f>(E12-F12)/F12</f>
        <v>0.13195181574927803</v>
      </c>
      <c r="D12" s="94">
        <f>(E12-I12)/I12</f>
        <v>0.108885643658006</v>
      </c>
      <c r="E12" s="22">
        <v>102786.253</v>
      </c>
      <c r="F12" s="22">
        <v>90804.441999999995</v>
      </c>
      <c r="G12" s="22">
        <v>91856.607000000004</v>
      </c>
      <c r="H12" s="11">
        <v>89292.462</v>
      </c>
      <c r="I12" s="22">
        <v>92693.285000000003</v>
      </c>
      <c r="J12" s="11">
        <v>93818.104000000007</v>
      </c>
      <c r="K12" s="11">
        <v>90487.763000000006</v>
      </c>
      <c r="L12" s="11">
        <v>87621.014999999999</v>
      </c>
      <c r="M12" s="11">
        <v>90573.576000000001</v>
      </c>
      <c r="N12" s="11">
        <v>87712.974000000002</v>
      </c>
      <c r="O12" s="11">
        <v>79645.337</v>
      </c>
      <c r="P12" s="11">
        <v>84816.880999999994</v>
      </c>
      <c r="Q12" s="11">
        <v>82454.014999999999</v>
      </c>
      <c r="R12" s="11">
        <v>75438.391000000003</v>
      </c>
      <c r="S12" s="11">
        <v>71524.760999999999</v>
      </c>
      <c r="T12" s="11">
        <v>69196.792000000001</v>
      </c>
      <c r="U12" s="11">
        <v>67330.521999999997</v>
      </c>
      <c r="V12" s="11">
        <v>65875.126000000004</v>
      </c>
      <c r="W12" s="11">
        <v>61913.517999999996</v>
      </c>
      <c r="X12" s="11">
        <v>58796.855000000003</v>
      </c>
      <c r="Y12" s="11">
        <v>58806.464999999997</v>
      </c>
      <c r="Z12" s="11">
        <v>57668.375</v>
      </c>
      <c r="AA12" s="11">
        <v>55826.112000000001</v>
      </c>
      <c r="AB12" s="11">
        <v>53688.697</v>
      </c>
      <c r="AC12" s="11">
        <v>56124.976000000002</v>
      </c>
      <c r="AD12" s="11">
        <v>57450.156000000003</v>
      </c>
      <c r="AE12" s="11">
        <v>58448.932999999997</v>
      </c>
      <c r="AF12" s="11">
        <v>55229.464999999997</v>
      </c>
      <c r="AG12" s="11">
        <v>55872.254000000001</v>
      </c>
      <c r="AH12" s="11">
        <v>52123.349000000002</v>
      </c>
      <c r="AI12" s="11">
        <v>51633.66</v>
      </c>
      <c r="AJ12" s="11">
        <v>50238.35</v>
      </c>
      <c r="AK12" s="11">
        <v>47609.61</v>
      </c>
    </row>
    <row r="13" spans="1:37" ht="15" customHeight="1" x14ac:dyDescent="0.25">
      <c r="B13" s="14" t="s">
        <v>75</v>
      </c>
      <c r="C13" s="93">
        <f>(E13-F13)/F13</f>
        <v>0.13451343027659157</v>
      </c>
      <c r="D13" s="94">
        <f>(E13-I13)/I13</f>
        <v>0.47865880439641967</v>
      </c>
      <c r="E13" s="22">
        <v>12052.541999999999</v>
      </c>
      <c r="F13" s="22">
        <v>10623.534</v>
      </c>
      <c r="G13" s="22">
        <v>9673.8230000000003</v>
      </c>
      <c r="H13" s="11">
        <v>9413.5020000000004</v>
      </c>
      <c r="I13" s="22">
        <v>8150.9960000000001</v>
      </c>
      <c r="J13" s="11">
        <v>11223.635</v>
      </c>
      <c r="K13" s="11">
        <v>17153.517</v>
      </c>
      <c r="L13" s="11">
        <v>17602.824000000001</v>
      </c>
      <c r="M13" s="11">
        <v>15782.647999999999</v>
      </c>
      <c r="N13" s="11">
        <v>14399.433999999999</v>
      </c>
      <c r="O13" s="11">
        <v>19678.137999999999</v>
      </c>
      <c r="P13" s="11">
        <v>17058.366000000002</v>
      </c>
      <c r="Q13" s="11">
        <v>17506.708999999999</v>
      </c>
      <c r="R13" s="11">
        <v>14906.778</v>
      </c>
      <c r="S13" s="11">
        <v>15847.941999999999</v>
      </c>
      <c r="T13" s="11">
        <v>16157.950999999999</v>
      </c>
      <c r="U13" s="11">
        <v>17407.830999999998</v>
      </c>
      <c r="V13" s="11">
        <v>19178.503000000001</v>
      </c>
      <c r="W13" s="11">
        <v>16748.037</v>
      </c>
      <c r="X13" s="11">
        <v>14620.145</v>
      </c>
      <c r="Y13" s="11">
        <v>16238.473</v>
      </c>
      <c r="Z13" s="11">
        <v>15883.272000000001</v>
      </c>
      <c r="AA13" s="11">
        <v>16221.066000000001</v>
      </c>
      <c r="AB13" s="11">
        <v>15504.683000000001</v>
      </c>
      <c r="AC13" s="11">
        <v>9838.2189999999991</v>
      </c>
      <c r="AD13" s="11">
        <v>10984.45</v>
      </c>
      <c r="AE13" s="11">
        <v>9970.893</v>
      </c>
      <c r="AF13" s="11">
        <v>11243.566000000001</v>
      </c>
      <c r="AG13" s="11">
        <v>9626.8009999999995</v>
      </c>
      <c r="AH13" s="11">
        <v>8596.3189999999995</v>
      </c>
      <c r="AI13" s="11">
        <v>4006.8910000000001</v>
      </c>
      <c r="AJ13" s="11">
        <v>5828.5439999999999</v>
      </c>
      <c r="AK13" s="11">
        <v>3021.1979999999999</v>
      </c>
    </row>
    <row r="14" spans="1:37" ht="15" customHeight="1" x14ac:dyDescent="0.25">
      <c r="B14" s="17" t="s">
        <v>76</v>
      </c>
      <c r="C14" s="93"/>
      <c r="D14" s="94"/>
      <c r="E14" s="22"/>
      <c r="F14" s="22"/>
      <c r="G14" s="22"/>
      <c r="H14" s="11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" customHeight="1" x14ac:dyDescent="0.25">
      <c r="B15" s="14" t="s">
        <v>77</v>
      </c>
      <c r="C15" s="93">
        <f>(E15-F15)/F15</f>
        <v>7.2618880311732803E-2</v>
      </c>
      <c r="D15" s="94">
        <f>(E15-I15)/I15</f>
        <v>0.27372923004536914</v>
      </c>
      <c r="E15" s="22">
        <v>54066.688999999998</v>
      </c>
      <c r="F15" s="22">
        <v>50406.243999999999</v>
      </c>
      <c r="G15" s="22">
        <v>47095.038</v>
      </c>
      <c r="H15" s="11">
        <v>43893.972999999998</v>
      </c>
      <c r="I15" s="22">
        <v>42447.553</v>
      </c>
      <c r="J15" s="11">
        <v>40614.525999999998</v>
      </c>
      <c r="K15" s="11">
        <v>39570.656999999999</v>
      </c>
      <c r="L15" s="11">
        <v>37894.819000000003</v>
      </c>
      <c r="M15" s="11">
        <v>35379.300000000003</v>
      </c>
      <c r="N15" s="11">
        <v>32857.410000000003</v>
      </c>
      <c r="O15" s="11">
        <v>30213.544000000002</v>
      </c>
      <c r="P15" s="11">
        <v>28731.420999999998</v>
      </c>
      <c r="Q15" s="11">
        <v>29387.894</v>
      </c>
      <c r="R15" s="11">
        <v>27919.422999999999</v>
      </c>
      <c r="S15" s="11">
        <v>25262.518</v>
      </c>
      <c r="T15" s="11">
        <v>22379.146000000001</v>
      </c>
      <c r="U15" s="11">
        <v>20302.458999999999</v>
      </c>
      <c r="V15" s="11">
        <v>18389.496999999999</v>
      </c>
      <c r="W15" s="11">
        <v>15978.41</v>
      </c>
      <c r="X15" s="11">
        <v>13522.079</v>
      </c>
      <c r="Y15" s="11">
        <v>11605.606</v>
      </c>
      <c r="Z15" s="11">
        <v>9969.8459999999995</v>
      </c>
      <c r="AA15" s="11">
        <v>8809.9009999999998</v>
      </c>
      <c r="AB15" s="11">
        <v>7921.8029999999999</v>
      </c>
      <c r="AC15" s="11">
        <v>7836.4650000000001</v>
      </c>
      <c r="AD15" s="11">
        <v>7893.3609999999999</v>
      </c>
      <c r="AE15" s="11">
        <v>7833.4480000000003</v>
      </c>
      <c r="AF15" s="11">
        <v>7645.9520000000002</v>
      </c>
      <c r="AG15" s="11">
        <v>7700.09</v>
      </c>
      <c r="AH15" s="11">
        <v>7685.3940000000002</v>
      </c>
      <c r="AI15" s="11">
        <v>8056.8639999999996</v>
      </c>
      <c r="AJ15" s="11">
        <v>8251.3420000000006</v>
      </c>
      <c r="AK15" s="11">
        <v>8611.732</v>
      </c>
    </row>
    <row r="16" spans="1:37" ht="15" hidden="1" customHeight="1" x14ac:dyDescent="0.25">
      <c r="B16" s="14" t="s">
        <v>78</v>
      </c>
      <c r="C16" s="93"/>
      <c r="D16" s="94"/>
      <c r="E16" s="22"/>
      <c r="F16" s="22"/>
      <c r="G16" s="22"/>
      <c r="H16" s="11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2:37" ht="15" customHeight="1" x14ac:dyDescent="0.25">
      <c r="B17" s="14" t="s">
        <v>366</v>
      </c>
      <c r="C17" s="93">
        <f>(E17-F17)/F17</f>
        <v>-2.9148626065073752E-2</v>
      </c>
      <c r="D17" s="94">
        <f>(E17-I17)/I17</f>
        <v>-0.187614244094368</v>
      </c>
      <c r="E17" s="22">
        <v>4634.1270000000004</v>
      </c>
      <c r="F17" s="22">
        <v>4773.2610000000004</v>
      </c>
      <c r="G17" s="22">
        <v>4746</v>
      </c>
      <c r="H17" s="11">
        <v>4755.0330000000004</v>
      </c>
      <c r="I17" s="22">
        <v>5704.3429999999998</v>
      </c>
      <c r="J17" s="11">
        <v>5764.5140000000001</v>
      </c>
      <c r="K17" s="11">
        <v>5179.6689999999999</v>
      </c>
      <c r="L17" s="11">
        <v>5241.0870000000004</v>
      </c>
      <c r="M17" s="11">
        <v>4761.6469999999999</v>
      </c>
      <c r="N17" s="11">
        <v>6149.5159999999996</v>
      </c>
      <c r="O17" s="11">
        <v>5534.1850000000004</v>
      </c>
      <c r="P17" s="11">
        <v>7323.9709999999995</v>
      </c>
      <c r="Q17" s="11">
        <v>7505.3069999999998</v>
      </c>
      <c r="R17" s="11">
        <v>6407.62</v>
      </c>
      <c r="S17" s="11">
        <v>5421.732</v>
      </c>
      <c r="T17" s="11">
        <v>5794.393</v>
      </c>
      <c r="U17" s="11">
        <v>5653.6040000000003</v>
      </c>
      <c r="V17" s="11">
        <v>5453.0519999999997</v>
      </c>
      <c r="W17" s="11">
        <v>5222.8620000000001</v>
      </c>
      <c r="X17" s="11">
        <v>4874.482</v>
      </c>
      <c r="Y17" s="11">
        <v>4461.5110000000004</v>
      </c>
      <c r="Z17" s="11">
        <v>3674.0149999999999</v>
      </c>
      <c r="AA17" s="11">
        <v>3720.431</v>
      </c>
      <c r="AB17" s="11">
        <v>4517.4880000000003</v>
      </c>
      <c r="AC17" s="11">
        <v>4713.4459999999999</v>
      </c>
      <c r="AD17" s="11">
        <v>5125.7910000000002</v>
      </c>
      <c r="AE17" s="11">
        <v>4104.393</v>
      </c>
      <c r="AF17" s="11">
        <v>4596.6719999999996</v>
      </c>
      <c r="AG17" s="11">
        <v>4135.3599999999997</v>
      </c>
      <c r="AH17" s="11">
        <v>4255.8549999999996</v>
      </c>
      <c r="AI17" s="11">
        <v>4240.1130000000003</v>
      </c>
      <c r="AJ17" s="11">
        <v>3823.3069999999998</v>
      </c>
      <c r="AK17" s="11">
        <v>3737.107</v>
      </c>
    </row>
    <row r="18" spans="2:37" ht="15" customHeight="1" x14ac:dyDescent="0.25">
      <c r="B18" s="14" t="s">
        <v>215</v>
      </c>
      <c r="C18" s="93">
        <f>(E18-F18)/F18</f>
        <v>7.4769991268640895E-2</v>
      </c>
      <c r="D18" s="94">
        <f>(E18-I18)/I18</f>
        <v>0.42843592800689667</v>
      </c>
      <c r="E18" s="22">
        <v>17105.016</v>
      </c>
      <c r="F18" s="22">
        <v>15915.047999999999</v>
      </c>
      <c r="G18" s="22">
        <v>14345.611000000001</v>
      </c>
      <c r="H18" s="11">
        <v>12462.101999999999</v>
      </c>
      <c r="I18" s="22">
        <v>11974.646999999999</v>
      </c>
      <c r="J18" s="11">
        <v>12418.382000000001</v>
      </c>
      <c r="K18" s="11">
        <v>12541.839</v>
      </c>
      <c r="L18" s="11">
        <v>13126.212</v>
      </c>
      <c r="M18" s="11">
        <v>13360.876</v>
      </c>
      <c r="N18" s="11">
        <v>13923.241</v>
      </c>
      <c r="O18" s="11">
        <v>13845.151999999998</v>
      </c>
      <c r="P18" s="11">
        <v>13905.918000000001</v>
      </c>
      <c r="Q18" s="11">
        <v>14885.21</v>
      </c>
      <c r="R18" s="11">
        <v>14408.641</v>
      </c>
      <c r="S18" s="11">
        <v>13970.351000000001</v>
      </c>
      <c r="T18" s="11">
        <v>13110.540999999999</v>
      </c>
      <c r="U18" s="11">
        <v>11815.749</v>
      </c>
      <c r="V18" s="11">
        <v>11054.169</v>
      </c>
      <c r="W18" s="11">
        <v>9647.9110000000001</v>
      </c>
      <c r="X18" s="11">
        <v>8085.6470000000008</v>
      </c>
      <c r="Y18" s="11">
        <v>6677.3270000000002</v>
      </c>
      <c r="Z18" s="11">
        <v>5615.1909999999998</v>
      </c>
      <c r="AA18" s="11">
        <v>4961.2139999999999</v>
      </c>
      <c r="AB18" s="11">
        <v>3966.5820000000003</v>
      </c>
      <c r="AC18" s="11">
        <v>3484.9679999999998</v>
      </c>
      <c r="AD18" s="11">
        <v>2740.201</v>
      </c>
      <c r="AE18" s="11">
        <v>2311.328</v>
      </c>
      <c r="AF18" s="11">
        <v>2127.25</v>
      </c>
      <c r="AG18" s="11">
        <v>2224.9659999999999</v>
      </c>
      <c r="AH18" s="11">
        <v>2259.7110000000002</v>
      </c>
      <c r="AI18" s="11">
        <v>2146.203</v>
      </c>
      <c r="AJ18" s="11">
        <v>2152.1909999999998</v>
      </c>
      <c r="AK18" s="11">
        <v>2299.2429999999999</v>
      </c>
    </row>
    <row r="19" spans="2:37" ht="15" customHeight="1" x14ac:dyDescent="0.25">
      <c r="B19" s="14"/>
      <c r="C19" s="93"/>
      <c r="D19" s="94"/>
      <c r="E19" s="22"/>
      <c r="F19" s="22"/>
      <c r="G19" s="22"/>
      <c r="H19" s="11"/>
      <c r="I19" s="2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5" customHeight="1" x14ac:dyDescent="0.25">
      <c r="B20" s="17" t="s">
        <v>79</v>
      </c>
      <c r="C20" s="93">
        <f>(E20-F20)/F20</f>
        <v>-0.11753934297316376</v>
      </c>
      <c r="D20" s="94">
        <f>(E20-I20)/I20</f>
        <v>-2.7339981919462381E-3</v>
      </c>
      <c r="E20" s="22">
        <v>-39494.531999999999</v>
      </c>
      <c r="F20" s="22">
        <v>-44755.006000000001</v>
      </c>
      <c r="G20" s="22">
        <v>-44032.396000000001</v>
      </c>
      <c r="H20" s="22">
        <v>-42021.593999999997</v>
      </c>
      <c r="I20" s="22">
        <v>-39602.805999999997</v>
      </c>
      <c r="J20" s="22">
        <v>-42309.360999999997</v>
      </c>
      <c r="K20" s="22">
        <v>-40737.06</v>
      </c>
      <c r="L20" s="22">
        <v>-37706.627999999997</v>
      </c>
      <c r="M20" s="22">
        <v>-34964.599000000002</v>
      </c>
      <c r="N20" s="22">
        <v>-31648.95</v>
      </c>
      <c r="O20" s="22">
        <v>-28474.420999999998</v>
      </c>
      <c r="P20" s="22">
        <v>-28037.044000000002</v>
      </c>
      <c r="Q20" s="22">
        <v>-28405.117999999999</v>
      </c>
      <c r="R20" s="22">
        <v>-25647.248</v>
      </c>
      <c r="S20" s="22">
        <v>-24506.027999999998</v>
      </c>
      <c r="T20" s="22">
        <v>-26362.205000000002</v>
      </c>
      <c r="U20" s="22">
        <v>-25948.288</v>
      </c>
      <c r="V20" s="22">
        <v>-26496.215</v>
      </c>
      <c r="W20" s="22">
        <v>-25450.292000000001</v>
      </c>
      <c r="X20" s="22">
        <v>-25116.644</v>
      </c>
      <c r="Y20" s="22">
        <v>-24124.510999999999</v>
      </c>
      <c r="Z20" s="22">
        <v>-23876.834999999999</v>
      </c>
      <c r="AA20" s="22">
        <v>-22321.555</v>
      </c>
      <c r="AB20" s="22">
        <v>-23113.437999999998</v>
      </c>
      <c r="AC20" s="22">
        <v>-21350.274000000001</v>
      </c>
      <c r="AD20" s="22">
        <v>-20334.870999999999</v>
      </c>
      <c r="AE20" s="22">
        <v>-19613.791000000001</v>
      </c>
      <c r="AF20" s="22">
        <v>-20177.002</v>
      </c>
      <c r="AG20" s="22">
        <v>-19435.941999999999</v>
      </c>
      <c r="AH20" s="22">
        <v>-20238.473999999998</v>
      </c>
      <c r="AI20" s="22">
        <v>-19582.668000000001</v>
      </c>
      <c r="AJ20" s="22">
        <v>-18460.383000000002</v>
      </c>
      <c r="AK20" s="11">
        <v>-15909.748</v>
      </c>
    </row>
    <row r="21" spans="2:37" s="19" customFormat="1" ht="26.1" customHeight="1" x14ac:dyDescent="0.25">
      <c r="B21" s="19" t="s">
        <v>183</v>
      </c>
      <c r="C21" s="95">
        <f>(E21-F21)/F21</f>
        <v>4.1635496770068468E-2</v>
      </c>
      <c r="D21" s="96">
        <f>(E21-I21)/I21</f>
        <v>1.1136707252412533E-2</v>
      </c>
      <c r="E21" s="66">
        <f t="shared" ref="E21:S21" si="0">SUM(E11:E20)</f>
        <v>318215.90999999997</v>
      </c>
      <c r="F21" s="66">
        <f t="shared" si="0"/>
        <v>305496.41499999998</v>
      </c>
      <c r="G21" s="66">
        <f t="shared" si="0"/>
        <v>311091.27799999993</v>
      </c>
      <c r="H21" s="20">
        <f t="shared" si="0"/>
        <v>305491.63299999997</v>
      </c>
      <c r="I21" s="66">
        <f t="shared" si="0"/>
        <v>314711.065</v>
      </c>
      <c r="J21" s="20">
        <f t="shared" si="0"/>
        <v>314482.96700000006</v>
      </c>
      <c r="K21" s="20">
        <f t="shared" si="0"/>
        <v>327948.17099999997</v>
      </c>
      <c r="L21" s="20">
        <f t="shared" si="0"/>
        <v>329370.26199999999</v>
      </c>
      <c r="M21" s="20">
        <f t="shared" si="0"/>
        <v>335302.09999999998</v>
      </c>
      <c r="N21" s="20">
        <f t="shared" si="0"/>
        <v>321018.46799999994</v>
      </c>
      <c r="O21" s="20">
        <f t="shared" si="0"/>
        <v>305911.408</v>
      </c>
      <c r="P21" s="20">
        <f t="shared" si="0"/>
        <v>309699.09199999995</v>
      </c>
      <c r="Q21" s="20">
        <f t="shared" si="0"/>
        <v>315338.995</v>
      </c>
      <c r="R21" s="20">
        <f t="shared" si="0"/>
        <v>277011.31199999998</v>
      </c>
      <c r="S21" s="20">
        <f t="shared" si="0"/>
        <v>261582.36500000005</v>
      </c>
      <c r="T21" s="20">
        <f t="shared" ref="T21:Y21" si="1">SUM(T11:T20)</f>
        <v>264624.78200000001</v>
      </c>
      <c r="U21" s="20">
        <f t="shared" si="1"/>
        <v>250884.103</v>
      </c>
      <c r="V21" s="20">
        <f t="shared" si="1"/>
        <v>257483.16200000004</v>
      </c>
      <c r="W21" s="20">
        <f t="shared" si="1"/>
        <v>243726.72500000003</v>
      </c>
      <c r="X21" s="20">
        <f t="shared" si="1"/>
        <v>230969.25199999998</v>
      </c>
      <c r="Y21" s="20">
        <f t="shared" si="1"/>
        <v>222378.91999999998</v>
      </c>
      <c r="Z21" s="20">
        <f t="shared" ref="Z21:AK21" si="2">SUM(Z11:Z20)</f>
        <v>223011.924</v>
      </c>
      <c r="AA21" s="20">
        <f t="shared" si="2"/>
        <v>221735.77500000002</v>
      </c>
      <c r="AB21" s="20">
        <f t="shared" si="2"/>
        <v>208992.378</v>
      </c>
      <c r="AC21" s="20">
        <f t="shared" si="2"/>
        <v>209907.068</v>
      </c>
      <c r="AD21" s="20">
        <f t="shared" si="2"/>
        <v>203365.94900000002</v>
      </c>
      <c r="AE21" s="20">
        <f t="shared" si="2"/>
        <v>198346.72900000002</v>
      </c>
      <c r="AF21" s="20">
        <f t="shared" si="2"/>
        <v>192575.16599999997</v>
      </c>
      <c r="AG21" s="20">
        <f t="shared" si="2"/>
        <v>182818.33899999998</v>
      </c>
      <c r="AH21" s="20">
        <f t="shared" si="2"/>
        <v>176249.37000000002</v>
      </c>
      <c r="AI21" s="20">
        <f t="shared" si="2"/>
        <v>157624.59100000004</v>
      </c>
      <c r="AJ21" s="20">
        <f t="shared" si="2"/>
        <v>159606.44399999999</v>
      </c>
      <c r="AK21" s="20">
        <f t="shared" si="2"/>
        <v>158200.48899999997</v>
      </c>
    </row>
    <row r="22" spans="2:37" x14ac:dyDescent="0.25">
      <c r="X22" s="128"/>
    </row>
    <row r="23" spans="2:37" x14ac:dyDescent="0.25">
      <c r="X23" s="128"/>
    </row>
    <row r="24" spans="2:37" x14ac:dyDescent="0.25">
      <c r="X24" s="128"/>
    </row>
    <row r="25" spans="2:37" x14ac:dyDescent="0.25">
      <c r="B25" s="453" t="s">
        <v>216</v>
      </c>
      <c r="C25" s="470" t="s">
        <v>201</v>
      </c>
      <c r="D25" s="468" t="s">
        <v>297</v>
      </c>
      <c r="E25" s="446">
        <v>43100</v>
      </c>
      <c r="F25" s="446">
        <v>43008</v>
      </c>
      <c r="G25" s="446">
        <v>42916</v>
      </c>
      <c r="H25" s="446">
        <v>42825</v>
      </c>
      <c r="I25" s="446">
        <v>42735</v>
      </c>
      <c r="J25" s="446">
        <v>42643</v>
      </c>
      <c r="K25" s="446">
        <v>42551</v>
      </c>
      <c r="L25" s="446">
        <v>42460</v>
      </c>
      <c r="M25" s="446">
        <v>42369</v>
      </c>
      <c r="N25" s="446">
        <v>42277</v>
      </c>
      <c r="O25" s="446">
        <v>42185</v>
      </c>
      <c r="P25" s="446">
        <v>42094</v>
      </c>
      <c r="Q25" s="446">
        <v>42004</v>
      </c>
      <c r="R25" s="446">
        <v>41912</v>
      </c>
      <c r="S25" s="446">
        <v>41820</v>
      </c>
      <c r="T25" s="446">
        <v>41729</v>
      </c>
      <c r="U25" s="446">
        <v>41639</v>
      </c>
      <c r="V25" s="446">
        <v>41547</v>
      </c>
      <c r="W25" s="446">
        <v>41455</v>
      </c>
      <c r="X25" s="446">
        <v>41364</v>
      </c>
      <c r="Y25" s="446">
        <v>41274</v>
      </c>
      <c r="Z25" s="446">
        <v>41182</v>
      </c>
      <c r="AA25" s="446">
        <v>41090</v>
      </c>
      <c r="AB25" s="446">
        <v>40999</v>
      </c>
      <c r="AC25" s="446">
        <v>40908</v>
      </c>
      <c r="AD25" s="446">
        <v>40816</v>
      </c>
      <c r="AE25" s="446">
        <v>40724</v>
      </c>
      <c r="AF25" s="446">
        <v>40633</v>
      </c>
      <c r="AG25" s="446">
        <v>40543</v>
      </c>
      <c r="AH25" s="446">
        <v>40451</v>
      </c>
      <c r="AI25" s="446">
        <v>40359</v>
      </c>
      <c r="AJ25" s="446">
        <v>40268</v>
      </c>
      <c r="AK25" s="446">
        <v>40178</v>
      </c>
    </row>
    <row r="26" spans="2:37" x14ac:dyDescent="0.25">
      <c r="B26" s="454"/>
      <c r="C26" s="471"/>
      <c r="D26" s="478"/>
      <c r="E26" s="447"/>
      <c r="F26" s="447"/>
      <c r="G26" s="447"/>
      <c r="H26" s="448"/>
      <c r="I26" s="447"/>
      <c r="J26" s="447"/>
      <c r="K26" s="447"/>
      <c r="L26" s="448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447"/>
      <c r="X26" s="447"/>
      <c r="Y26" s="447"/>
      <c r="Z26" s="447"/>
      <c r="AA26" s="447"/>
      <c r="AB26" s="447"/>
      <c r="AC26" s="447"/>
      <c r="AD26" s="447"/>
      <c r="AE26" s="447"/>
      <c r="AF26" s="447"/>
      <c r="AG26" s="447"/>
      <c r="AH26" s="447"/>
      <c r="AI26" s="447"/>
      <c r="AJ26" s="447"/>
      <c r="AK26" s="447"/>
    </row>
    <row r="27" spans="2:37" ht="9.75" customHeight="1" x14ac:dyDescent="0.25">
      <c r="B27" s="8" t="s">
        <v>8</v>
      </c>
      <c r="C27" s="135"/>
      <c r="D27" s="136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X27" s="128"/>
    </row>
    <row r="28" spans="2:37" s="62" customFormat="1" ht="12.75" x14ac:dyDescent="0.2">
      <c r="B28" s="137" t="s">
        <v>220</v>
      </c>
      <c r="C28" s="157">
        <f>(E28-F28)/F28</f>
        <v>7.3135080058452429E-2</v>
      </c>
      <c r="D28" s="158">
        <f>(E28-I28)/I28</f>
        <v>0.30776971530000635</v>
      </c>
      <c r="E28" s="72">
        <f>E15+E18</f>
        <v>71171.705000000002</v>
      </c>
      <c r="F28" s="72">
        <f t="shared" ref="F28:AK28" si="3">F15+F18</f>
        <v>66321.292000000001</v>
      </c>
      <c r="G28" s="72">
        <f t="shared" si="3"/>
        <v>61440.649000000005</v>
      </c>
      <c r="H28" s="56">
        <f t="shared" si="3"/>
        <v>56356.074999999997</v>
      </c>
      <c r="I28" s="72">
        <f t="shared" si="3"/>
        <v>54422.2</v>
      </c>
      <c r="J28" s="56">
        <f t="shared" si="3"/>
        <v>53032.907999999996</v>
      </c>
      <c r="K28" s="56">
        <f t="shared" si="3"/>
        <v>52112.495999999999</v>
      </c>
      <c r="L28" s="56">
        <f t="shared" si="3"/>
        <v>51021.031000000003</v>
      </c>
      <c r="M28" s="56">
        <f t="shared" si="3"/>
        <v>48740.176000000007</v>
      </c>
      <c r="N28" s="56">
        <f t="shared" si="3"/>
        <v>46780.651000000005</v>
      </c>
      <c r="O28" s="56">
        <f t="shared" si="3"/>
        <v>44058.695999999996</v>
      </c>
      <c r="P28" s="56">
        <f t="shared" si="3"/>
        <v>42637.339</v>
      </c>
      <c r="Q28" s="56">
        <f t="shared" si="3"/>
        <v>44273.103999999999</v>
      </c>
      <c r="R28" s="56">
        <f t="shared" si="3"/>
        <v>42328.063999999998</v>
      </c>
      <c r="S28" s="56">
        <f t="shared" si="3"/>
        <v>39232.868999999999</v>
      </c>
      <c r="T28" s="56">
        <f t="shared" si="3"/>
        <v>35489.686999999998</v>
      </c>
      <c r="U28" s="56">
        <f t="shared" si="3"/>
        <v>32118.207999999999</v>
      </c>
      <c r="V28" s="56">
        <f t="shared" si="3"/>
        <v>29443.665999999997</v>
      </c>
      <c r="W28" s="56">
        <f t="shared" si="3"/>
        <v>25626.321</v>
      </c>
      <c r="X28" s="56">
        <f t="shared" si="3"/>
        <v>21607.726000000002</v>
      </c>
      <c r="Y28" s="56">
        <f t="shared" si="3"/>
        <v>18282.933000000001</v>
      </c>
      <c r="Z28" s="56">
        <f t="shared" si="3"/>
        <v>15585.037</v>
      </c>
      <c r="AA28" s="56">
        <f t="shared" si="3"/>
        <v>13771.115</v>
      </c>
      <c r="AB28" s="56">
        <f t="shared" si="3"/>
        <v>11888.385</v>
      </c>
      <c r="AC28" s="56">
        <f t="shared" si="3"/>
        <v>11321.433000000001</v>
      </c>
      <c r="AD28" s="56">
        <f t="shared" si="3"/>
        <v>10633.562</v>
      </c>
      <c r="AE28" s="56">
        <f t="shared" si="3"/>
        <v>10144.776</v>
      </c>
      <c r="AF28" s="56">
        <f t="shared" si="3"/>
        <v>9773.2020000000011</v>
      </c>
      <c r="AG28" s="56">
        <f t="shared" si="3"/>
        <v>9925.0560000000005</v>
      </c>
      <c r="AH28" s="56">
        <f t="shared" si="3"/>
        <v>9945.1049999999996</v>
      </c>
      <c r="AI28" s="56">
        <f t="shared" si="3"/>
        <v>10203.066999999999</v>
      </c>
      <c r="AJ28" s="56">
        <f t="shared" si="3"/>
        <v>10403.532999999999</v>
      </c>
      <c r="AK28" s="56">
        <f t="shared" si="3"/>
        <v>10910.975</v>
      </c>
    </row>
    <row r="29" spans="2:37" x14ac:dyDescent="0.25">
      <c r="X29" s="128"/>
    </row>
    <row r="30" spans="2:37" x14ac:dyDescent="0.25">
      <c r="X30" s="27"/>
      <c r="Y30" s="27"/>
    </row>
    <row r="32" spans="2:37" ht="15.75" customHeight="1" x14ac:dyDescent="0.25">
      <c r="B32" s="453" t="s">
        <v>80</v>
      </c>
      <c r="C32" s="470" t="s">
        <v>201</v>
      </c>
      <c r="D32" s="468" t="s">
        <v>297</v>
      </c>
      <c r="E32" s="446">
        <v>43100</v>
      </c>
      <c r="F32" s="446">
        <v>43008</v>
      </c>
      <c r="G32" s="446">
        <v>42916</v>
      </c>
      <c r="H32" s="446">
        <v>42825</v>
      </c>
      <c r="I32" s="446">
        <v>42735</v>
      </c>
      <c r="J32" s="446">
        <v>42643</v>
      </c>
      <c r="K32" s="446">
        <v>42551</v>
      </c>
      <c r="L32" s="446">
        <v>42460</v>
      </c>
      <c r="M32" s="446">
        <v>42369</v>
      </c>
      <c r="N32" s="446">
        <v>42277</v>
      </c>
      <c r="O32" s="446">
        <v>42185</v>
      </c>
      <c r="P32" s="446">
        <v>42094</v>
      </c>
      <c r="Q32" s="446">
        <v>42004</v>
      </c>
      <c r="R32" s="446">
        <v>41912</v>
      </c>
      <c r="S32" s="446">
        <v>41820</v>
      </c>
      <c r="T32" s="446">
        <v>41729</v>
      </c>
      <c r="U32" s="446">
        <v>41639</v>
      </c>
      <c r="V32" s="446">
        <v>41547</v>
      </c>
      <c r="W32" s="446">
        <v>41455</v>
      </c>
      <c r="X32" s="446">
        <v>41364</v>
      </c>
      <c r="Y32" s="446">
        <v>41274</v>
      </c>
      <c r="Z32" s="446">
        <v>41182</v>
      </c>
      <c r="AA32" s="446">
        <v>41090</v>
      </c>
      <c r="AB32" s="446">
        <v>40999</v>
      </c>
      <c r="AC32" s="446">
        <v>40908</v>
      </c>
      <c r="AD32" s="446">
        <v>40816</v>
      </c>
      <c r="AE32" s="446">
        <v>40724</v>
      </c>
      <c r="AF32" s="446">
        <v>40633</v>
      </c>
      <c r="AG32" s="446">
        <v>40543</v>
      </c>
      <c r="AH32" s="446">
        <v>40451</v>
      </c>
      <c r="AI32" s="446">
        <v>40359</v>
      </c>
      <c r="AJ32" s="446">
        <v>40268</v>
      </c>
      <c r="AK32" s="446">
        <v>40178</v>
      </c>
    </row>
    <row r="33" spans="2:37" x14ac:dyDescent="0.25">
      <c r="B33" s="454"/>
      <c r="C33" s="471"/>
      <c r="D33" s="478"/>
      <c r="E33" s="447"/>
      <c r="F33" s="447"/>
      <c r="G33" s="447"/>
      <c r="H33" s="448"/>
      <c r="I33" s="447"/>
      <c r="J33" s="447"/>
      <c r="K33" s="447"/>
      <c r="L33" s="448"/>
      <c r="M33" s="447"/>
      <c r="N33" s="447"/>
      <c r="O33" s="447"/>
      <c r="P33" s="447"/>
      <c r="Q33" s="447"/>
      <c r="R33" s="447"/>
      <c r="S33" s="447"/>
      <c r="T33" s="447"/>
      <c r="U33" s="447"/>
      <c r="V33" s="447"/>
      <c r="W33" s="447"/>
      <c r="X33" s="447"/>
      <c r="Y33" s="447"/>
      <c r="Z33" s="447"/>
      <c r="AA33" s="447"/>
      <c r="AB33" s="447"/>
      <c r="AC33" s="447"/>
      <c r="AD33" s="447"/>
      <c r="AE33" s="447"/>
      <c r="AF33" s="447"/>
      <c r="AG33" s="447"/>
      <c r="AH33" s="447"/>
      <c r="AI33" s="447"/>
      <c r="AJ33" s="447"/>
      <c r="AK33" s="447"/>
    </row>
    <row r="34" spans="2:37" ht="9.75" customHeight="1" x14ac:dyDescent="0.25">
      <c r="B34" s="8"/>
      <c r="C34" s="89"/>
      <c r="D34" s="90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8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7" ht="15" customHeight="1" x14ac:dyDescent="0.25">
      <c r="B35" s="190" t="s">
        <v>56</v>
      </c>
      <c r="C35" s="152"/>
      <c r="D35" s="153"/>
      <c r="E35" s="129">
        <f>75805.832/$E$50</f>
        <v>0.21191953910028716</v>
      </c>
      <c r="F35" s="129">
        <f>71094.553/$F$50</f>
        <v>0.20298148340702951</v>
      </c>
      <c r="G35" s="129">
        <f>66186.649/$G$50</f>
        <v>0.18637633547348356</v>
      </c>
      <c r="H35" s="129">
        <f>61111.108/$H$50</f>
        <v>0.17585261006482497</v>
      </c>
      <c r="I35" s="129">
        <f>60126.543/$I$50</f>
        <v>0.16969852981002825</v>
      </c>
      <c r="J35" s="129">
        <f>58797.422/$J$50</f>
        <v>0.16479452439347292</v>
      </c>
      <c r="K35" s="129">
        <f>57292.165/$K$50</f>
        <v>0.15539587752024708</v>
      </c>
      <c r="L35" s="129">
        <f>56262.118/$L$50</f>
        <v>0.15327066217652655</v>
      </c>
      <c r="M35" s="129">
        <f>53501.823/$M$50</f>
        <v>0.14449536818864719</v>
      </c>
      <c r="N35" s="129">
        <f>52930.167/$N$50</f>
        <v>0.15008521995076962</v>
      </c>
      <c r="O35" s="129">
        <f>49592.881/$O$50</f>
        <v>0.1483103549821784</v>
      </c>
      <c r="P35" s="129">
        <f>49961.31/$P$50</f>
        <v>0.14793001007153112</v>
      </c>
      <c r="Q35" s="129">
        <f>51778.411/$Q$50</f>
        <v>0.15063068440098637</v>
      </c>
      <c r="R35" s="129">
        <f>48735.684/$R$50</f>
        <v>0.16102529530306364</v>
      </c>
      <c r="S35" s="129">
        <f>44654.602/$S$50</f>
        <v>0.15608673085873845</v>
      </c>
      <c r="T35" s="129">
        <f>41284.08/$T$50</f>
        <v>0.14187603516441785</v>
      </c>
      <c r="U35" s="129">
        <f>37771.812/$U$50</f>
        <v>0.13644289190133099</v>
      </c>
      <c r="V35" s="129">
        <f>34896.718/$V$50</f>
        <v>0.12288469102458802</v>
      </c>
      <c r="W35" s="129">
        <f>30849.183/$W$50</f>
        <v>0.11460556084548629</v>
      </c>
      <c r="X35" s="129">
        <f>26482.208/$X$50</f>
        <v>0.10341142723455571</v>
      </c>
      <c r="Y35" s="13">
        <f>22744.444/$Y$50</f>
        <v>9.2268265426293392E-2</v>
      </c>
      <c r="Z35" s="13">
        <f>19259.052/$Z$50</f>
        <v>7.8007002335817158E-2</v>
      </c>
      <c r="AA35" s="41">
        <f>17491.546/$AA$50</f>
        <v>7.1669824462965312E-2</v>
      </c>
      <c r="AB35" s="41">
        <f>16405.873/$AB$50</f>
        <v>7.0682731190156819E-2</v>
      </c>
      <c r="AC35" s="41">
        <f>16034.879/$AC$50</f>
        <v>6.9337815877863029E-2</v>
      </c>
      <c r="AD35" s="41">
        <f>15759.353/$AD$50</f>
        <v>7.0448347037798065E-2</v>
      </c>
      <c r="AE35" s="41">
        <f>14249.169/$AE$50</f>
        <v>6.537500002293993E-2</v>
      </c>
      <c r="AF35" s="41">
        <f>14369.874/$AF$50</f>
        <v>6.7542785274930781E-2</v>
      </c>
      <c r="AG35" s="41">
        <f>14060.416/$AG$50</f>
        <v>6.9518508733073497E-2</v>
      </c>
      <c r="AH35" s="41">
        <f>14200.96/$AH$50</f>
        <v>7.2273987595894221E-2</v>
      </c>
      <c r="AI35" s="41">
        <f>14443.18/$AI$50</f>
        <v>8.1504448979711389E-2</v>
      </c>
      <c r="AJ35" s="41">
        <f>14226.84/$AJ$50</f>
        <v>7.9896071827011333E-2</v>
      </c>
      <c r="AK35" s="41">
        <f>14648.082/$AK$50</f>
        <v>8.4131078404080295E-2</v>
      </c>
    </row>
    <row r="36" spans="2:37" s="39" customFormat="1" ht="15" customHeight="1" x14ac:dyDescent="0.25">
      <c r="B36" s="190" t="s">
        <v>81</v>
      </c>
      <c r="C36" s="231"/>
      <c r="D36" s="232"/>
      <c r="E36" s="129">
        <f>48814.115/$E$50</f>
        <v>0.13646265042494901</v>
      </c>
      <c r="F36" s="129">
        <f>46410.431/$F$50</f>
        <v>0.13250604627811061</v>
      </c>
      <c r="G36" s="129">
        <f>46958.256/$G$50</f>
        <v>0.1322307112648311</v>
      </c>
      <c r="H36" s="129">
        <f>43267.5979999999/$H$50</f>
        <v>0.12450633425817749</v>
      </c>
      <c r="I36" s="129">
        <f>43572.746/$I$50</f>
        <v>0.12297781590379792</v>
      </c>
      <c r="J36" s="129">
        <f>46488.675/$J$50</f>
        <v>0.13029617329664106</v>
      </c>
      <c r="K36" s="129">
        <f>45232.334/$K$50</f>
        <v>0.1226855056746225</v>
      </c>
      <c r="L36" s="129">
        <f>42714.546/$L$50</f>
        <v>0.11636402934545947</v>
      </c>
      <c r="M36" s="129">
        <f>49429.706/$M$50</f>
        <v>0.13349757386634439</v>
      </c>
      <c r="N36" s="129">
        <f>51183.962/$N$50</f>
        <v>0.14513379855238004</v>
      </c>
      <c r="O36" s="129">
        <f>49462.236/$O$50</f>
        <v>0.1479196536166609</v>
      </c>
      <c r="P36" s="129">
        <f>49509.105/$P$50</f>
        <v>0.14659108020351133</v>
      </c>
      <c r="Q36" s="129">
        <f>48003.731/$Q$50</f>
        <v>0.13964960906835952</v>
      </c>
      <c r="R36" s="129">
        <f>43154.25/$R$50</f>
        <v>0.14258394013372694</v>
      </c>
      <c r="S36" s="129">
        <f>41561.173/$S$50</f>
        <v>0.14527388743100808</v>
      </c>
      <c r="T36" s="129">
        <f>43330.077/$T$50</f>
        <v>0.14890726711431942</v>
      </c>
      <c r="U36" s="129">
        <f>42323.17/$U$50</f>
        <v>0.1528837353429498</v>
      </c>
      <c r="V36" s="129">
        <f>43176.361/$V$50</f>
        <v>0.15204048074237445</v>
      </c>
      <c r="W36" s="129">
        <f>36601.873/$W$50</f>
        <v>0.13597696195585671</v>
      </c>
      <c r="X36" s="129">
        <f>34759.294/$X$50</f>
        <v>0.13573294954127424</v>
      </c>
      <c r="Y36" s="13">
        <f>34962.243/$Y$50</f>
        <v>0.14183268305097141</v>
      </c>
      <c r="Z36" s="13">
        <f>34993.377/$Z$50</f>
        <v>0.14173742515348786</v>
      </c>
      <c r="AA36" s="13">
        <f>31792.819/$AA$50</f>
        <v>0.13026783092316876</v>
      </c>
      <c r="AB36" s="13">
        <f>29633.909/$AB$50</f>
        <v>0.12767413376664374</v>
      </c>
      <c r="AC36" s="13">
        <f>30114.469/$AC$50</f>
        <v>0.13022059641245898</v>
      </c>
      <c r="AD36" s="13">
        <f>29753.823/$AD$50</f>
        <v>0.1330072147254534</v>
      </c>
      <c r="AE36" s="13">
        <f>29731.841/$AE$50</f>
        <v>0.13640929559169707</v>
      </c>
      <c r="AF36" s="13">
        <f>25982.141/$AF$50</f>
        <v>0.12212397760383809</v>
      </c>
      <c r="AG36" s="13">
        <f>24501.57/$AG$50</f>
        <v>0.12114240489179065</v>
      </c>
      <c r="AH36" s="13">
        <f>23524.078/$AH$50</f>
        <v>0.11972281603334199</v>
      </c>
      <c r="AI36" s="13">
        <f>22659.296/$AI$50</f>
        <v>0.12786889277487215</v>
      </c>
      <c r="AJ36" s="13">
        <f>23889.36/$AJ$50</f>
        <v>0.13415951978523211</v>
      </c>
      <c r="AK36" s="13">
        <f>21149.81/$AK$50</f>
        <v>0.12147367302704896</v>
      </c>
    </row>
    <row r="37" spans="2:37" s="39" customFormat="1" ht="15" customHeight="1" x14ac:dyDescent="0.25">
      <c r="B37" s="189" t="s">
        <v>82</v>
      </c>
      <c r="C37" s="152"/>
      <c r="D37" s="153"/>
      <c r="E37" s="129">
        <f>40591.842/$E$50</f>
        <v>0.11347681597732055</v>
      </c>
      <c r="F37" s="129">
        <f>32050.478/$F$50</f>
        <v>9.1507060580919106E-2</v>
      </c>
      <c r="G37" s="129">
        <f>31572.82/$G$50</f>
        <v>8.8906548088934237E-2</v>
      </c>
      <c r="H37" s="129">
        <f>31193.116/$H$50</f>
        <v>8.9760945991273031E-2</v>
      </c>
      <c r="I37" s="129">
        <f>29059.438/$I$50</f>
        <v>8.2016089062457276E-2</v>
      </c>
      <c r="J37" s="129">
        <f>33630.903/$J$50</f>
        <v>9.4259041915273456E-2</v>
      </c>
      <c r="K37" s="129">
        <f>36687.649/$K$50</f>
        <v>9.9509407796158786E-2</v>
      </c>
      <c r="L37" s="129">
        <f>37744.522/$L$50</f>
        <v>0.10282456626457742</v>
      </c>
      <c r="M37" s="129">
        <f>39805.362/$M$50</f>
        <v>0.1075045692942535</v>
      </c>
      <c r="N37" s="129">
        <f>39274.193/$N$50</f>
        <v>0.11136325896712126</v>
      </c>
      <c r="O37" s="129">
        <f>37862.557/$O$50</f>
        <v>0.11323014827880162</v>
      </c>
      <c r="P37" s="129">
        <f>39853.986/$P$50</f>
        <v>0.11800332197795975</v>
      </c>
      <c r="Q37" s="129">
        <f>45976.427/$Q$50</f>
        <v>0.13375189642884153</v>
      </c>
      <c r="R37" s="129">
        <f>43378.227/$R$50</f>
        <v>0.14332397206938405</v>
      </c>
      <c r="S37" s="129">
        <f>38061.546/$S$50</f>
        <v>0.13304121009900599</v>
      </c>
      <c r="T37" s="129">
        <f>41160.388/$T$50</f>
        <v>0.14145095773647087</v>
      </c>
      <c r="U37" s="129">
        <f>35081.826/$U$50</f>
        <v>0.12672587146783701</v>
      </c>
      <c r="V37" s="129">
        <f>33020.504/$V$50</f>
        <v>0.11627782393508101</v>
      </c>
      <c r="W37" s="129">
        <f>28925.015/$W$50</f>
        <v>0.10745722395757136</v>
      </c>
      <c r="X37" s="129">
        <f>29229.832/$X$50</f>
        <v>0.1141407334670239</v>
      </c>
      <c r="Y37" s="13">
        <f>27783.619/$Y$50</f>
        <v>0.11271088149681778</v>
      </c>
      <c r="Z37" s="13">
        <f>30799.638/$Z$50</f>
        <v>0.12475107463276609</v>
      </c>
      <c r="AA37" s="41">
        <f>30662.534/$AA$50</f>
        <v>0.12563660349803876</v>
      </c>
      <c r="AB37" s="41">
        <f>28216.599/$AB$50</f>
        <v>0.12156782404797646</v>
      </c>
      <c r="AC37" s="41">
        <f>26612.935/$AC$50</f>
        <v>0.11507930848742524</v>
      </c>
      <c r="AD37" s="41">
        <f>28087.486/$AD$50</f>
        <v>0.12555826125268563</v>
      </c>
      <c r="AE37" s="41">
        <f>28066.875/$AE$50</f>
        <v>0.12877045347478525</v>
      </c>
      <c r="AF37" s="41">
        <f>26790.407/$AF$50</f>
        <v>0.12592307402479677</v>
      </c>
      <c r="AG37" s="41">
        <f>25753.396/$AG$50</f>
        <v>0.12733177202810358</v>
      </c>
      <c r="AH37" s="41">
        <f>24088.461/$AH$50</f>
        <v>0.12259517184177561</v>
      </c>
      <c r="AI37" s="41">
        <f>26875.876/$AI$50</f>
        <v>0.15166351622198501</v>
      </c>
      <c r="AJ37" s="41">
        <f>23157.379/$AJ$50</f>
        <v>0.13004881027053963</v>
      </c>
      <c r="AK37" s="41">
        <f>25246.314/$AK$50</f>
        <v>0.14500189325455917</v>
      </c>
    </row>
    <row r="38" spans="2:37" s="39" customFormat="1" ht="15" customHeight="1" x14ac:dyDescent="0.25">
      <c r="B38" s="190" t="s">
        <v>85</v>
      </c>
      <c r="C38" s="152"/>
      <c r="D38" s="153"/>
      <c r="E38" s="129">
        <f>33385.845/$E$50</f>
        <v>9.3332039213996451E-2</v>
      </c>
      <c r="F38" s="129">
        <f>32382.354/$F$50</f>
        <v>9.245459706500378E-2</v>
      </c>
      <c r="G38" s="129">
        <f>32527.046/$G$50</f>
        <v>9.1593572553543709E-2</v>
      </c>
      <c r="H38" s="129">
        <f>32146.306/$H$50</f>
        <v>9.2503834393618645E-2</v>
      </c>
      <c r="I38" s="129">
        <f>34747.634/$I$50</f>
        <v>9.8070205103542224E-2</v>
      </c>
      <c r="J38" s="129">
        <f>35481.761/$J$50</f>
        <v>9.9446535745017467E-2</v>
      </c>
      <c r="K38" s="129">
        <f>35060.361/$K$50</f>
        <v>9.509564813568569E-2</v>
      </c>
      <c r="L38" s="129">
        <f>35491.86/$L$50</f>
        <v>9.6687808377149534E-2</v>
      </c>
      <c r="M38" s="129">
        <f>32814.512/$M$50</f>
        <v>8.8623989380152188E-2</v>
      </c>
      <c r="N38" s="129">
        <f>29583.945/$N$50</f>
        <v>8.3886243781102585E-2</v>
      </c>
      <c r="O38" s="129">
        <f>26040.723/$O$50</f>
        <v>7.7876275671957387E-2</v>
      </c>
      <c r="P38" s="129">
        <f>26973.128/$P$50</f>
        <v>7.9864501084953507E-2</v>
      </c>
      <c r="Q38" s="129">
        <f>26607.574/$Q$50</f>
        <v>7.7405177263355773E-2</v>
      </c>
      <c r="R38" s="129">
        <f>25717.617/$R$50</f>
        <v>8.4972376132365121E-2</v>
      </c>
      <c r="S38" s="129">
        <f>23172.57/$S$50</f>
        <v>8.0997938284060322E-2</v>
      </c>
      <c r="T38" s="129">
        <f>21453.196/$T$50</f>
        <v>7.3725619902033621E-2</v>
      </c>
      <c r="U38" s="129">
        <f>21175.211/$U$50</f>
        <v>7.6491088790256484E-2</v>
      </c>
      <c r="V38" s="129">
        <f>22072.458/$V$50</f>
        <v>7.7725566670286753E-2</v>
      </c>
      <c r="W38" s="129">
        <f>24570.018/$W$50</f>
        <v>9.127829067219359E-2</v>
      </c>
      <c r="X38" s="129">
        <f>23310.339/$X$50</f>
        <v>9.1025469829076416E-2</v>
      </c>
      <c r="Y38" s="13">
        <f>21566.3/$Y$50</f>
        <v>8.7488843106609732E-2</v>
      </c>
      <c r="Z38" s="13">
        <f>21768.582/$Z$50</f>
        <v>8.8171620644745513E-2</v>
      </c>
      <c r="AA38" s="41">
        <f>23068.472/$AA$50</f>
        <v>9.4520709539844608E-2</v>
      </c>
      <c r="AB38" s="41">
        <f>19565.29/$AB$50</f>
        <v>8.4294699448634242E-2</v>
      </c>
      <c r="AC38" s="41">
        <f>21568.27/$AC$50</f>
        <v>9.3265233499051456E-2</v>
      </c>
      <c r="AD38" s="41">
        <f>21664.3/$AD$50</f>
        <v>9.6844973567821513E-2</v>
      </c>
      <c r="AE38" s="41">
        <f>20315.66/$AE$50</f>
        <v>9.3207980968296467E-2</v>
      </c>
      <c r="AF38" s="41">
        <f>22413.487/$AF$50</f>
        <v>0.10535021668968375</v>
      </c>
      <c r="AG38" s="41">
        <f>21576.798/$AG$50</f>
        <v>0.10668153916603625</v>
      </c>
      <c r="AH38" s="41">
        <f>16964.451/$AH$50</f>
        <v>8.6338425088526086E-2</v>
      </c>
      <c r="AI38" s="41">
        <f>17511.077/$AI$50</f>
        <v>9.8816928261386869E-2</v>
      </c>
      <c r="AJ38" s="41">
        <f>17009.118/$AJ$50</f>
        <v>9.5520981007877453E-2</v>
      </c>
      <c r="AK38" s="41">
        <f>18508.914/$AK$50</f>
        <v>0.10630571940465512</v>
      </c>
    </row>
    <row r="39" spans="2:37" s="39" customFormat="1" ht="15" customHeight="1" x14ac:dyDescent="0.25">
      <c r="B39" s="190" t="s">
        <v>88</v>
      </c>
      <c r="C39" s="152"/>
      <c r="D39" s="153"/>
      <c r="E39" s="129">
        <f>28149.787/$E$50</f>
        <v>7.8694339596605906E-2</v>
      </c>
      <c r="F39" s="129">
        <f>24672.041/$F$50</f>
        <v>7.0440944763504626E-2</v>
      </c>
      <c r="G39" s="129">
        <f>31429.887/$G$50</f>
        <v>8.8504060137652232E-2</v>
      </c>
      <c r="H39" s="129">
        <f>30920.682/$H$50</f>
        <v>8.8976993097301602E-2</v>
      </c>
      <c r="I39" s="129">
        <f>43703.763/$I$50</f>
        <v>0.12334759256433402</v>
      </c>
      <c r="J39" s="129">
        <f>34943.83/$J$50</f>
        <v>9.7938849178393766E-2</v>
      </c>
      <c r="K39" s="129">
        <f>37013.586/$K$50</f>
        <v>0.10039346002444022</v>
      </c>
      <c r="L39" s="129">
        <f>39790.968/$L$50</f>
        <v>0.10839954539224739</v>
      </c>
      <c r="M39" s="129">
        <f>39865.293/$M$50</f>
        <v>0.10766642830064499</v>
      </c>
      <c r="N39" s="129">
        <f>36535.112/$N$50</f>
        <v>0.10359650519232261</v>
      </c>
      <c r="O39" s="129">
        <f>37028.539/$O$50</f>
        <v>0.11073596961550665</v>
      </c>
      <c r="P39" s="129">
        <f>39185.773/$P$50</f>
        <v>0.1160248158935531</v>
      </c>
      <c r="Q39" s="129">
        <f>36492.435/$Q$50</f>
        <v>0.10616162901384728</v>
      </c>
      <c r="R39" s="129">
        <f>30578.545/$R$50</f>
        <v>0.10103314110792042</v>
      </c>
      <c r="S39" s="129">
        <f>28876.351/$S$50</f>
        <v>0.10093506659670738</v>
      </c>
      <c r="T39" s="129">
        <f>29343.612/$T$50</f>
        <v>0.10084166409819556</v>
      </c>
      <c r="U39" s="129">
        <f>26367.208/$U$50</f>
        <v>9.5246108682419311E-2</v>
      </c>
      <c r="V39" s="129">
        <f>26887.203/$V$50</f>
        <v>9.4680125310648872E-2</v>
      </c>
      <c r="W39" s="129">
        <f>20898.725/$W$50</f>
        <v>7.7639336496547903E-2</v>
      </c>
      <c r="X39" s="129">
        <f>20645.783/$X$50</f>
        <v>8.0620539133478872E-2</v>
      </c>
      <c r="Y39" s="13">
        <f>18288.054/$Y$50</f>
        <v>7.4189855799613597E-2</v>
      </c>
      <c r="Z39" s="13">
        <f>16891.794/$Z$50</f>
        <v>6.8418643555983052E-2</v>
      </c>
      <c r="AA39" s="41">
        <f>14674.117/$AA$50</f>
        <v>6.0125696695936162E-2</v>
      </c>
      <c r="AB39" s="41">
        <f>15733.462/$AB$50</f>
        <v>6.7785729246870749E-2</v>
      </c>
      <c r="AC39" s="41">
        <f>14426.34/$AC$50</f>
        <v>6.2382192388944782E-2</v>
      </c>
      <c r="AD39" s="41">
        <f>11370.995/$AD$50</f>
        <v>5.0831262040076562E-2</v>
      </c>
      <c r="AE39" s="41">
        <f>11249.243/$AE$50</f>
        <v>5.1611378978174582E-2</v>
      </c>
      <c r="AF39" s="41">
        <f>10953.057/$AF$50</f>
        <v>5.1482704514672677E-2</v>
      </c>
      <c r="AG39" s="41">
        <f>11827.141/$AG$50</f>
        <v>5.8476591652465444E-2</v>
      </c>
      <c r="AH39" s="41">
        <f>11635.826/$AH$50</f>
        <v>5.921906293602569E-2</v>
      </c>
      <c r="AI39" s="41">
        <f>9292.084/$AI$50</f>
        <v>5.243624923965446E-2</v>
      </c>
      <c r="AJ39" s="41">
        <f>11082.203/$AJ$50</f>
        <v>6.2236201917609278E-2</v>
      </c>
      <c r="AK39" s="41">
        <f>10983.231/$AK$50</f>
        <v>6.3082051861201013E-2</v>
      </c>
    </row>
    <row r="40" spans="2:37" s="39" customFormat="1" ht="15" customHeight="1" x14ac:dyDescent="0.25">
      <c r="B40" s="189" t="s">
        <v>86</v>
      </c>
      <c r="C40" s="152"/>
      <c r="D40" s="153"/>
      <c r="E40" s="129">
        <f>24748.113/$E$50</f>
        <v>6.918476536952757E-2</v>
      </c>
      <c r="F40" s="129">
        <f>26855.042/$F$50</f>
        <v>7.6673613267082233E-2</v>
      </c>
      <c r="G40" s="129">
        <f>28315.874/$G$50</f>
        <v>7.9735247388773092E-2</v>
      </c>
      <c r="H40" s="129">
        <f>28014.802/$H$50</f>
        <v>8.0615066775573424E-2</v>
      </c>
      <c r="I40" s="129">
        <f>18228.508/$I$50</f>
        <v>5.1447345113959715E-2</v>
      </c>
      <c r="J40" s="129">
        <f>20057.146/$J$50</f>
        <v>5.6215182967723452E-2</v>
      </c>
      <c r="K40" s="129">
        <f>22081.554/$K$50</f>
        <v>5.9892700177078699E-2</v>
      </c>
      <c r="L40" s="129">
        <f>23011.189/$L$50</f>
        <v>6.2687653804629317E-2</v>
      </c>
      <c r="M40" s="129">
        <f>26547.246/$M$50</f>
        <v>7.1697633278114486E-2</v>
      </c>
      <c r="N40" s="129">
        <f>23141.738/$N$50</f>
        <v>6.5619155098699825E-2</v>
      </c>
      <c r="O40" s="129">
        <f>20231.138/$O$50</f>
        <v>6.0502378526334021E-2</v>
      </c>
      <c r="P40" s="129">
        <f>19156.417/$P$50</f>
        <v>5.6720069184423919E-2</v>
      </c>
      <c r="Q40" s="129">
        <f>14434.517/$Q$50</f>
        <v>4.199204132988308E-2</v>
      </c>
      <c r="R40" s="129">
        <f>9543.018/$R$50</f>
        <v>3.1530639675282933E-2</v>
      </c>
      <c r="S40" s="129">
        <f>9505.347/$S$50</f>
        <v>3.3225210223750669E-2</v>
      </c>
      <c r="T40" s="129">
        <f>9317.16/$T$50</f>
        <v>3.2019163798551582E-2</v>
      </c>
      <c r="U40" s="129">
        <f>9680.543/$U$50</f>
        <v>3.4968967919653593E-2</v>
      </c>
      <c r="V40" s="129">
        <f>15791.851/$V$50</f>
        <v>5.5609147279733623E-2</v>
      </c>
      <c r="W40" s="129">
        <f>16194.381/$W$50</f>
        <v>6.0162569525763029E-2</v>
      </c>
      <c r="X40" s="129">
        <f>16317.937/$X$50</f>
        <v>6.3720561166711043E-2</v>
      </c>
      <c r="Y40" s="13">
        <f>16399.614/$Y$50</f>
        <v>6.652894823196194E-2</v>
      </c>
      <c r="Z40" s="13">
        <f>14518.419/$Z$50</f>
        <v>5.8805508435481262E-2</v>
      </c>
      <c r="AA40" s="41">
        <f>17642.099/$AA$50</f>
        <v>7.2286700014295824E-2</v>
      </c>
      <c r="AB40" s="41">
        <f>16866.314/$AB$50</f>
        <v>7.2666485875562889E-2</v>
      </c>
      <c r="AC40" s="41">
        <f>17179.939/$AC$50</f>
        <v>7.4289269484036524E-2</v>
      </c>
      <c r="AD40" s="41">
        <f>16502.949/$AD$50</f>
        <v>7.3772411741718252E-2</v>
      </c>
      <c r="AE40" s="41">
        <f>14655.779/$AE$50</f>
        <v>6.7240521356803529E-2</v>
      </c>
      <c r="AF40" s="41">
        <f>19020.098/$AF$50</f>
        <v>8.9400254666265028E-2</v>
      </c>
      <c r="AG40" s="41">
        <f>14876.175/$AG$50</f>
        <v>7.3551842395860087E-2</v>
      </c>
      <c r="AH40" s="41">
        <f>8336.204/$AH$50</f>
        <v>4.2426054611296969E-2</v>
      </c>
      <c r="AI40" s="41">
        <f>8544.817/$AI$50</f>
        <v>4.8219339592629216E-2</v>
      </c>
      <c r="AJ40" s="41">
        <f>7829.386/$AJ$50</f>
        <v>4.396880728379577E-2</v>
      </c>
      <c r="AK40" s="41">
        <f>8496.896/$AK$50</f>
        <v>4.8801817437075803E-2</v>
      </c>
    </row>
    <row r="41" spans="2:37" s="39" customFormat="1" ht="15" customHeight="1" x14ac:dyDescent="0.25">
      <c r="B41" s="190" t="s">
        <v>84</v>
      </c>
      <c r="C41" s="152"/>
      <c r="D41" s="153"/>
      <c r="E41" s="129">
        <f>23742.738/$E$50</f>
        <v>6.637418205421021E-2</v>
      </c>
      <c r="F41" s="129">
        <f>25460.834/$F$50</f>
        <v>7.2693021279705242E-2</v>
      </c>
      <c r="G41" s="129">
        <f>26730.21/$G$50</f>
        <v>7.5270143775320375E-2</v>
      </c>
      <c r="H41" s="129">
        <f>24170.054/$H$50</f>
        <v>6.9551464871292518E-2</v>
      </c>
      <c r="I41" s="129">
        <f>28042.497/$I$50</f>
        <v>7.9145919184180069E-2</v>
      </c>
      <c r="J41" s="129">
        <f>31367.274/$J$50</f>
        <v>8.791465381508988E-2</v>
      </c>
      <c r="K41" s="129">
        <f>35277.951/$K$50</f>
        <v>9.5685826373663463E-2</v>
      </c>
      <c r="L41" s="129">
        <f>36399.549/$L$50</f>
        <v>9.9160557342631947E-2</v>
      </c>
      <c r="M41" s="129">
        <f>38407.258/$M$50</f>
        <v>0.10372863156132765</v>
      </c>
      <c r="N41" s="129">
        <f>34419.893/$N$50</f>
        <v>9.7598732525951692E-2</v>
      </c>
      <c r="O41" s="129">
        <f>32651.314/$O$50</f>
        <v>9.7645627201504409E-2</v>
      </c>
      <c r="P41" s="129">
        <f>35519.4/$P$50</f>
        <v>0.10516908383176388</v>
      </c>
      <c r="Q41" s="129">
        <f>37078.581/$Q$50</f>
        <v>0.10786681021647052</v>
      </c>
      <c r="R41" s="129">
        <f>34453.552/$R$50</f>
        <v>0.11383637059530054</v>
      </c>
      <c r="S41" s="129">
        <f>33818.956/$S$50</f>
        <v>0.11821156267601529</v>
      </c>
      <c r="T41" s="129">
        <f>33212.389/$T$50</f>
        <v>0.1141370249659996</v>
      </c>
      <c r="U41" s="129">
        <f>31707.561/$U$50</f>
        <v>0.11453703407127673</v>
      </c>
      <c r="V41" s="129">
        <f>30513.734/$V$50</f>
        <v>0.1074505280008414</v>
      </c>
      <c r="W41" s="129">
        <f>30295.942/$W$50</f>
        <v>0.11255025535853974</v>
      </c>
      <c r="X41" s="129">
        <f>28690.697/$X$50</f>
        <v>0.11203544376375965</v>
      </c>
      <c r="Y41" s="13">
        <f>27900.667/$Y$50</f>
        <v>0.11318571464427203</v>
      </c>
      <c r="Z41" s="13">
        <f>27636.157/$Z$50</f>
        <v>0.1119376885036714</v>
      </c>
      <c r="AA41" s="41">
        <f>27194.914/$AA$50</f>
        <v>0.11142838447015709</v>
      </c>
      <c r="AB41" s="41">
        <f>25390.647/$AB$50</f>
        <v>0.10939254964640784</v>
      </c>
      <c r="AC41" s="41">
        <f>27383.215/$AC$50</f>
        <v>0.1184101432766619</v>
      </c>
      <c r="AD41" s="41">
        <f>22591.938/$AD$50</f>
        <v>0.10099175318177196</v>
      </c>
      <c r="AE41" s="41">
        <f>23595.978/$AE$50</f>
        <v>0.1082580368224484</v>
      </c>
      <c r="AF41" s="41">
        <f>19851.493/$AF$50</f>
        <v>9.3308064432979121E-2</v>
      </c>
      <c r="AG41" s="41">
        <f>17356.272/$AG$50</f>
        <v>8.581411436230614E-2</v>
      </c>
      <c r="AH41" s="41">
        <f>17354.724/$AH$50</f>
        <v>8.8324670100202216E-2</v>
      </c>
      <c r="AI41" s="41">
        <f>13698.55/$AI$50</f>
        <v>7.7302420212932696E-2</v>
      </c>
      <c r="AJ41" s="41">
        <f>13138.669/$AJ$50</f>
        <v>7.3785045880555844E-2</v>
      </c>
      <c r="AK41" s="41">
        <f>14495.663/$AK$50</f>
        <v>8.325566175640782E-2</v>
      </c>
    </row>
    <row r="42" spans="2:37" s="39" customFormat="1" ht="15" customHeight="1" x14ac:dyDescent="0.25">
      <c r="B42" s="190" t="s">
        <v>83</v>
      </c>
      <c r="C42" s="152"/>
      <c r="D42" s="153"/>
      <c r="E42" s="129">
        <f>22682.774/$E$50</f>
        <v>6.3410992067153588E-2</v>
      </c>
      <c r="F42" s="129">
        <f>26588.053/$F$50</f>
        <v>7.5911335132027927E-2</v>
      </c>
      <c r="G42" s="129">
        <f>31717.002/$G$50</f>
        <v>8.9312553124802394E-2</v>
      </c>
      <c r="H42" s="129">
        <f>36264.577/$H$50</f>
        <v>0.10435452288554185</v>
      </c>
      <c r="I42" s="129">
        <f>36334.463/$I$50</f>
        <v>0.1025488019914411</v>
      </c>
      <c r="J42" s="129">
        <f>30405.697/$J$50</f>
        <v>8.5219593062550378E-2</v>
      </c>
      <c r="K42" s="129">
        <f>32846.094/$K$50</f>
        <v>8.9089801375851693E-2</v>
      </c>
      <c r="L42" s="129">
        <f>31020.308/$L$50</f>
        <v>8.4506295125252914E-2</v>
      </c>
      <c r="M42" s="129">
        <f>27680.381/$M$50</f>
        <v>7.4757954400862831E-2</v>
      </c>
      <c r="N42" s="129">
        <f>28027.812/$N$50</f>
        <v>7.9473777756242869E-2</v>
      </c>
      <c r="O42" s="129">
        <f>23752.606/$O$50</f>
        <v>7.1033530550721993E-2</v>
      </c>
      <c r="P42" s="129">
        <f>22384.821/$P$50</f>
        <v>6.6279022627297429E-2</v>
      </c>
      <c r="Q42" s="129">
        <f>22681.58/$Q$50</f>
        <v>6.5983908210233116E-2</v>
      </c>
      <c r="R42" s="129">
        <f>16354.247/$R$50</f>
        <v>5.403530301604554E-2</v>
      </c>
      <c r="S42" s="129">
        <f>13948.429/$S$50</f>
        <v>4.8755662030650779E-2</v>
      </c>
      <c r="T42" s="129">
        <f>14599.349/$T$50</f>
        <v>5.0171827786924368E-2</v>
      </c>
      <c r="U42" s="129">
        <f>15467.219/$U$50</f>
        <v>5.5872143227632634E-2</v>
      </c>
      <c r="V42" s="129">
        <f>19461.144/$V$50</f>
        <v>6.8530131327106891E-2</v>
      </c>
      <c r="W42" s="129">
        <f>24876.777/$W$50</f>
        <v>9.2417908769677731E-2</v>
      </c>
      <c r="X42" s="129">
        <f>24642.967/$X$50</f>
        <v>9.6229301905794928E-2</v>
      </c>
      <c r="Y42" s="13">
        <f>24673.744/$Y$50</f>
        <v>0.10009493133586445</v>
      </c>
      <c r="Z42" s="13">
        <f>26612.406/$Z$50</f>
        <v>0.10779108011150884</v>
      </c>
      <c r="AA42" s="41">
        <f>29569.4/$AA$50</f>
        <v>0.1211575985035975</v>
      </c>
      <c r="AB42" s="41">
        <f>27916.759/$AB$50</f>
        <v>0.12027599946052192</v>
      </c>
      <c r="AC42" s="41">
        <f>30574.2/$AC$50</f>
        <v>0.13220855924219696</v>
      </c>
      <c r="AD42" s="41">
        <f>30359.328/$AD$50</f>
        <v>0.135713977266601</v>
      </c>
      <c r="AE42" s="41">
        <f>32874.31/$AE$50</f>
        <v>0.1508269020462972</v>
      </c>
      <c r="AF42" s="41">
        <f>30726.399/$AF$50</f>
        <v>0.14442343544062028</v>
      </c>
      <c r="AG42" s="41">
        <f>28780.469/$AG$50</f>
        <v>0.14229844163348018</v>
      </c>
      <c r="AH42" s="41">
        <f>32256.077/$AH$50</f>
        <v>0.16416321917604226</v>
      </c>
      <c r="AI42" s="41">
        <f>25664.541/$AI$50</f>
        <v>0.14482781994839164</v>
      </c>
      <c r="AJ42" s="41">
        <f>32199.172/$AJ$50</f>
        <v>0.18082633662023978</v>
      </c>
      <c r="AK42" s="41">
        <f>31004.948/$AK$50</f>
        <v>0.17807653664844533</v>
      </c>
    </row>
    <row r="43" spans="2:37" s="39" customFormat="1" ht="15" customHeight="1" x14ac:dyDescent="0.25">
      <c r="B43" s="190" t="s">
        <v>87</v>
      </c>
      <c r="C43" s="152"/>
      <c r="D43" s="153"/>
      <c r="E43" s="129">
        <f>12052.542/$E$50</f>
        <v>3.3693570510865883E-2</v>
      </c>
      <c r="F43" s="129">
        <f>10623.534/$F$50</f>
        <v>3.033116602259267E-2</v>
      </c>
      <c r="G43" s="129">
        <f>9673.823/$G$50</f>
        <v>2.7240715582369207E-2</v>
      </c>
      <c r="H43" s="129">
        <f>9413.502/$H$50</f>
        <v>2.7088183322587608E-2</v>
      </c>
      <c r="I43" s="129">
        <f>8150.996/$I$50</f>
        <v>2.3005015234077584E-2</v>
      </c>
      <c r="J43" s="129">
        <f>11223.635/$J$50</f>
        <v>3.1457052518236883E-2</v>
      </c>
      <c r="K43" s="129">
        <f>17153.517/$K$50</f>
        <v>4.6526184283199566E-2</v>
      </c>
      <c r="L43" s="129">
        <f>17602.824/$L$50</f>
        <v>4.7954051261576286E-2</v>
      </c>
      <c r="M43" s="129">
        <f>15782.648/$M$50</f>
        <v>4.2625080901482856E-2</v>
      </c>
      <c r="N43" s="129">
        <f>14399.436/$N$50</f>
        <v>4.0830071804364987E-2</v>
      </c>
      <c r="O43" s="129">
        <f>19678.139/$O$50</f>
        <v>5.884860330011174E-2</v>
      </c>
      <c r="P43" s="129">
        <f>17058.366/$P$50</f>
        <v>5.0507968149431322E-2</v>
      </c>
      <c r="Q43" s="129">
        <f>17506.709/$Q$50</f>
        <v>5.0929480209018149E-2</v>
      </c>
      <c r="R43" s="129">
        <f>14906.778/$R$50</f>
        <v>4.9252788356622064E-2</v>
      </c>
      <c r="S43" s="129">
        <f>15847.942/$S$50</f>
        <v>5.5395263798765845E-2</v>
      </c>
      <c r="T43" s="129">
        <f>16157.952/$T$50</f>
        <v>5.5528091364443033E-2</v>
      </c>
      <c r="U43" s="129">
        <f>17407.831/$U$50</f>
        <v>6.2882204416606718E-2</v>
      </c>
      <c r="V43" s="129">
        <f>19178.504/$V$50</f>
        <v>6.7534847785795368E-2</v>
      </c>
      <c r="W43" s="129">
        <f>16748.037/$W$50</f>
        <v>6.2219416749090421E-2</v>
      </c>
      <c r="X43" s="129">
        <f>14620.146/$X$50</f>
        <v>5.7090789568512594E-2</v>
      </c>
      <c r="Y43" s="13">
        <f>17186.936/$Y$50</f>
        <v>6.9722907832467457E-2</v>
      </c>
      <c r="Z43" s="13">
        <f>15883.272/$Z$50</f>
        <v>6.4333718814634247E-2</v>
      </c>
      <c r="AA43" s="41">
        <f>16221.067/$AA$50</f>
        <v>6.6464166431715044E-2</v>
      </c>
      <c r="AB43" s="41">
        <f>15504.684/$AB$50</f>
        <v>6.6800066741972544E-2</v>
      </c>
      <c r="AC43" s="41">
        <f>9838.219/$AC$50</f>
        <v>4.2542299046228763E-2</v>
      </c>
      <c r="AD43" s="41">
        <f>10986.497/$AD$50</f>
        <v>4.9112457433101941E-2</v>
      </c>
      <c r="AE43" s="41">
        <f>10120.581/$AE$50</f>
        <v>4.643309256190066E-2</v>
      </c>
      <c r="AF43" s="41">
        <f>11243.568/$AF$50</f>
        <v>5.2848194712638602E-2</v>
      </c>
      <c r="AG43" s="41">
        <f>9626.801/$AG$50</f>
        <v>4.7597514141122184E-2</v>
      </c>
      <c r="AH43" s="41">
        <f>10742.22/$AH$50</f>
        <v>5.4671168359911357E-2</v>
      </c>
      <c r="AI43" s="41">
        <f>5579.747/$AI$50</f>
        <v>3.1487124350814549E-2</v>
      </c>
      <c r="AJ43" s="41">
        <f>5828.545/$AJ$50</f>
        <v>3.2732346042196846E-2</v>
      </c>
      <c r="AK43" s="41">
        <f>3021.198/$AK$50</f>
        <v>1.73522134715146E-2</v>
      </c>
    </row>
    <row r="44" spans="2:37" s="39" customFormat="1" ht="15" customHeight="1" x14ac:dyDescent="0.25">
      <c r="B44" s="190" t="s">
        <v>89</v>
      </c>
      <c r="C44" s="152"/>
      <c r="D44" s="153"/>
      <c r="E44" s="129">
        <f>11575.912/$E$50</f>
        <v>3.236112408482613E-2</v>
      </c>
      <c r="F44" s="129">
        <f>13544.677/$F$50</f>
        <v>3.8671297781829699E-2</v>
      </c>
      <c r="G44" s="129">
        <f>11428.461/$G$50</f>
        <v>3.2181636530376742E-2</v>
      </c>
      <c r="H44" s="129">
        <f>12493.185/$H$50</f>
        <v>3.5950243125565981E-2</v>
      </c>
      <c r="I44" s="129">
        <f>12982.384/$I$50</f>
        <v>3.6640913784603144E-2</v>
      </c>
      <c r="J44" s="129">
        <f>13604.439/$J$50</f>
        <v>3.8129852949080223E-2</v>
      </c>
      <c r="K44" s="129">
        <f>14168.82/$K$50</f>
        <v>3.8430668789116752E-2</v>
      </c>
      <c r="L44" s="129">
        <f>14744.984/$L$50</f>
        <v>4.0168652404132553E-2</v>
      </c>
      <c r="M44" s="129">
        <f>15594.885/$M$50</f>
        <v>4.2117978857180459E-2</v>
      </c>
      <c r="N44" s="129">
        <f>14134.809/$N$50</f>
        <v>4.0079713289533317E-2</v>
      </c>
      <c r="O44" s="129">
        <f>12285.247/$O$50</f>
        <v>3.6739735761948215E-2</v>
      </c>
      <c r="P44" s="129">
        <f>11801.74/$P$50</f>
        <v>3.4943669752886618E-2</v>
      </c>
      <c r="Q44" s="129">
        <f>12356.94/$Q$50</f>
        <v>3.5948077458420359E-2</v>
      </c>
      <c r="R44" s="129">
        <f>8533.262/$R$50</f>
        <v>2.8194352077800147E-2</v>
      </c>
      <c r="S44" s="129">
        <f>8034.336/$S$50</f>
        <v>2.8083404278481158E-2</v>
      </c>
      <c r="T44" s="129">
        <f>9067.193/$T$50</f>
        <v>3.1160132257048313E-2</v>
      </c>
      <c r="U44" s="129">
        <f>8218.649/$U$50</f>
        <v>2.9688176915684695E-2</v>
      </c>
      <c r="V44" s="129">
        <f>6484.055/$V$50</f>
        <v>2.283283761130302E-2</v>
      </c>
      <c r="W44" s="129">
        <f>6512.993/$W$50</f>
        <v>2.419594760573485E-2</v>
      </c>
      <c r="X44" s="129">
        <f>6424.409/$X$50</f>
        <v>2.5086930207198918E-2</v>
      </c>
      <c r="Y44" s="13">
        <f>7649.308/$Y$50</f>
        <v>3.1031243536727891E-2</v>
      </c>
      <c r="Z44" s="13">
        <f>8964.77/$Z$50</f>
        <v>3.6310968698254911E-2</v>
      </c>
      <c r="AA44" s="41">
        <f>7851.068/$AA$50</f>
        <v>3.21689498119151E-2</v>
      </c>
      <c r="AB44" s="41">
        <f>9121.205/$AB$50</f>
        <v>3.9297615015385916E-2</v>
      </c>
      <c r="AC44" s="41">
        <f>9417.183/$AC$50</f>
        <v>4.0721660633805959E-2</v>
      </c>
      <c r="AD44" s="41">
        <f>10022.892/$AD$50</f>
        <v>4.4804896110796549E-2</v>
      </c>
      <c r="AE44" s="41">
        <f>9159.114/$AE$50</f>
        <v>4.2021894607335311E-2</v>
      </c>
      <c r="AF44" s="41">
        <f>8289.141/$AF$50</f>
        <v>3.8961487809609535E-2</v>
      </c>
      <c r="AG44" s="41">
        <f>7697.385/$AG$50</f>
        <v>3.805795833809817E-2</v>
      </c>
      <c r="AH44" s="41">
        <f>7357.436/$AH$50</f>
        <v>3.7444738820585764E-2</v>
      </c>
      <c r="AI44" s="41">
        <f>5712.613/$AI$50</f>
        <v>3.223690176258525E-2</v>
      </c>
      <c r="AJ44" s="41">
        <f>5610.223/$AJ$50</f>
        <v>3.1506278258105876E-2</v>
      </c>
      <c r="AK44" s="41">
        <f>5682.991/$AK$50</f>
        <v>3.2640188755816812E-2</v>
      </c>
    </row>
    <row r="45" spans="2:37" ht="15" customHeight="1" x14ac:dyDescent="0.25">
      <c r="B45" s="189" t="s">
        <v>93</v>
      </c>
      <c r="C45" s="152"/>
      <c r="D45" s="153"/>
      <c r="E45" s="129">
        <f>8535.37/$E$50</f>
        <v>2.3861115018834148E-2</v>
      </c>
      <c r="F45" s="129">
        <f>8334.684/$F$50</f>
        <v>2.379628889499923E-2</v>
      </c>
      <c r="G45" s="129">
        <f>8239.388/$G$50</f>
        <v>2.3201460795880372E-2</v>
      </c>
      <c r="H45" s="129">
        <f>7310.378/$H$50</f>
        <v>2.1036258283199105E-2</v>
      </c>
      <c r="I45" s="129">
        <f>7556.166/$I$50</f>
        <v>2.13261930126354E-2</v>
      </c>
      <c r="J45" s="129">
        <f>7669.688/$J$50</f>
        <v>2.1496224548864178E-2</v>
      </c>
      <c r="K45" s="129">
        <f>5827.043/$K$50</f>
        <v>1.5804926560782143E-2</v>
      </c>
      <c r="L45" s="129">
        <f>4658.254/$L$50</f>
        <v>1.269013148716608E-2</v>
      </c>
      <c r="M45" s="129">
        <f>4618.923/$M$50</f>
        <v>1.2474583894459275E-2</v>
      </c>
      <c r="N45" s="129">
        <f>4392.04/$N$50</f>
        <v>1.2453773089976803E-2</v>
      </c>
      <c r="O45" s="129">
        <f>4322.212/$O$50</f>
        <v>1.2925822882284886E-2</v>
      </c>
      <c r="P45" s="129">
        <f>3679.8/$P$50</f>
        <v>1.0895487949799961E-2</v>
      </c>
      <c r="Q45" s="129">
        <f>3950.457/$Q$50</f>
        <v>1.1492435362813035E-2</v>
      </c>
      <c r="R45" s="129">
        <f>2774.69/$R$50</f>
        <v>9.1677235231674929E-3</v>
      </c>
      <c r="S45" s="129">
        <f>2710.494/$S$50</f>
        <v>9.4743235528608107E-3</v>
      </c>
      <c r="T45" s="129">
        <f>2469.735/$T$50</f>
        <v>8.487441398882899E-3</v>
      </c>
      <c r="U45" s="129">
        <f>3314.707/$U$50</f>
        <v>1.1973696387284391E-2</v>
      </c>
      <c r="V45" s="129">
        <f>4370.324/$V$50</f>
        <v>1.5389582321676828E-2</v>
      </c>
      <c r="W45" s="129">
        <f>4101.664/$W$50</f>
        <v>1.523779424303524E-2</v>
      </c>
      <c r="X45" s="129">
        <f>4204.722/$X$50</f>
        <v>1.6419186162442933E-2</v>
      </c>
      <c r="Y45" s="13">
        <f>3061.887/$Y$50</f>
        <v>1.2421275385818059E-2</v>
      </c>
      <c r="Z45" s="13">
        <f>2081.079/$Z$50</f>
        <v>8.429217305920356E-3</v>
      </c>
      <c r="AA45" s="13">
        <f>2421.464/$AA$50</f>
        <v>9.9217015936378557E-3</v>
      </c>
      <c r="AB45" s="13">
        <f>3102.782/$AB$50</f>
        <v>1.3367963170728994E-2</v>
      </c>
      <c r="AC45" s="13">
        <f>3673.659/$AC$50</f>
        <v>1.5885588618414544E-2</v>
      </c>
      <c r="AD45" s="13">
        <f>3973.876/$AD$50</f>
        <v>1.776424422583699E-2</v>
      </c>
      <c r="AE45" s="13">
        <f>3283.338/$AE$50</f>
        <v>1.5063911574444769E-2</v>
      </c>
      <c r="AF45" s="13">
        <f>3572.32/$AF$50</f>
        <v>1.6790992230922883E-2</v>
      </c>
      <c r="AG45" s="13">
        <f>2793.273/$AG$50</f>
        <v>1.381069901803463E-2</v>
      </c>
      <c r="AH45" s="13">
        <f>1982.642/$AH$50</f>
        <v>1.0090405389149671E-2</v>
      </c>
      <c r="AI45" s="13">
        <f>1480.909/$AI$50</f>
        <v>8.3569319245550781E-3</v>
      </c>
      <c r="AJ45" s="13">
        <f>1594.456/$AJ$50</f>
        <v>8.9542562579609502E-3</v>
      </c>
      <c r="AK45" s="13">
        <f>1626.836/$AK$50</f>
        <v>9.3437125124354401E-3</v>
      </c>
    </row>
    <row r="46" spans="2:37" ht="15" customHeight="1" x14ac:dyDescent="0.25">
      <c r="B46" s="190" t="s">
        <v>90</v>
      </c>
      <c r="C46" s="152"/>
      <c r="D46" s="153"/>
      <c r="E46" s="129">
        <f>7306.273/$E$50</f>
        <v>2.0425104056649261E-2</v>
      </c>
      <c r="F46" s="129">
        <f>7648.779/$F$50</f>
        <v>2.1837967075656779E-2</v>
      </c>
      <c r="G46" s="129">
        <f>7917.402/$G$50</f>
        <v>2.2294773848279124E-2</v>
      </c>
      <c r="H46" s="129">
        <f>7777.152/$H$50</f>
        <v>2.2379441689567691E-2</v>
      </c>
      <c r="I46" s="129">
        <f>7844.731/$I$50</f>
        <v>2.2140626269751659E-2</v>
      </c>
      <c r="J46" s="129">
        <f>7848.352/$J$50</f>
        <v>2.1996975226440403E-2</v>
      </c>
      <c r="K46" s="129">
        <f>7870.684/$K$50</f>
        <v>2.1347977456683098E-2</v>
      </c>
      <c r="L46" s="129">
        <f>7692.411/$L$50</f>
        <v>2.0955857504404596E-2</v>
      </c>
      <c r="M46" s="129">
        <f>7620.521/$M$50</f>
        <v>2.0581167630200525E-2</v>
      </c>
      <c r="N46" s="129">
        <f>7513.184/$N$50</f>
        <v>2.1303878999108451E-2</v>
      </c>
      <c r="O46" s="129">
        <f>7689.627/$O$50</f>
        <v>2.2996270574612183E-2</v>
      </c>
      <c r="P46" s="129">
        <f>7719.137/$P$50</f>
        <v>2.2855525889003483E-2</v>
      </c>
      <c r="Q46" s="129">
        <f>9123.993/$Q$50</f>
        <v>2.6542979661152773E-2</v>
      </c>
      <c r="R46" s="129">
        <f>9695.073/$R$50</f>
        <v>3.2033037492810383E-2</v>
      </c>
      <c r="S46" s="129">
        <f>10730.023/$S$50</f>
        <v>3.7505971100337501E-2</v>
      </c>
      <c r="T46" s="129">
        <f>11335.553/$T$50</f>
        <v>3.8955532399804531E-2</v>
      </c>
      <c r="U46" s="129">
        <f>11362.699/$U$50</f>
        <v>4.104541003657336E-2</v>
      </c>
      <c r="V46" s="129">
        <f>8360.25/$V$50</f>
        <v>2.9439637794543085E-2</v>
      </c>
      <c r="W46" s="129">
        <f>7684.403/$W$50</f>
        <v>2.8547767880197583E-2</v>
      </c>
      <c r="X46" s="129">
        <f>6183.183/$X$50</f>
        <v>2.4144957206077452E-2</v>
      </c>
      <c r="Y46" s="13">
        <f>6320.276/$Y$50</f>
        <v>2.5639708033110498E-2</v>
      </c>
      <c r="Z46" s="13">
        <f>7265.319/$Z$50</f>
        <v>2.9427500180354508E-2</v>
      </c>
      <c r="AA46" s="13">
        <f>7685.09/$AA$50</f>
        <v>3.148887189743492E-2</v>
      </c>
      <c r="AB46" s="13">
        <f>7375.463/$AB$50</f>
        <v>3.1776295515145554E-2</v>
      </c>
      <c r="AC46" s="13">
        <f>7278.856/$AC$50</f>
        <v>3.1475134744046306E-2</v>
      </c>
      <c r="AD46" s="13">
        <f>7029.771/$AD$50</f>
        <v>3.1424878102816071E-2</v>
      </c>
      <c r="AE46" s="13">
        <f>6269.953/$AE$50</f>
        <v>2.8766461926224073E-2</v>
      </c>
      <c r="AF46" s="13">
        <f>5888.992/$AF$50</f>
        <v>2.7680056355524424E-2</v>
      </c>
      <c r="AG46" s="13">
        <f>6046.779/$AG$50</f>
        <v>2.9896914765428381E-2</v>
      </c>
      <c r="AH46" s="13">
        <f>8566.181/$AH$50</f>
        <v>4.3596493429893808E-2</v>
      </c>
      <c r="AI46" s="13">
        <f>7432.339/$AI$50</f>
        <v>4.1941504213436315E-2</v>
      </c>
      <c r="AJ46" s="13">
        <f>4820.807/$AJ$50</f>
        <v>2.7073021298908189E-2</v>
      </c>
      <c r="AK46" s="13">
        <f>5031.747/$AK$50</f>
        <v>2.8899776869524336E-2</v>
      </c>
    </row>
    <row r="47" spans="2:37" ht="15" customHeight="1" x14ac:dyDescent="0.25">
      <c r="B47" s="189" t="s">
        <v>91</v>
      </c>
      <c r="C47" s="152"/>
      <c r="D47" s="153"/>
      <c r="E47" s="129">
        <f>3445.199/$E$50</f>
        <v>9.6312508540077786E-3</v>
      </c>
      <c r="F47" s="129">
        <f>4447.42/$F$50</f>
        <v>1.2697792880617608E-2</v>
      </c>
      <c r="G47" s="129">
        <f>4067.254/$G$50</f>
        <v>1.1453063531889459E-2</v>
      </c>
      <c r="H47" s="129">
        <f>4070.185/$H$50</f>
        <v>1.1712316780391212E-2</v>
      </c>
      <c r="I47" s="129">
        <f>3607.036/$I$50</f>
        <v>1.0180340921510239E-2</v>
      </c>
      <c r="J47" s="129">
        <f>1721.503/$J$50</f>
        <v>4.8249439937508966E-3</v>
      </c>
      <c r="K47" s="129">
        <f>1169.279/$K$50</f>
        <v>3.17148315604755E-3</v>
      </c>
      <c r="L47" s="129">
        <f>1030.477/$L$50</f>
        <v>2.8072510911814688E-3</v>
      </c>
      <c r="M47" s="129">
        <f>1014.213/$M$50</f>
        <v>2.7391418205826826E-3</v>
      </c>
      <c r="N47" s="129">
        <f>2446.89/$N$50</f>
        <v>6.9382366363087171E-3</v>
      </c>
      <c r="O47" s="129">
        <f>2497.908/$O$50</f>
        <v>7.4701371390950904E-3</v>
      </c>
      <c r="P47" s="129">
        <f>2795.001/$P$50</f>
        <v>8.2756942538123931E-3</v>
      </c>
      <c r="Q47" s="129">
        <f>5993.292/$Q$50</f>
        <v>1.7435329867016517E-2</v>
      </c>
      <c r="R47" s="129">
        <f>5318.31/$R$50</f>
        <v>1.7571979460947677E-2</v>
      </c>
      <c r="S47" s="129">
        <f>5840.871/$S$50</f>
        <v>2.041631587619145E-2</v>
      </c>
      <c r="T47" s="129">
        <f>5739.588/$T$50</f>
        <v>1.9724552149818299E-2</v>
      </c>
      <c r="U47" s="129">
        <f>5888.993/$U$50</f>
        <v>2.1272774398715503E-2</v>
      </c>
      <c r="V47" s="129">
        <f>7853.172/$V$50</f>
        <v>2.7654022214437066E-2</v>
      </c>
      <c r="W47" s="129">
        <f>8286.403/$W$50</f>
        <v>3.0784214389299062E-2</v>
      </c>
      <c r="X47" s="129">
        <f>8874.483/$X$50</f>
        <v>3.4654321610901997E-2</v>
      </c>
      <c r="Y47" s="13">
        <f>6637.383/$Y$50</f>
        <v>2.6926128261476407E-2</v>
      </c>
      <c r="Z47" s="13">
        <f>6515.32/$Z$50</f>
        <v>2.63896988521863E-2</v>
      </c>
      <c r="AA47" s="13">
        <f>5379.754/$AA$50</f>
        <v>2.2042992931210058E-2</v>
      </c>
      <c r="AB47" s="13">
        <f>5334.155/$AB$50</f>
        <v>2.298156544254798E-2</v>
      </c>
      <c r="AC47" s="13">
        <f>5007.088/$AC$50</f>
        <v>2.1651585012163632E-2</v>
      </c>
      <c r="AD47" s="13">
        <f>3930.508/$AD$50</f>
        <v>1.7570378150603111E-2</v>
      </c>
      <c r="AE47" s="13">
        <f>3515.651/$AE$50</f>
        <v>1.6129760563977365E-2</v>
      </c>
      <c r="AF47" s="13">
        <f>3531.29/$AF$50</f>
        <v>1.6598138732010475E-2</v>
      </c>
      <c r="AG47" s="13">
        <f>3596.635/$AG$50</f>
        <v>1.7782738551773845E-2</v>
      </c>
      <c r="AH47" s="13">
        <f>2978.459/$AH$50</f>
        <v>1.5158489906378124E-2</v>
      </c>
      <c r="AI47" s="13">
        <f>2278.502/$AI$50</f>
        <v>1.2857836709725306E-2</v>
      </c>
      <c r="AJ47" s="13">
        <f>1287.456/$AJ$50</f>
        <v>7.230184429579351E-3</v>
      </c>
      <c r="AK47" s="13">
        <f>1350.055/$AK$50</f>
        <v>7.7540242507394908E-3</v>
      </c>
    </row>
    <row r="48" spans="2:37" ht="15" customHeight="1" x14ac:dyDescent="0.25">
      <c r="B48" s="189" t="s">
        <v>92</v>
      </c>
      <c r="C48" s="152"/>
      <c r="D48" s="153"/>
      <c r="E48" s="129">
        <f>2651.539/$E$50</f>
        <v>7.4125289303128604E-3</v>
      </c>
      <c r="F48" s="129">
        <f>7269.59/$F$50</f>
        <v>2.0755347627840176E-2</v>
      </c>
      <c r="G48" s="129">
        <f>6790.983/$G$50</f>
        <v>1.9122867601330352E-2</v>
      </c>
      <c r="H48" s="129">
        <f>6985.231/$H$50</f>
        <v>2.0100619076579784E-2</v>
      </c>
      <c r="I48" s="129">
        <f>6813.799/$I$50</f>
        <v>1.9230968803928085E-2</v>
      </c>
      <c r="J48" s="129">
        <f>7442.847/$J$50</f>
        <v>2.0860445743665204E-2</v>
      </c>
      <c r="K48" s="129">
        <f>6757.393/$K$50</f>
        <v>1.832835283819655E-2</v>
      </c>
      <c r="L48" s="129">
        <f>6053.444/$L$50</f>
        <v>1.6490942810374144E-2</v>
      </c>
      <c r="M48" s="129">
        <f>3932.379/$M$50</f>
        <v>1.0620396083742871E-2</v>
      </c>
      <c r="N48" s="129">
        <f>3654.112/$N$50</f>
        <v>1.0361354107285297E-2</v>
      </c>
      <c r="O48" s="129">
        <f>2021.552/$O$50</f>
        <v>6.0455672001578755E-3</v>
      </c>
      <c r="P48" s="129">
        <f>2171.835/$P$50</f>
        <v>6.4305674415603559E-3</v>
      </c>
      <c r="Q48" s="129">
        <f>1209.854/$Q$50</f>
        <v>3.5196355493657574E-3</v>
      </c>
      <c r="R48" s="129">
        <f>931.173/$R$50</f>
        <v>3.0766451806286265E-3</v>
      </c>
      <c r="S48" s="129">
        <f>1477.869/$S$50</f>
        <v>5.1657775574278529E-3</v>
      </c>
      <c r="T48" s="129">
        <f>937.259/$T$50</f>
        <v>3.2209653416563262E-3</v>
      </c>
      <c r="U48" s="129">
        <f>717.132/$U$50</f>
        <v>2.5904916596266366E-3</v>
      </c>
      <c r="V48" s="129">
        <f>773.481/$V$50</f>
        <v>2.7237224342526812E-3</v>
      </c>
      <c r="W48" s="129">
        <f>814.831/$W$50</f>
        <v>3.027119510727024E-3</v>
      </c>
      <c r="X48" s="129">
        <f>849.438/$X$50</f>
        <v>3.3170042289248137E-3</v>
      </c>
      <c r="Y48" s="13">
        <f>691.285/$Y$50</f>
        <v>2.804362589176294E-3</v>
      </c>
      <c r="Z48" s="13">
        <f>2319.774/$Z$50</f>
        <v>9.3960292457057545E-3</v>
      </c>
      <c r="AA48" s="13">
        <f>2470.562/$AA$50</f>
        <v>1.0122875637457805E-2</v>
      </c>
      <c r="AB48" s="13">
        <f>2450.906/$AB$50</f>
        <v>1.055943380582932E-2</v>
      </c>
      <c r="AC48" s="13">
        <f>2101.012/$AC$50</f>
        <v>9.0851688505526468E-3</v>
      </c>
      <c r="AD48" s="13">
        <f>1764.676/$AD$50</f>
        <v>7.8885540070885735E-3</v>
      </c>
      <c r="AE48" s="13">
        <f>1789.296/$AE$50</f>
        <v>8.2092665222123721E-3</v>
      </c>
      <c r="AF48" s="13">
        <f>2336.358/$AF$50</f>
        <v>1.0981594321520616E-2</v>
      </c>
      <c r="AG48" s="13">
        <f>4569.214/$AG$50</f>
        <v>2.2591432811254069E-2</v>
      </c>
      <c r="AH48" s="13">
        <f>7292.556/$AH$50</f>
        <v>3.7114540276598482E-2</v>
      </c>
      <c r="AI48" s="13">
        <f>7173.815/$AI$50</f>
        <v>4.0482624924524112E-2</v>
      </c>
      <c r="AJ48" s="13">
        <f>6984.122/$AJ$50</f>
        <v>3.9221915264430474E-2</v>
      </c>
      <c r="AK48" s="13">
        <f>3784.42/$AK$50</f>
        <v>2.1735769620484752E-2</v>
      </c>
    </row>
    <row r="49" spans="2:37" ht="15" customHeight="1" x14ac:dyDescent="0.25">
      <c r="B49" s="189" t="s">
        <v>60</v>
      </c>
      <c r="C49" s="152"/>
      <c r="D49" s="153"/>
      <c r="E49" s="129">
        <f>14222.561/$E$50</f>
        <v>3.9759982740453524E-2</v>
      </c>
      <c r="F49" s="129">
        <f>12868.951/$F$50</f>
        <v>3.6742037943080896E-2</v>
      </c>
      <c r="G49" s="129">
        <f>11568.619/$G$50</f>
        <v>3.2576310302534217E-2</v>
      </c>
      <c r="H49" s="129">
        <f>12375.351/$H$50</f>
        <v>3.5611165384504928E-2</v>
      </c>
      <c r="I49" s="129">
        <f>13543.167/$I$50</f>
        <v>3.8223643239753378E-2</v>
      </c>
      <c r="J49" s="129">
        <f>16109.156/$J$50</f>
        <v>4.5149950645799755E-2</v>
      </c>
      <c r="K49" s="129">
        <f>14246.801/$K$50</f>
        <v>3.8642179838226286E-2</v>
      </c>
      <c r="L49" s="129">
        <f>12859.436/$L$50</f>
        <v>3.5031995612690298E-2</v>
      </c>
      <c r="M49" s="129">
        <f>13651.549/$M$50</f>
        <v>3.6869502542004197E-2</v>
      </c>
      <c r="N49" s="129">
        <f>11030.125/$N$50</f>
        <v>3.1276280248832063E-2</v>
      </c>
      <c r="O49" s="129">
        <f>9269.15/$O$50</f>
        <v>2.7719924698124693E-2</v>
      </c>
      <c r="P49" s="129">
        <f>9966.317/$P$50</f>
        <v>2.9509181688512007E-2</v>
      </c>
      <c r="Q49" s="129">
        <f>10549.612/$Q$50</f>
        <v>3.069030596023618E-2</v>
      </c>
      <c r="R49" s="129">
        <f>8584.134/$R$50</f>
        <v>2.8362435874934446E-2</v>
      </c>
      <c r="S49" s="129">
        <f>7847.885/$S$50</f>
        <v>2.7431679131421454E-2</v>
      </c>
      <c r="T49" s="129">
        <f>11579.456/$T$50</f>
        <v>3.9793724521433663E-2</v>
      </c>
      <c r="U49" s="129">
        <f>10347.83/$U$50</f>
        <v>3.7379404782152098E-2</v>
      </c>
      <c r="V49" s="129">
        <f>11139.618/$V$50</f>
        <v>3.9226855547330818E-2</v>
      </c>
      <c r="W49" s="129">
        <f>11816.772/$W$50</f>
        <v>4.3899632040279274E-2</v>
      </c>
      <c r="X49" s="129">
        <f>10850.458/$X$50</f>
        <v>4.2370384974266609E-2</v>
      </c>
      <c r="Y49" s="13">
        <f>10637.671/$Y$50</f>
        <v>4.3154251268819055E-2</v>
      </c>
      <c r="Z49" s="13">
        <f>11379.8/$Z$50</f>
        <v>4.6092823529482768E-2</v>
      </c>
      <c r="AA49" s="13">
        <f>9932.425/$AA$50</f>
        <v>4.0697097686023198E-2</v>
      </c>
      <c r="AB49" s="13">
        <f>9487.768/$AB$50</f>
        <v>4.0876907625615036E-2</v>
      </c>
      <c r="AC49" s="13">
        <f>10047.078/$AC$50</f>
        <v>4.3445444426149289E-2</v>
      </c>
      <c r="AD49" s="13">
        <f>9902.428/$AD$50</f>
        <v>4.4266391155830358E-2</v>
      </c>
      <c r="AE49" s="13">
        <f>9083.732/$AE$50</f>
        <v>4.1676042982463066E-2</v>
      </c>
      <c r="AF49" s="13">
        <f>7783.543/$AF$50</f>
        <v>3.6585023189986951E-2</v>
      </c>
      <c r="AG49" s="13">
        <f>9191.957/$AG$50</f>
        <v>4.5447527511172932E-2</v>
      </c>
      <c r="AH49" s="13">
        <f>9207.569/$AH$50</f>
        <v>4.6860756434377683E-2</v>
      </c>
      <c r="AI49" s="13">
        <f>8859.913/$AI$50</f>
        <v>4.999746088279601E-2</v>
      </c>
      <c r="AJ49" s="13">
        <f>9409.091/$AJ$50</f>
        <v>5.2840223855957186E-2</v>
      </c>
      <c r="AK49" s="13">
        <f>9079.132/$AK$50</f>
        <v>5.214588272601111E-2</v>
      </c>
    </row>
    <row r="50" spans="2:37" s="19" customFormat="1" ht="26.1" customHeight="1" x14ac:dyDescent="0.25">
      <c r="B50" s="19" t="s">
        <v>178</v>
      </c>
      <c r="C50" s="95">
        <f>(E50-F50)/F50</f>
        <v>2.1296190544220543E-2</v>
      </c>
      <c r="D50" s="96">
        <f>(E50-I50)/I50</f>
        <v>9.5863336945112045E-3</v>
      </c>
      <c r="E50" s="20">
        <f t="shared" ref="E50:L50" si="4">E21-E20</f>
        <v>357710.44199999998</v>
      </c>
      <c r="F50" s="20">
        <f t="shared" si="4"/>
        <v>350251.42099999997</v>
      </c>
      <c r="G50" s="20">
        <f t="shared" si="4"/>
        <v>355123.67399999994</v>
      </c>
      <c r="H50" s="20">
        <f t="shared" si="4"/>
        <v>347513.22699999996</v>
      </c>
      <c r="I50" s="20">
        <f t="shared" si="4"/>
        <v>354313.87099999998</v>
      </c>
      <c r="J50" s="20">
        <f t="shared" si="4"/>
        <v>356792.32800000004</v>
      </c>
      <c r="K50" s="20">
        <f t="shared" si="4"/>
        <v>368685.23099999997</v>
      </c>
      <c r="L50" s="20">
        <f t="shared" si="4"/>
        <v>367076.89</v>
      </c>
      <c r="M50" s="20">
        <f t="shared" ref="M50:R50" si="5">M21-M20</f>
        <v>370266.69899999996</v>
      </c>
      <c r="N50" s="20">
        <f t="shared" si="5"/>
        <v>352667.41799999995</v>
      </c>
      <c r="O50" s="20">
        <f t="shared" si="5"/>
        <v>334385.82899999997</v>
      </c>
      <c r="P50" s="20">
        <f t="shared" si="5"/>
        <v>337736.13599999994</v>
      </c>
      <c r="Q50" s="20">
        <f t="shared" si="5"/>
        <v>343744.11300000001</v>
      </c>
      <c r="R50" s="20">
        <f t="shared" si="5"/>
        <v>302658.56</v>
      </c>
      <c r="S50" s="20">
        <f t="shared" ref="S50:X50" si="6">S21-S20</f>
        <v>286088.39300000004</v>
      </c>
      <c r="T50" s="20">
        <f t="shared" si="6"/>
        <v>290986.98700000002</v>
      </c>
      <c r="U50" s="20">
        <f t="shared" si="6"/>
        <v>276832.391</v>
      </c>
      <c r="V50" s="20">
        <f t="shared" si="6"/>
        <v>283979.37700000004</v>
      </c>
      <c r="W50" s="20">
        <f t="shared" si="6"/>
        <v>269177.01700000005</v>
      </c>
      <c r="X50" s="20">
        <f t="shared" si="6"/>
        <v>256085.89599999998</v>
      </c>
      <c r="Y50" s="20">
        <v>246503.43100000001</v>
      </c>
      <c r="Z50" s="20">
        <v>246888.75899999999</v>
      </c>
      <c r="AA50" s="20">
        <f>244057.33</f>
        <v>244057.33</v>
      </c>
      <c r="AB50" s="20">
        <v>232105.81599999999</v>
      </c>
      <c r="AC50" s="20">
        <v>231257.342</v>
      </c>
      <c r="AD50" s="20">
        <v>223700.82</v>
      </c>
      <c r="AE50" s="20">
        <v>217960.52</v>
      </c>
      <c r="AF50" s="20">
        <v>212752.16800000001</v>
      </c>
      <c r="AG50" s="20">
        <v>202254.28099999999</v>
      </c>
      <c r="AH50" s="20">
        <v>196487.84400000001</v>
      </c>
      <c r="AI50" s="20">
        <v>177207.25899999999</v>
      </c>
      <c r="AJ50" s="20">
        <v>178066.82699999999</v>
      </c>
      <c r="AK50" s="20">
        <v>174110.23699999999</v>
      </c>
    </row>
    <row r="51" spans="2:37" x14ac:dyDescent="0.25">
      <c r="G51" s="178"/>
      <c r="H51" s="178"/>
      <c r="I51" s="178"/>
      <c r="Y51" s="32"/>
      <c r="Z51" s="81"/>
    </row>
    <row r="52" spans="2:37" x14ac:dyDescent="0.25"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</row>
    <row r="54" spans="2:37" ht="15.75" customHeight="1" x14ac:dyDescent="0.25">
      <c r="B54" s="453" t="s">
        <v>146</v>
      </c>
      <c r="C54" s="470" t="s">
        <v>201</v>
      </c>
      <c r="D54" s="468" t="s">
        <v>297</v>
      </c>
      <c r="E54" s="446">
        <v>43100</v>
      </c>
      <c r="F54" s="446">
        <v>43008</v>
      </c>
      <c r="G54" s="446">
        <v>42916</v>
      </c>
      <c r="H54" s="446">
        <v>42825</v>
      </c>
      <c r="I54" s="446">
        <v>42735</v>
      </c>
      <c r="J54" s="446">
        <v>42643</v>
      </c>
      <c r="K54" s="446">
        <v>42551</v>
      </c>
      <c r="L54" s="446">
        <v>42460</v>
      </c>
      <c r="M54" s="446">
        <v>42369</v>
      </c>
      <c r="N54" s="446">
        <v>42277</v>
      </c>
      <c r="O54" s="446">
        <v>42185</v>
      </c>
      <c r="P54" s="446">
        <v>42094</v>
      </c>
      <c r="Q54" s="446">
        <v>42004</v>
      </c>
      <c r="R54" s="446">
        <v>41912</v>
      </c>
      <c r="S54" s="446">
        <v>41820</v>
      </c>
      <c r="T54" s="446">
        <v>41729</v>
      </c>
      <c r="U54" s="446">
        <v>41639</v>
      </c>
      <c r="V54" s="446">
        <v>41547</v>
      </c>
      <c r="W54" s="446">
        <v>41455</v>
      </c>
      <c r="X54" s="446">
        <v>41364</v>
      </c>
      <c r="Y54" s="446">
        <v>41274</v>
      </c>
      <c r="Z54" s="446">
        <v>41182</v>
      </c>
      <c r="AA54" s="446">
        <v>41090</v>
      </c>
      <c r="AB54" s="446">
        <v>40999</v>
      </c>
      <c r="AC54" s="446">
        <v>40908</v>
      </c>
      <c r="AD54" s="446">
        <v>40816</v>
      </c>
      <c r="AE54" s="446">
        <v>40724</v>
      </c>
      <c r="AF54" s="446">
        <v>40633</v>
      </c>
      <c r="AG54" s="446">
        <v>40543</v>
      </c>
      <c r="AH54" s="446">
        <v>40451</v>
      </c>
      <c r="AI54" s="446">
        <v>40359</v>
      </c>
      <c r="AJ54" s="446">
        <v>40268</v>
      </c>
      <c r="AK54" s="446">
        <v>40178</v>
      </c>
    </row>
    <row r="55" spans="2:37" x14ac:dyDescent="0.25">
      <c r="B55" s="454"/>
      <c r="C55" s="471"/>
      <c r="D55" s="478"/>
      <c r="E55" s="447"/>
      <c r="F55" s="447"/>
      <c r="G55" s="447"/>
      <c r="H55" s="448"/>
      <c r="I55" s="447"/>
      <c r="J55" s="447"/>
      <c r="K55" s="447"/>
      <c r="L55" s="448"/>
      <c r="M55" s="447"/>
      <c r="N55" s="447"/>
      <c r="O55" s="447"/>
      <c r="P55" s="447"/>
      <c r="Q55" s="447"/>
      <c r="R55" s="447"/>
      <c r="S55" s="447"/>
      <c r="T55" s="447"/>
      <c r="U55" s="447"/>
      <c r="V55" s="447"/>
      <c r="W55" s="447"/>
      <c r="X55" s="447"/>
      <c r="Y55" s="447"/>
      <c r="Z55" s="447"/>
      <c r="AA55" s="447"/>
      <c r="AB55" s="447"/>
      <c r="AC55" s="447"/>
      <c r="AD55" s="447"/>
      <c r="AE55" s="447"/>
      <c r="AF55" s="447"/>
      <c r="AG55" s="447"/>
      <c r="AH55" s="447"/>
      <c r="AI55" s="447"/>
      <c r="AJ55" s="447"/>
      <c r="AK55" s="447"/>
    </row>
    <row r="56" spans="2:37" ht="9.75" customHeight="1" x14ac:dyDescent="0.25">
      <c r="B56" s="8" t="s">
        <v>8</v>
      </c>
      <c r="C56" s="89"/>
      <c r="D56" s="90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8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7" ht="30" customHeight="1" x14ac:dyDescent="0.25">
      <c r="B57" s="23" t="s">
        <v>105</v>
      </c>
      <c r="C57" s="91"/>
      <c r="D57" s="92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23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2:37" ht="15" customHeight="1" x14ac:dyDescent="0.25">
      <c r="B58" s="24" t="s">
        <v>94</v>
      </c>
      <c r="C58" s="93">
        <f>(E58-F58)/F58</f>
        <v>3.3217724357897965E-2</v>
      </c>
      <c r="D58" s="94">
        <f>(E58-I58)/I58</f>
        <v>-7.0098379487620696E-2</v>
      </c>
      <c r="E58" s="210">
        <v>223426.71100000001</v>
      </c>
      <c r="F58" s="85">
        <v>216243.59099999999</v>
      </c>
      <c r="G58" s="85">
        <v>233364.56200000001</v>
      </c>
      <c r="H58" s="11">
        <v>231971.698</v>
      </c>
      <c r="I58" s="22">
        <v>240269.19200000001</v>
      </c>
      <c r="J58" s="11">
        <v>236869.04199999999</v>
      </c>
      <c r="K58" s="11">
        <v>250543.42800000001</v>
      </c>
      <c r="L58" s="11">
        <v>248264.364</v>
      </c>
      <c r="M58" s="11">
        <v>256813.92300000001</v>
      </c>
      <c r="N58" s="11">
        <v>244569.693</v>
      </c>
      <c r="O58" s="11">
        <v>235956.10500000001</v>
      </c>
      <c r="P58" s="11">
        <v>237184.91399999999</v>
      </c>
      <c r="Q58" s="11">
        <v>242081.53700000001</v>
      </c>
      <c r="R58" s="11">
        <v>213531.91500000001</v>
      </c>
      <c r="S58" s="11">
        <v>199911.617</v>
      </c>
      <c r="T58" s="11">
        <v>205228.77600000001</v>
      </c>
      <c r="U58" s="11">
        <v>193147.046</v>
      </c>
      <c r="V58" s="11">
        <v>203257.304</v>
      </c>
      <c r="W58" s="11">
        <v>191469.85200000001</v>
      </c>
      <c r="X58" s="11">
        <v>183607.90599999999</v>
      </c>
      <c r="Y58" s="11">
        <v>177749.87899999999</v>
      </c>
      <c r="Z58" s="11">
        <v>185865.016</v>
      </c>
      <c r="AA58" s="11">
        <v>186077.29199999999</v>
      </c>
      <c r="AB58" s="11">
        <v>175163.48699999999</v>
      </c>
      <c r="AC58" s="11">
        <v>178301.41699999999</v>
      </c>
      <c r="AD58" s="11">
        <v>172602.45600000001</v>
      </c>
      <c r="AE58" s="11">
        <v>174395.15100000001</v>
      </c>
      <c r="AF58" s="11">
        <v>167912.88800000001</v>
      </c>
      <c r="AG58" s="11">
        <v>157600.54999999999</v>
      </c>
      <c r="AH58" s="11">
        <v>154756.389</v>
      </c>
      <c r="AI58" s="11">
        <v>133490.28200000001</v>
      </c>
      <c r="AJ58" s="11">
        <v>127090.83900000001</v>
      </c>
      <c r="AK58" s="11">
        <v>128096.458</v>
      </c>
    </row>
    <row r="59" spans="2:37" ht="15" customHeight="1" x14ac:dyDescent="0.25">
      <c r="B59" s="15" t="s">
        <v>95</v>
      </c>
      <c r="C59" s="93">
        <f>(E59-F59)/F59</f>
        <v>-1.5153792216346636E-2</v>
      </c>
      <c r="D59" s="94">
        <f>(E59-I59)/I59</f>
        <v>2.0330037720713086</v>
      </c>
      <c r="E59" s="210">
        <v>11055.138000000001</v>
      </c>
      <c r="F59" s="85">
        <v>11225.243</v>
      </c>
      <c r="G59" s="85">
        <v>3943.8919999999998</v>
      </c>
      <c r="H59" s="11">
        <v>3154.0459999999998</v>
      </c>
      <c r="I59" s="22">
        <v>3644.9470000000001</v>
      </c>
      <c r="J59" s="11">
        <v>5893.8239999999996</v>
      </c>
      <c r="K59" s="11">
        <v>7618.8050000000003</v>
      </c>
      <c r="L59" s="11">
        <v>16234.825999999999</v>
      </c>
      <c r="M59" s="11">
        <v>16699.447</v>
      </c>
      <c r="N59" s="11">
        <v>17738.567999999999</v>
      </c>
      <c r="O59" s="11">
        <v>18070.571</v>
      </c>
      <c r="P59" s="11">
        <v>15025.496999999999</v>
      </c>
      <c r="Q59" s="11">
        <v>17643.664000000001</v>
      </c>
      <c r="R59" s="11">
        <v>13145.156000000001</v>
      </c>
      <c r="S59" s="11">
        <v>14611.555</v>
      </c>
      <c r="T59" s="11">
        <v>10703.421</v>
      </c>
      <c r="U59" s="11">
        <v>11646.832</v>
      </c>
      <c r="V59" s="11">
        <v>11830.696</v>
      </c>
      <c r="W59" s="11">
        <v>11062.659</v>
      </c>
      <c r="X59" s="11">
        <v>11400.362999999999</v>
      </c>
      <c r="Y59" s="11">
        <v>13405.6</v>
      </c>
      <c r="Z59" s="11">
        <v>10376.329</v>
      </c>
      <c r="AA59" s="11">
        <v>9166.6620000000003</v>
      </c>
      <c r="AB59" s="11">
        <v>8374.8449999999993</v>
      </c>
      <c r="AC59" s="11">
        <v>9406.4680000000008</v>
      </c>
      <c r="AD59" s="11">
        <v>11022.338</v>
      </c>
      <c r="AE59" s="11">
        <v>6917.8119999999999</v>
      </c>
      <c r="AF59" s="11">
        <v>7302.6180000000004</v>
      </c>
      <c r="AG59" s="11">
        <v>9658.6260000000002</v>
      </c>
      <c r="AH59" s="11">
        <v>5924.5469999999996</v>
      </c>
      <c r="AI59" s="11">
        <v>5996.8680000000004</v>
      </c>
      <c r="AJ59" s="11">
        <v>11715.584999999999</v>
      </c>
      <c r="AK59" s="11">
        <v>7606.4049999999997</v>
      </c>
    </row>
    <row r="60" spans="2:37" ht="26.25" x14ac:dyDescent="0.25">
      <c r="B60" s="26" t="s">
        <v>106</v>
      </c>
      <c r="C60" s="93"/>
      <c r="D60" s="94"/>
      <c r="E60" s="210"/>
      <c r="F60" s="85"/>
      <c r="G60" s="85"/>
      <c r="H60" s="11"/>
      <c r="I60" s="22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25">
      <c r="B61" s="5" t="s">
        <v>96</v>
      </c>
      <c r="C61" s="93">
        <f>(E61-F61)/F61</f>
        <v>7.4717290276046511E-2</v>
      </c>
      <c r="D61" s="94">
        <f>(E61-I61)/I61</f>
        <v>-8.1336726578967455E-2</v>
      </c>
      <c r="E61" s="210">
        <v>29865.811000000002</v>
      </c>
      <c r="F61" s="85">
        <v>27789.457999999999</v>
      </c>
      <c r="G61" s="85">
        <v>26860.472000000002</v>
      </c>
      <c r="H61" s="11">
        <v>29735.482</v>
      </c>
      <c r="I61" s="22">
        <v>32510.074000000001</v>
      </c>
      <c r="J61" s="11">
        <v>32827.012000000002</v>
      </c>
      <c r="K61" s="11">
        <v>32338.547999999999</v>
      </c>
      <c r="L61" s="11">
        <v>25772.107</v>
      </c>
      <c r="M61" s="11">
        <v>24391.045999999998</v>
      </c>
      <c r="N61" s="11">
        <v>22875.621999999999</v>
      </c>
      <c r="O61" s="11">
        <v>17700.935000000001</v>
      </c>
      <c r="P61" s="11">
        <v>23841.710999999999</v>
      </c>
      <c r="Q61" s="11">
        <v>18586.681</v>
      </c>
      <c r="R61" s="11">
        <v>14934.1</v>
      </c>
      <c r="S61" s="11">
        <v>12745.913</v>
      </c>
      <c r="T61" s="11">
        <v>16632.89</v>
      </c>
      <c r="U61" s="11">
        <v>15758.93</v>
      </c>
      <c r="V61" s="11">
        <v>17034.793000000001</v>
      </c>
      <c r="W61" s="11">
        <v>23534.832999999999</v>
      </c>
      <c r="X61" s="11">
        <v>21726.044000000002</v>
      </c>
      <c r="Y61" s="11">
        <v>20716.804</v>
      </c>
      <c r="Z61" s="11">
        <v>19522.031999999999</v>
      </c>
      <c r="AA61" s="11">
        <v>19294.177</v>
      </c>
      <c r="AB61" s="11">
        <v>19384.381000000001</v>
      </c>
      <c r="AC61" s="11">
        <v>15299.755999999999</v>
      </c>
      <c r="AD61" s="11">
        <v>15253.67</v>
      </c>
      <c r="AE61" s="11">
        <v>13493.91</v>
      </c>
      <c r="AF61" s="11">
        <v>13302.457</v>
      </c>
      <c r="AG61" s="11">
        <v>11892.925999999999</v>
      </c>
      <c r="AH61" s="11">
        <v>11643.146000000001</v>
      </c>
      <c r="AI61" s="11">
        <v>12173.516</v>
      </c>
      <c r="AJ61" s="11">
        <v>11289.341</v>
      </c>
      <c r="AK61" s="11">
        <v>12423.745999999999</v>
      </c>
    </row>
    <row r="62" spans="2:37" s="39" customFormat="1" ht="15" customHeight="1" x14ac:dyDescent="0.25">
      <c r="B62" s="42" t="s">
        <v>97</v>
      </c>
      <c r="C62" s="93"/>
      <c r="D62" s="94"/>
      <c r="E62" s="210"/>
      <c r="F62" s="85"/>
      <c r="G62" s="85"/>
      <c r="H62" s="45"/>
      <c r="I62" s="8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2:37" s="39" customFormat="1" ht="15" customHeight="1" x14ac:dyDescent="0.25">
      <c r="B63" s="43" t="s">
        <v>98</v>
      </c>
      <c r="C63" s="93"/>
      <c r="D63" s="94"/>
      <c r="E63" s="209">
        <v>253.97300000000001</v>
      </c>
      <c r="F63" s="213">
        <v>74.646000000000001</v>
      </c>
      <c r="G63" s="213">
        <v>882.49300000000005</v>
      </c>
      <c r="H63" s="167"/>
      <c r="I63" s="213">
        <v>907.51099999999997</v>
      </c>
      <c r="J63" s="167">
        <v>803.01700000000005</v>
      </c>
      <c r="K63" s="167">
        <v>112.19199999999999</v>
      </c>
      <c r="L63" s="167">
        <v>565.53800000000001</v>
      </c>
      <c r="M63" s="167">
        <v>362.423</v>
      </c>
      <c r="N63" s="167">
        <v>463.53800000000001</v>
      </c>
      <c r="O63" s="167">
        <v>302.57400000000001</v>
      </c>
      <c r="P63" s="167">
        <v>362.84300000000002</v>
      </c>
      <c r="Q63" s="167">
        <v>273.91699999999997</v>
      </c>
      <c r="R63" s="167">
        <v>353.334</v>
      </c>
      <c r="S63" s="167">
        <v>147.27199999999999</v>
      </c>
      <c r="T63" s="167">
        <v>77.959999999999994</v>
      </c>
      <c r="U63" s="167">
        <v>1033.319</v>
      </c>
      <c r="V63" s="167">
        <v>1482.9949999999999</v>
      </c>
      <c r="W63" s="167">
        <v>37.335000000000001</v>
      </c>
      <c r="X63" s="167">
        <v>902.98299999999995</v>
      </c>
      <c r="Y63" s="167">
        <v>80.78</v>
      </c>
      <c r="Z63" s="167">
        <v>120.938</v>
      </c>
      <c r="AA63" s="167">
        <v>3.2730000000000001</v>
      </c>
      <c r="AB63" s="167">
        <v>6.6609999999999996</v>
      </c>
      <c r="AC63" s="167">
        <v>18.631</v>
      </c>
      <c r="AD63" s="167">
        <v>249.96299999999999</v>
      </c>
      <c r="AE63" s="167">
        <v>0</v>
      </c>
      <c r="AF63" s="167">
        <v>269.56400000000002</v>
      </c>
      <c r="AG63" s="167">
        <v>30.628</v>
      </c>
      <c r="AH63" s="167">
        <v>0</v>
      </c>
      <c r="AI63" s="167">
        <v>8.75</v>
      </c>
      <c r="AJ63" s="167">
        <v>330.83199999999999</v>
      </c>
      <c r="AK63" s="167">
        <v>1023.182</v>
      </c>
    </row>
    <row r="64" spans="2:37" s="39" customFormat="1" ht="15" customHeight="1" x14ac:dyDescent="0.25">
      <c r="B64" s="43" t="s">
        <v>99</v>
      </c>
      <c r="C64" s="93"/>
      <c r="D64" s="94"/>
      <c r="E64" s="210">
        <v>130</v>
      </c>
      <c r="F64" s="85">
        <v>570.97299999999996</v>
      </c>
      <c r="G64" s="85">
        <v>177.46700000000001</v>
      </c>
      <c r="H64" s="45">
        <v>320.55500000000001</v>
      </c>
      <c r="I64" s="85">
        <v>314.74</v>
      </c>
      <c r="J64" s="45">
        <v>33.268999999999998</v>
      </c>
      <c r="K64" s="45">
        <v>71.206999999999994</v>
      </c>
      <c r="L64" s="45">
        <v>1665.5050000000001</v>
      </c>
      <c r="M64" s="45">
        <v>2120.2049999999999</v>
      </c>
      <c r="N64" s="45">
        <v>210.84299999999999</v>
      </c>
      <c r="O64" s="45">
        <v>3540.4160000000002</v>
      </c>
      <c r="P64" s="45">
        <v>747.60299999999995</v>
      </c>
      <c r="Q64" s="45">
        <v>130.971</v>
      </c>
      <c r="R64" s="45">
        <v>13.211</v>
      </c>
      <c r="S64" s="45">
        <v>237.001</v>
      </c>
      <c r="T64" s="45">
        <v>123.46899999999999</v>
      </c>
      <c r="U64" s="45">
        <v>228.43199999999999</v>
      </c>
      <c r="V64" s="45"/>
      <c r="W64" s="45">
        <v>35.341000000000001</v>
      </c>
      <c r="X64" s="45">
        <v>166.48099999999999</v>
      </c>
      <c r="Y64" s="45">
        <v>1379.277</v>
      </c>
      <c r="Z64" s="45">
        <v>2.9369999999999998</v>
      </c>
      <c r="AA64" s="45">
        <v>807.91899999999998</v>
      </c>
      <c r="AB64" s="45">
        <v>251.274</v>
      </c>
      <c r="AC64" s="45">
        <v>8.1839999999999993</v>
      </c>
      <c r="AD64" s="45">
        <v>0</v>
      </c>
      <c r="AE64" s="45">
        <v>0</v>
      </c>
      <c r="AF64" s="45">
        <v>0</v>
      </c>
      <c r="AG64" s="45">
        <v>0</v>
      </c>
      <c r="AH64" s="45">
        <v>203.108</v>
      </c>
      <c r="AI64" s="45">
        <v>0</v>
      </c>
      <c r="AJ64" s="45">
        <v>179.53100000000001</v>
      </c>
      <c r="AK64" s="45">
        <v>175.583</v>
      </c>
    </row>
    <row r="65" spans="2:37" s="39" customFormat="1" ht="15" customHeight="1" x14ac:dyDescent="0.25">
      <c r="B65" s="43" t="s">
        <v>100</v>
      </c>
      <c r="C65" s="93"/>
      <c r="D65" s="94"/>
      <c r="E65" s="210">
        <v>60.774999999999999</v>
      </c>
      <c r="F65" s="85"/>
      <c r="G65" s="85">
        <v>1304.5029999999999</v>
      </c>
      <c r="H65" s="45">
        <v>3476.538</v>
      </c>
      <c r="I65" s="85">
        <v>992.02800000000002</v>
      </c>
      <c r="J65" s="45">
        <v>2538.08</v>
      </c>
      <c r="K65" s="45">
        <v>593.69500000000005</v>
      </c>
      <c r="L65" s="45">
        <v>70.799000000000007</v>
      </c>
      <c r="M65" s="45">
        <v>1528.192</v>
      </c>
      <c r="N65" s="45">
        <v>456.67700000000002</v>
      </c>
      <c r="O65" s="45">
        <v>158.666</v>
      </c>
      <c r="P65" s="45">
        <v>99.682000000000002</v>
      </c>
      <c r="Q65" s="45">
        <v>310.22300000000001</v>
      </c>
      <c r="R65" s="45">
        <v>218.67400000000001</v>
      </c>
      <c r="S65" s="45">
        <v>222.16399999999999</v>
      </c>
      <c r="T65" s="45">
        <v>540.77800000000002</v>
      </c>
      <c r="U65" s="45">
        <v>115.923</v>
      </c>
      <c r="V65" s="45">
        <v>345.40499999999997</v>
      </c>
      <c r="W65" s="45">
        <v>410.81200000000001</v>
      </c>
      <c r="X65" s="45"/>
      <c r="Y65" s="45"/>
      <c r="Z65" s="45">
        <v>161.51400000000001</v>
      </c>
      <c r="AA65" s="45">
        <v>1151.6880000000001</v>
      </c>
      <c r="AB65" s="45">
        <v>144.76</v>
      </c>
      <c r="AC65" s="45">
        <v>3326.03</v>
      </c>
      <c r="AD65" s="45">
        <v>0</v>
      </c>
      <c r="AE65" s="45">
        <v>136.78899999999999</v>
      </c>
      <c r="AF65" s="45">
        <v>18.504000000000001</v>
      </c>
      <c r="AG65" s="45">
        <v>154.685</v>
      </c>
      <c r="AH65" s="45">
        <v>74.811999999999998</v>
      </c>
      <c r="AI65" s="45">
        <v>87.534999999999997</v>
      </c>
      <c r="AJ65" s="45">
        <v>1735.231</v>
      </c>
      <c r="AK65" s="45">
        <v>51.3</v>
      </c>
    </row>
    <row r="66" spans="2:37" s="39" customFormat="1" ht="15" customHeight="1" x14ac:dyDescent="0.25">
      <c r="B66" s="43" t="s">
        <v>104</v>
      </c>
      <c r="C66" s="93"/>
      <c r="D66" s="94"/>
      <c r="E66" s="210">
        <v>724.09</v>
      </c>
      <c r="F66" s="85">
        <v>1228.134</v>
      </c>
      <c r="G66" s="85">
        <v>2010.529</v>
      </c>
      <c r="H66" s="45">
        <v>1246.912</v>
      </c>
      <c r="I66" s="85">
        <v>499.16500000000002</v>
      </c>
      <c r="J66" s="45">
        <v>119.354</v>
      </c>
      <c r="K66" s="45">
        <v>215.54499999999999</v>
      </c>
      <c r="L66" s="45">
        <v>111.355</v>
      </c>
      <c r="M66" s="45">
        <v>941.78300000000002</v>
      </c>
      <c r="N66" s="45">
        <v>691.89</v>
      </c>
      <c r="O66" s="45">
        <v>233.685</v>
      </c>
      <c r="P66" s="45">
        <v>59.533999999999999</v>
      </c>
      <c r="Q66" s="45">
        <v>68.953000000000003</v>
      </c>
      <c r="R66" s="45">
        <v>289.32499999999999</v>
      </c>
      <c r="S66" s="45">
        <v>153.16900000000001</v>
      </c>
      <c r="T66" s="45">
        <v>46.165999999999997</v>
      </c>
      <c r="U66" s="45">
        <v>1810.0820000000001</v>
      </c>
      <c r="V66" s="45">
        <v>3423.8209999999999</v>
      </c>
      <c r="W66" s="45"/>
      <c r="X66" s="45"/>
      <c r="Y66" s="45"/>
      <c r="Z66" s="45">
        <v>24.178000000000001</v>
      </c>
      <c r="AA66" s="45">
        <v>0</v>
      </c>
      <c r="AB66" s="45">
        <v>0</v>
      </c>
      <c r="AC66" s="45">
        <v>668.32600000000002</v>
      </c>
      <c r="AD66" s="45">
        <v>201.99799999999999</v>
      </c>
      <c r="AE66" s="45">
        <v>344.87400000000002</v>
      </c>
      <c r="AF66" s="45">
        <v>848.77800000000002</v>
      </c>
      <c r="AG66" s="45">
        <v>0</v>
      </c>
      <c r="AH66" s="45">
        <v>47.442999999999998</v>
      </c>
      <c r="AI66" s="45">
        <v>378.54399999999998</v>
      </c>
      <c r="AJ66" s="45">
        <v>1633.33</v>
      </c>
      <c r="AK66" s="45">
        <v>53.798999999999999</v>
      </c>
    </row>
    <row r="67" spans="2:37" s="39" customFormat="1" ht="15" customHeight="1" x14ac:dyDescent="0.25">
      <c r="B67" s="43" t="s">
        <v>101</v>
      </c>
      <c r="C67" s="93"/>
      <c r="D67" s="94"/>
      <c r="E67" s="210">
        <v>1361.7670000000001</v>
      </c>
      <c r="F67" s="85">
        <v>4114.3549999999996</v>
      </c>
      <c r="G67" s="85">
        <v>5010.3389999999999</v>
      </c>
      <c r="H67" s="45">
        <v>2584.125</v>
      </c>
      <c r="I67" s="85">
        <v>2214.9070000000002</v>
      </c>
      <c r="J67" s="45">
        <v>846.28499999999997</v>
      </c>
      <c r="K67" s="45">
        <v>2352.5410000000002</v>
      </c>
      <c r="L67" s="45">
        <v>4725.5190000000002</v>
      </c>
      <c r="M67" s="45">
        <v>1294.393</v>
      </c>
      <c r="N67" s="45">
        <v>3989.8310000000001</v>
      </c>
      <c r="O67" s="45">
        <v>1164.74</v>
      </c>
      <c r="P67" s="45">
        <v>743.476</v>
      </c>
      <c r="Q67" s="45">
        <v>523.60500000000002</v>
      </c>
      <c r="R67" s="45">
        <v>569.375</v>
      </c>
      <c r="S67" s="45">
        <v>682.13499999999999</v>
      </c>
      <c r="T67" s="45">
        <v>1283.7650000000001</v>
      </c>
      <c r="U67" s="45">
        <v>3696.893</v>
      </c>
      <c r="V67" s="45"/>
      <c r="W67" s="45">
        <v>1138.713</v>
      </c>
      <c r="X67" s="45">
        <v>1452.1</v>
      </c>
      <c r="Y67" s="45"/>
      <c r="Z67" s="45">
        <v>1898.5150000000001</v>
      </c>
      <c r="AA67" s="45">
        <v>716.96900000000005</v>
      </c>
      <c r="AB67" s="45">
        <v>4327.5280000000002</v>
      </c>
      <c r="AC67" s="45">
        <v>440.52499999999998</v>
      </c>
      <c r="AD67" s="45">
        <v>74.876000000000005</v>
      </c>
      <c r="AE67" s="45">
        <v>1133.482</v>
      </c>
      <c r="AF67" s="45">
        <v>41.472999999999999</v>
      </c>
      <c r="AG67" s="45">
        <v>328.517</v>
      </c>
      <c r="AH67" s="45">
        <v>353.721</v>
      </c>
      <c r="AI67" s="45">
        <v>2073.9360000000001</v>
      </c>
      <c r="AJ67" s="45">
        <v>402.791</v>
      </c>
      <c r="AK67" s="45">
        <v>176.358</v>
      </c>
    </row>
    <row r="68" spans="2:37" s="39" customFormat="1" ht="15" customHeight="1" x14ac:dyDescent="0.25">
      <c r="B68" s="43" t="s">
        <v>102</v>
      </c>
      <c r="C68" s="93"/>
      <c r="D68" s="94"/>
      <c r="E68" s="210">
        <v>6409.1570000000002</v>
      </c>
      <c r="F68" s="85">
        <v>6627.0640000000003</v>
      </c>
      <c r="G68" s="85">
        <v>3546.0320000000002</v>
      </c>
      <c r="H68" s="45">
        <v>2690.6219999999998</v>
      </c>
      <c r="I68" s="85">
        <v>1911.2460000000001</v>
      </c>
      <c r="J68" s="45">
        <v>6741.6809999999996</v>
      </c>
      <c r="K68" s="45">
        <v>5590.5240000000003</v>
      </c>
      <c r="L68" s="45">
        <v>5062.1679999999997</v>
      </c>
      <c r="M68" s="45">
        <v>5310.8559999999998</v>
      </c>
      <c r="N68" s="45">
        <v>1829.239</v>
      </c>
      <c r="O68" s="45">
        <v>1187.7629999999999</v>
      </c>
      <c r="P68" s="45">
        <v>1904.739</v>
      </c>
      <c r="Q68" s="45">
        <v>1615.9760000000001</v>
      </c>
      <c r="R68" s="45">
        <v>1136.2570000000001</v>
      </c>
      <c r="S68" s="45">
        <v>4175.4549999999999</v>
      </c>
      <c r="T68" s="45">
        <v>5592.31</v>
      </c>
      <c r="U68" s="45">
        <v>1265.1759999999999</v>
      </c>
      <c r="V68" s="45">
        <v>2575.3409999999999</v>
      </c>
      <c r="W68" s="45">
        <v>1698.7829999999999</v>
      </c>
      <c r="X68" s="45">
        <v>2213.7910000000002</v>
      </c>
      <c r="Y68" s="45">
        <v>2573.143</v>
      </c>
      <c r="Z68" s="45">
        <v>4108.5590000000002</v>
      </c>
      <c r="AA68" s="45">
        <v>4134.8230000000003</v>
      </c>
      <c r="AB68" s="45">
        <v>509.23</v>
      </c>
      <c r="AC68" s="45">
        <v>1202.741</v>
      </c>
      <c r="AD68" s="45">
        <v>1174.232</v>
      </c>
      <c r="AE68" s="45">
        <v>356.90800000000002</v>
      </c>
      <c r="AF68" s="45">
        <v>626.49800000000005</v>
      </c>
      <c r="AG68" s="45">
        <v>1608.7339999999999</v>
      </c>
      <c r="AH68" s="45">
        <v>2232.8539999999998</v>
      </c>
      <c r="AI68" s="45">
        <v>287.61500000000001</v>
      </c>
      <c r="AJ68" s="45">
        <v>5634.4520000000002</v>
      </c>
      <c r="AK68" s="45">
        <v>6792.7139999999999</v>
      </c>
    </row>
    <row r="69" spans="2:37" s="39" customFormat="1" ht="15" customHeight="1" x14ac:dyDescent="0.25">
      <c r="B69" s="43" t="s">
        <v>103</v>
      </c>
      <c r="C69" s="93"/>
      <c r="D69" s="94"/>
      <c r="E69" s="211">
        <v>8617.1880000000001</v>
      </c>
      <c r="F69" s="214">
        <v>11283.404</v>
      </c>
      <c r="G69" s="214">
        <v>11836.736000000001</v>
      </c>
      <c r="H69" s="159">
        <v>11222.141</v>
      </c>
      <c r="I69" s="214">
        <v>10923.518</v>
      </c>
      <c r="J69" s="159">
        <v>11323.342000000001</v>
      </c>
      <c r="K69" s="159">
        <v>11956.581</v>
      </c>
      <c r="L69" s="159">
        <v>8342.5910000000003</v>
      </c>
      <c r="M69" s="159">
        <v>7302.6080000000002</v>
      </c>
      <c r="N69" s="159">
        <v>6911.35</v>
      </c>
      <c r="O69" s="159">
        <v>6477.4930000000004</v>
      </c>
      <c r="P69" s="159">
        <v>7804.8270000000002</v>
      </c>
      <c r="Q69" s="159">
        <v>10730.174999999999</v>
      </c>
      <c r="R69" s="159">
        <v>9731.5290000000005</v>
      </c>
      <c r="S69" s="159">
        <v>8547.5110000000004</v>
      </c>
      <c r="T69" s="159">
        <v>9473.3719999999994</v>
      </c>
      <c r="U69" s="159">
        <v>10357.946</v>
      </c>
      <c r="V69" s="159">
        <v>9132.3040000000001</v>
      </c>
      <c r="W69" s="159">
        <v>8939.5060000000012</v>
      </c>
      <c r="X69" s="159">
        <v>8134.0199999999995</v>
      </c>
      <c r="Y69" s="159">
        <v>7853.5039999999999</v>
      </c>
      <c r="Z69" s="159">
        <v>5549.6889999999994</v>
      </c>
      <c r="AA69" s="159">
        <v>5212.9809999999998</v>
      </c>
      <c r="AB69" s="159">
        <v>7537.777</v>
      </c>
      <c r="AC69" s="159">
        <v>6550.3850000000002</v>
      </c>
      <c r="AD69" s="159">
        <v>7361.9339999999993</v>
      </c>
      <c r="AE69" s="159">
        <v>6932.4250000000002</v>
      </c>
      <c r="AF69" s="159">
        <v>8059.5140000000001</v>
      </c>
      <c r="AG69" s="159">
        <v>6919.1989999999996</v>
      </c>
      <c r="AH69" s="159">
        <v>7050.8639999999996</v>
      </c>
      <c r="AI69" s="159">
        <v>8267.0329999999994</v>
      </c>
      <c r="AJ69" s="159">
        <v>3828.0549999999998</v>
      </c>
      <c r="AK69" s="159">
        <v>3062.61</v>
      </c>
    </row>
    <row r="70" spans="2:37" s="39" customFormat="1" ht="15" customHeight="1" x14ac:dyDescent="0.25">
      <c r="B70" s="42" t="s">
        <v>148</v>
      </c>
      <c r="C70" s="93">
        <f>(E70-F70)/F70</f>
        <v>-0.26535581032108357</v>
      </c>
      <c r="D70" s="94">
        <f>(E70-I70)/I70</f>
        <v>-1.1606353953121446E-2</v>
      </c>
      <c r="E70" s="210">
        <f t="shared" ref="E70:Q70" si="7">SUM(E63:E69)</f>
        <v>17556.95</v>
      </c>
      <c r="F70" s="85">
        <f t="shared" si="7"/>
        <v>23898.576000000001</v>
      </c>
      <c r="G70" s="85">
        <f t="shared" si="7"/>
        <v>24768.099000000002</v>
      </c>
      <c r="H70" s="45">
        <f t="shared" si="7"/>
        <v>21540.893</v>
      </c>
      <c r="I70" s="85">
        <f t="shared" si="7"/>
        <v>17763.115000000002</v>
      </c>
      <c r="J70" s="45">
        <f t="shared" si="7"/>
        <v>22405.027999999998</v>
      </c>
      <c r="K70" s="45">
        <f t="shared" si="7"/>
        <v>20892.285000000003</v>
      </c>
      <c r="L70" s="45">
        <f t="shared" si="7"/>
        <v>20543.474999999999</v>
      </c>
      <c r="M70" s="45">
        <f t="shared" si="7"/>
        <v>18860.46</v>
      </c>
      <c r="N70" s="45">
        <f t="shared" si="7"/>
        <v>14553.368</v>
      </c>
      <c r="O70" s="45">
        <f t="shared" si="7"/>
        <v>13065.337</v>
      </c>
      <c r="P70" s="45">
        <f t="shared" si="7"/>
        <v>11722.704</v>
      </c>
      <c r="Q70" s="45">
        <f t="shared" si="7"/>
        <v>13653.82</v>
      </c>
      <c r="R70" s="45">
        <f t="shared" ref="R70:AK70" si="8">SUM(R63:R69)</f>
        <v>12311.705000000002</v>
      </c>
      <c r="S70" s="45">
        <f t="shared" si="8"/>
        <v>14164.707</v>
      </c>
      <c r="T70" s="45">
        <f t="shared" si="8"/>
        <v>17137.82</v>
      </c>
      <c r="U70" s="45">
        <f t="shared" si="8"/>
        <v>18507.771000000001</v>
      </c>
      <c r="V70" s="45">
        <f t="shared" si="8"/>
        <v>16959.866000000002</v>
      </c>
      <c r="W70" s="45">
        <f t="shared" si="8"/>
        <v>12260.490000000002</v>
      </c>
      <c r="X70" s="45">
        <f t="shared" si="8"/>
        <v>12869.375</v>
      </c>
      <c r="Y70" s="45">
        <f t="shared" si="8"/>
        <v>11886.704</v>
      </c>
      <c r="Z70" s="45">
        <f t="shared" si="8"/>
        <v>11866.33</v>
      </c>
      <c r="AA70" s="45">
        <f t="shared" si="8"/>
        <v>12027.653</v>
      </c>
      <c r="AB70" s="45">
        <f t="shared" si="8"/>
        <v>12777.23</v>
      </c>
      <c r="AC70" s="45">
        <f t="shared" si="8"/>
        <v>12214.822</v>
      </c>
      <c r="AD70" s="45">
        <f t="shared" si="8"/>
        <v>9063.0029999999988</v>
      </c>
      <c r="AE70" s="45">
        <f t="shared" si="8"/>
        <v>8904.4779999999992</v>
      </c>
      <c r="AF70" s="45">
        <f t="shared" si="8"/>
        <v>9864.3310000000001</v>
      </c>
      <c r="AG70" s="45">
        <f t="shared" si="8"/>
        <v>9041.762999999999</v>
      </c>
      <c r="AH70" s="45">
        <f t="shared" si="8"/>
        <v>9962.8019999999997</v>
      </c>
      <c r="AI70" s="45">
        <f t="shared" si="8"/>
        <v>11103.413</v>
      </c>
      <c r="AJ70" s="45">
        <f t="shared" si="8"/>
        <v>13744.222000000002</v>
      </c>
      <c r="AK70" s="45">
        <f t="shared" si="8"/>
        <v>11335.546</v>
      </c>
    </row>
    <row r="71" spans="2:37" s="44" customFormat="1" ht="26.1" customHeight="1" x14ac:dyDescent="0.25">
      <c r="B71" s="44" t="s">
        <v>179</v>
      </c>
      <c r="C71" s="95">
        <f>(E71-F71)/F71</f>
        <v>9.8430033969290915E-3</v>
      </c>
      <c r="D71" s="96">
        <f>(E71-I71)/I71</f>
        <v>-4.1751349670642479E-2</v>
      </c>
      <c r="E71" s="221">
        <f t="shared" ref="E71:Q71" si="9">E58+E59+E61+E70</f>
        <v>281904.61000000004</v>
      </c>
      <c r="F71" s="212">
        <f t="shared" si="9"/>
        <v>279156.86799999996</v>
      </c>
      <c r="G71" s="212">
        <f t="shared" si="9"/>
        <v>288937.02499999997</v>
      </c>
      <c r="H71" s="46">
        <f t="shared" si="9"/>
        <v>286402.11900000001</v>
      </c>
      <c r="I71" s="212">
        <f t="shared" si="9"/>
        <v>294187.32800000004</v>
      </c>
      <c r="J71" s="46">
        <f t="shared" si="9"/>
        <v>297994.90599999996</v>
      </c>
      <c r="K71" s="46">
        <f t="shared" si="9"/>
        <v>311393.06599999999</v>
      </c>
      <c r="L71" s="46">
        <f t="shared" si="9"/>
        <v>310814.772</v>
      </c>
      <c r="M71" s="46">
        <f t="shared" si="9"/>
        <v>316764.87599999999</v>
      </c>
      <c r="N71" s="46">
        <f t="shared" si="9"/>
        <v>299737.25099999999</v>
      </c>
      <c r="O71" s="46">
        <f t="shared" si="9"/>
        <v>284792.94800000003</v>
      </c>
      <c r="P71" s="46">
        <f t="shared" si="9"/>
        <v>287774.826</v>
      </c>
      <c r="Q71" s="46">
        <f t="shared" si="9"/>
        <v>291965.70199999999</v>
      </c>
      <c r="R71" s="46">
        <f t="shared" ref="R71:AK71" si="10">R58+R59+R61+R70</f>
        <v>253922.87599999999</v>
      </c>
      <c r="S71" s="46">
        <f t="shared" si="10"/>
        <v>241433.79199999999</v>
      </c>
      <c r="T71" s="46">
        <f t="shared" si="10"/>
        <v>249702.90700000001</v>
      </c>
      <c r="U71" s="46">
        <f t="shared" si="10"/>
        <v>239060.579</v>
      </c>
      <c r="V71" s="46">
        <f t="shared" si="10"/>
        <v>249082.65900000001</v>
      </c>
      <c r="W71" s="46">
        <f t="shared" si="10"/>
        <v>238327.83399999997</v>
      </c>
      <c r="X71" s="46">
        <f t="shared" si="10"/>
        <v>229603.68799999999</v>
      </c>
      <c r="Y71" s="46">
        <f t="shared" si="10"/>
        <v>223758.98699999999</v>
      </c>
      <c r="Z71" s="46">
        <f t="shared" si="10"/>
        <v>227629.70699999999</v>
      </c>
      <c r="AA71" s="46">
        <f t="shared" si="10"/>
        <v>226565.78399999999</v>
      </c>
      <c r="AB71" s="46">
        <f t="shared" si="10"/>
        <v>215699.943</v>
      </c>
      <c r="AC71" s="46">
        <f t="shared" si="10"/>
        <v>215222.46299999999</v>
      </c>
      <c r="AD71" s="46">
        <f t="shared" si="10"/>
        <v>207941.467</v>
      </c>
      <c r="AE71" s="46">
        <f t="shared" si="10"/>
        <v>203711.35100000002</v>
      </c>
      <c r="AF71" s="46">
        <f t="shared" si="10"/>
        <v>198382.29399999999</v>
      </c>
      <c r="AG71" s="46">
        <f t="shared" si="10"/>
        <v>188193.86499999999</v>
      </c>
      <c r="AH71" s="46">
        <f t="shared" si="10"/>
        <v>182286.88399999999</v>
      </c>
      <c r="AI71" s="46">
        <f t="shared" si="10"/>
        <v>162764.079</v>
      </c>
      <c r="AJ71" s="46">
        <f t="shared" si="10"/>
        <v>163839.98700000002</v>
      </c>
      <c r="AK71" s="46">
        <f t="shared" si="10"/>
        <v>159462.155</v>
      </c>
    </row>
    <row r="72" spans="2:37" s="22" customFormat="1" ht="15" customHeight="1" x14ac:dyDescent="0.2">
      <c r="B72" s="22" t="s">
        <v>79</v>
      </c>
      <c r="C72" s="93">
        <f>(E72-F72)/F72</f>
        <v>-0.12763065952476876</v>
      </c>
      <c r="D72" s="94">
        <f>(E72-I72)/I72</f>
        <v>-2.4460219723194725E-2</v>
      </c>
      <c r="E72" s="210">
        <v>-36665.767999999996</v>
      </c>
      <c r="F72" s="85">
        <v>-42030.097000000002</v>
      </c>
      <c r="G72" s="85">
        <v>-41452.656000000003</v>
      </c>
      <c r="H72" s="22">
        <v>-39646.220999999998</v>
      </c>
      <c r="I72" s="22">
        <v>-37585.108</v>
      </c>
      <c r="J72" s="22">
        <v>-40249.692999999999</v>
      </c>
      <c r="K72" s="22">
        <v>-38695.167000000001</v>
      </c>
      <c r="L72" s="22">
        <v>-35560.635999999999</v>
      </c>
      <c r="M72" s="22">
        <v>-33207.923000000003</v>
      </c>
      <c r="N72" s="22">
        <v>-30135.334999999999</v>
      </c>
      <c r="O72" s="22">
        <v>-26953.812999999998</v>
      </c>
      <c r="P72" s="22">
        <v>-26563.688999999998</v>
      </c>
      <c r="Q72" s="22">
        <v>-27220.071</v>
      </c>
      <c r="R72" s="22">
        <v>-24573.766</v>
      </c>
      <c r="S72" s="22">
        <v>-23553.394</v>
      </c>
      <c r="T72" s="22">
        <v>-25438.797999999999</v>
      </c>
      <c r="U72" s="22">
        <v>-25106.163</v>
      </c>
      <c r="V72" s="22">
        <v>-25658.947</v>
      </c>
      <c r="W72" s="22">
        <v>-24791.27</v>
      </c>
      <c r="X72" s="22">
        <v>-24445.481</v>
      </c>
      <c r="Y72" s="22">
        <v>-23523.039000000001</v>
      </c>
      <c r="Z72" s="22">
        <v>-23129.143</v>
      </c>
      <c r="AA72" s="22">
        <v>-21533.238000000001</v>
      </c>
      <c r="AB72" s="22">
        <v>-22236.674999999999</v>
      </c>
      <c r="AC72" s="22">
        <v>-20436.423999999999</v>
      </c>
      <c r="AD72" s="22">
        <v>-19306.287</v>
      </c>
      <c r="AE72" s="22">
        <v>-18550.254000000001</v>
      </c>
      <c r="AF72" s="22">
        <v>-19017.528999999999</v>
      </c>
      <c r="AG72" s="22">
        <v>-18202.964</v>
      </c>
      <c r="AH72" s="22">
        <v>-18946.112000000001</v>
      </c>
      <c r="AI72" s="22">
        <v>-18379.322</v>
      </c>
      <c r="AJ72" s="22">
        <v>-17331.064999999999</v>
      </c>
      <c r="AK72" s="38">
        <v>-14911.138000000001</v>
      </c>
    </row>
    <row r="73" spans="2:37" s="19" customFormat="1" ht="26.1" customHeight="1" x14ac:dyDescent="0.25">
      <c r="B73" s="19" t="s">
        <v>180</v>
      </c>
      <c r="C73" s="95">
        <f>(E73-F73)/F73</f>
        <v>3.4209848874466028E-2</v>
      </c>
      <c r="D73" s="96">
        <f>(E73-I73)/I73</f>
        <v>-4.4284020613695262E-2</v>
      </c>
      <c r="E73" s="221">
        <f t="shared" ref="E73:S73" si="11">E71+E72</f>
        <v>245238.84200000006</v>
      </c>
      <c r="F73" s="212">
        <f t="shared" si="11"/>
        <v>237126.77099999995</v>
      </c>
      <c r="G73" s="212">
        <f t="shared" si="11"/>
        <v>247484.36899999995</v>
      </c>
      <c r="H73" s="20">
        <f t="shared" si="11"/>
        <v>246755.89800000002</v>
      </c>
      <c r="I73" s="66">
        <f t="shared" si="11"/>
        <v>256602.22000000003</v>
      </c>
      <c r="J73" s="20">
        <f t="shared" si="11"/>
        <v>257745.21299999996</v>
      </c>
      <c r="K73" s="20">
        <f t="shared" si="11"/>
        <v>272697.89899999998</v>
      </c>
      <c r="L73" s="20">
        <f t="shared" si="11"/>
        <v>275254.136</v>
      </c>
      <c r="M73" s="20">
        <f t="shared" si="11"/>
        <v>283556.95299999998</v>
      </c>
      <c r="N73" s="20">
        <f t="shared" si="11"/>
        <v>269601.91599999997</v>
      </c>
      <c r="O73" s="20">
        <f t="shared" si="11"/>
        <v>257839.13500000004</v>
      </c>
      <c r="P73" s="20">
        <f t="shared" si="11"/>
        <v>261211.13699999999</v>
      </c>
      <c r="Q73" s="20">
        <f t="shared" si="11"/>
        <v>264745.63099999999</v>
      </c>
      <c r="R73" s="20">
        <f t="shared" si="11"/>
        <v>229349.11</v>
      </c>
      <c r="S73" s="20">
        <f t="shared" si="11"/>
        <v>217880.39799999999</v>
      </c>
      <c r="T73" s="20">
        <f t="shared" ref="T73:Y73" si="12">T71+T72</f>
        <v>224264.109</v>
      </c>
      <c r="U73" s="20">
        <f t="shared" si="12"/>
        <v>213954.416</v>
      </c>
      <c r="V73" s="20">
        <f t="shared" si="12"/>
        <v>223423.712</v>
      </c>
      <c r="W73" s="20">
        <f t="shared" si="12"/>
        <v>213536.56399999998</v>
      </c>
      <c r="X73" s="20">
        <f t="shared" si="12"/>
        <v>205158.20699999999</v>
      </c>
      <c r="Y73" s="20">
        <f t="shared" si="12"/>
        <v>200235.948</v>
      </c>
      <c r="Z73" s="20">
        <f t="shared" ref="Z73:AK73" si="13">Z71+Z72</f>
        <v>204500.56399999998</v>
      </c>
      <c r="AA73" s="20">
        <f t="shared" si="13"/>
        <v>205032.54599999997</v>
      </c>
      <c r="AB73" s="20">
        <f t="shared" si="13"/>
        <v>193463.26800000001</v>
      </c>
      <c r="AC73" s="20">
        <f t="shared" si="13"/>
        <v>194786.03899999999</v>
      </c>
      <c r="AD73" s="20">
        <f t="shared" si="13"/>
        <v>188635.18</v>
      </c>
      <c r="AE73" s="20">
        <f t="shared" si="13"/>
        <v>185161.09700000001</v>
      </c>
      <c r="AF73" s="20">
        <f t="shared" si="13"/>
        <v>179364.76499999998</v>
      </c>
      <c r="AG73" s="20">
        <f t="shared" si="13"/>
        <v>169990.90099999998</v>
      </c>
      <c r="AH73" s="20">
        <f t="shared" si="13"/>
        <v>163340.772</v>
      </c>
      <c r="AI73" s="20">
        <f t="shared" si="13"/>
        <v>144384.75699999998</v>
      </c>
      <c r="AJ73" s="20">
        <f t="shared" si="13"/>
        <v>146508.92200000002</v>
      </c>
      <c r="AK73" s="20">
        <f t="shared" si="13"/>
        <v>144551.01699999999</v>
      </c>
    </row>
    <row r="75" spans="2:37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V75" s="27"/>
    </row>
    <row r="77" spans="2:37" ht="15.75" customHeight="1" x14ac:dyDescent="0.25">
      <c r="B77" s="453" t="s">
        <v>147</v>
      </c>
      <c r="C77" s="470" t="s">
        <v>201</v>
      </c>
      <c r="D77" s="468" t="s">
        <v>297</v>
      </c>
      <c r="E77" s="446">
        <v>43100</v>
      </c>
      <c r="F77" s="446">
        <v>43008</v>
      </c>
      <c r="G77" s="446">
        <v>42916</v>
      </c>
      <c r="H77" s="446">
        <v>42825</v>
      </c>
      <c r="I77" s="446">
        <v>42735</v>
      </c>
      <c r="J77" s="446">
        <v>42643</v>
      </c>
      <c r="K77" s="446">
        <v>42551</v>
      </c>
      <c r="L77" s="446">
        <v>42460</v>
      </c>
      <c r="M77" s="446">
        <v>42369</v>
      </c>
      <c r="N77" s="446">
        <v>42277</v>
      </c>
      <c r="O77" s="446">
        <v>42185</v>
      </c>
      <c r="P77" s="446">
        <v>42094</v>
      </c>
      <c r="Q77" s="446">
        <v>42004</v>
      </c>
      <c r="R77" s="446">
        <v>41912</v>
      </c>
      <c r="S77" s="446">
        <v>41820</v>
      </c>
      <c r="T77" s="446">
        <v>41729</v>
      </c>
      <c r="U77" s="446">
        <v>41639</v>
      </c>
      <c r="V77" s="446">
        <v>41547</v>
      </c>
      <c r="W77" s="446">
        <v>41455</v>
      </c>
      <c r="X77" s="446">
        <v>41364</v>
      </c>
      <c r="Y77" s="446">
        <v>41274</v>
      </c>
      <c r="Z77" s="446">
        <v>41182</v>
      </c>
      <c r="AA77" s="446">
        <v>41090</v>
      </c>
      <c r="AB77" s="446">
        <v>40999</v>
      </c>
      <c r="AC77" s="446">
        <v>40908</v>
      </c>
      <c r="AD77" s="446">
        <v>40816</v>
      </c>
      <c r="AE77" s="446">
        <v>40724</v>
      </c>
      <c r="AF77" s="446">
        <v>40633</v>
      </c>
      <c r="AG77" s="446">
        <v>40543</v>
      </c>
      <c r="AH77" s="446">
        <v>40451</v>
      </c>
      <c r="AI77" s="446">
        <v>40359</v>
      </c>
      <c r="AJ77" s="446">
        <v>40268</v>
      </c>
      <c r="AK77" s="446">
        <v>40178</v>
      </c>
    </row>
    <row r="78" spans="2:37" x14ac:dyDescent="0.25">
      <c r="B78" s="454"/>
      <c r="C78" s="471"/>
      <c r="D78" s="478"/>
      <c r="E78" s="447"/>
      <c r="F78" s="447"/>
      <c r="G78" s="447"/>
      <c r="H78" s="448"/>
      <c r="I78" s="447"/>
      <c r="J78" s="447"/>
      <c r="K78" s="447"/>
      <c r="L78" s="448"/>
      <c r="M78" s="447"/>
      <c r="N78" s="447"/>
      <c r="O78" s="447"/>
      <c r="P78" s="447"/>
      <c r="Q78" s="447"/>
      <c r="R78" s="447"/>
      <c r="S78" s="447"/>
      <c r="T78" s="447"/>
      <c r="U78" s="447"/>
      <c r="V78" s="447"/>
      <c r="W78" s="447"/>
      <c r="X78" s="447"/>
      <c r="Y78" s="447"/>
      <c r="Z78" s="447"/>
      <c r="AA78" s="447"/>
      <c r="AB78" s="447"/>
      <c r="AC78" s="447"/>
      <c r="AD78" s="447"/>
      <c r="AE78" s="447"/>
      <c r="AF78" s="447"/>
      <c r="AG78" s="447"/>
      <c r="AH78" s="447"/>
      <c r="AI78" s="447"/>
      <c r="AJ78" s="447"/>
      <c r="AK78" s="447"/>
    </row>
    <row r="79" spans="2:37" ht="9.75" customHeight="1" x14ac:dyDescent="0.25">
      <c r="B79" s="8" t="s">
        <v>8</v>
      </c>
      <c r="C79" s="89"/>
      <c r="D79" s="90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8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7" ht="15" customHeight="1" x14ac:dyDescent="0.25">
      <c r="B80" s="5" t="s">
        <v>94</v>
      </c>
      <c r="C80" s="93">
        <f>(E80-F80)/F80</f>
        <v>5.984458499838697E-2</v>
      </c>
      <c r="D80" s="94">
        <f>(E80-I80)/I80</f>
        <v>0.27770252071626772</v>
      </c>
      <c r="E80" s="22">
        <v>72205.820000000007</v>
      </c>
      <c r="F80" s="22">
        <v>68128.687000000005</v>
      </c>
      <c r="G80" s="22">
        <v>63134.773000000001</v>
      </c>
      <c r="H80" s="11">
        <v>58028.33</v>
      </c>
      <c r="I80" s="22">
        <v>56512.231</v>
      </c>
      <c r="J80" s="11">
        <v>55650.466</v>
      </c>
      <c r="K80" s="11">
        <v>54275.868000000002</v>
      </c>
      <c r="L80" s="11">
        <v>53262.451000000001</v>
      </c>
      <c r="M80" s="11">
        <v>50677.851999999999</v>
      </c>
      <c r="N80" s="11">
        <v>50378.025999999998</v>
      </c>
      <c r="O80" s="11">
        <v>47334.76</v>
      </c>
      <c r="P80" s="11">
        <v>47824.970999999998</v>
      </c>
      <c r="Q80" s="11">
        <v>49790.555</v>
      </c>
      <c r="R80" s="11">
        <v>46954.133999999998</v>
      </c>
      <c r="S80" s="11">
        <v>43102.106</v>
      </c>
      <c r="T80" s="11">
        <v>39788.334000000003</v>
      </c>
      <c r="U80" s="11">
        <v>36438.561000000002</v>
      </c>
      <c r="V80" s="11">
        <v>33683.364000000001</v>
      </c>
      <c r="W80" s="11">
        <v>29800.858</v>
      </c>
      <c r="X80" s="11">
        <v>25549.814999999999</v>
      </c>
      <c r="Y80" s="11">
        <v>21914.22</v>
      </c>
      <c r="Z80" s="11">
        <v>18287.402999999998</v>
      </c>
      <c r="AA80" s="11">
        <v>16533.396000000001</v>
      </c>
      <c r="AB80" s="11">
        <v>15319.977000000001</v>
      </c>
      <c r="AC80" s="11">
        <v>15047.179</v>
      </c>
      <c r="AD80" s="11">
        <v>14619.522000000001</v>
      </c>
      <c r="AE80" s="11">
        <v>13091.912</v>
      </c>
      <c r="AF80" s="11">
        <v>13179.376</v>
      </c>
      <c r="AG80" s="11">
        <v>12827.902</v>
      </c>
      <c r="AH80" s="11">
        <v>12721.108</v>
      </c>
      <c r="AI80" s="11">
        <v>12900.03</v>
      </c>
      <c r="AJ80" s="11">
        <v>12718.446</v>
      </c>
      <c r="AK80" s="11">
        <v>13173.144</v>
      </c>
    </row>
    <row r="81" spans="2:37" ht="15" customHeight="1" x14ac:dyDescent="0.25">
      <c r="B81" s="5" t="s">
        <v>97</v>
      </c>
      <c r="C81" s="93"/>
      <c r="D81" s="94"/>
      <c r="E81" s="22"/>
      <c r="F81" s="22"/>
      <c r="G81" s="22"/>
      <c r="H81" s="11"/>
      <c r="I81" s="22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2:37" ht="15" customHeight="1" x14ac:dyDescent="0.25">
      <c r="B82" s="14" t="s">
        <v>98</v>
      </c>
      <c r="C82" s="93"/>
      <c r="D82" s="94"/>
      <c r="E82" s="215">
        <v>50.658999999999999</v>
      </c>
      <c r="F82" s="215">
        <v>34.386000000000003</v>
      </c>
      <c r="G82" s="215">
        <v>53.271999999999998</v>
      </c>
      <c r="H82" s="52">
        <v>60.87</v>
      </c>
      <c r="I82" s="215">
        <v>728.94200000000001</v>
      </c>
      <c r="J82" s="52">
        <v>89.289000000000001</v>
      </c>
      <c r="K82" s="52">
        <v>41.686999999999998</v>
      </c>
      <c r="L82" s="52">
        <v>103.31699999999999</v>
      </c>
      <c r="M82" s="52">
        <v>69.350999999999999</v>
      </c>
      <c r="N82" s="52">
        <v>111.464</v>
      </c>
      <c r="O82" s="52">
        <v>47.311999999999998</v>
      </c>
      <c r="P82" s="52">
        <v>42.427</v>
      </c>
      <c r="Q82" s="52">
        <v>60.753</v>
      </c>
      <c r="R82" s="52">
        <v>45.54</v>
      </c>
      <c r="S82" s="52">
        <v>41.865000000000002</v>
      </c>
      <c r="T82" s="52">
        <v>80.668999999999997</v>
      </c>
      <c r="U82" s="52">
        <v>29.890999999999998</v>
      </c>
      <c r="V82" s="52">
        <v>18.978000000000002</v>
      </c>
      <c r="W82" s="52">
        <v>13.657</v>
      </c>
      <c r="X82" s="52">
        <v>1.8919999999999999</v>
      </c>
      <c r="Y82" s="52">
        <v>6.77</v>
      </c>
      <c r="Z82" s="52">
        <v>2.4569999999999999</v>
      </c>
      <c r="AA82" s="52">
        <v>17.183</v>
      </c>
      <c r="AB82" s="52">
        <v>2.5459999999999998</v>
      </c>
      <c r="AC82" s="52">
        <v>13.792</v>
      </c>
      <c r="AD82" s="52">
        <v>31.419</v>
      </c>
      <c r="AE82" s="52">
        <v>52.204999999999998</v>
      </c>
      <c r="AF82" s="52">
        <v>16.893999999999998</v>
      </c>
      <c r="AG82" s="52">
        <v>29.55</v>
      </c>
      <c r="AH82" s="52">
        <v>36.444000000000003</v>
      </c>
      <c r="AI82" s="52">
        <v>40.033999999999999</v>
      </c>
      <c r="AJ82" s="52">
        <v>91.215999999999994</v>
      </c>
      <c r="AK82" s="52">
        <v>43.152999999999999</v>
      </c>
    </row>
    <row r="83" spans="2:37" ht="15" customHeight="1" x14ac:dyDescent="0.25">
      <c r="B83" s="14" t="s">
        <v>99</v>
      </c>
      <c r="C83" s="93"/>
      <c r="D83" s="94"/>
      <c r="E83" s="85">
        <v>142.83699999999999</v>
      </c>
      <c r="F83" s="85">
        <v>126.096</v>
      </c>
      <c r="G83" s="85">
        <v>156.86699999999999</v>
      </c>
      <c r="H83" s="45">
        <v>183.49100000000001</v>
      </c>
      <c r="I83" s="85">
        <v>113.262</v>
      </c>
      <c r="J83" s="45">
        <v>179.673</v>
      </c>
      <c r="K83" s="45">
        <v>148.971</v>
      </c>
      <c r="L83" s="45">
        <v>169.28800000000001</v>
      </c>
      <c r="M83" s="45">
        <v>182.11600000000001</v>
      </c>
      <c r="N83" s="45">
        <v>227.505</v>
      </c>
      <c r="O83" s="45">
        <v>212.86099999999999</v>
      </c>
      <c r="P83" s="45">
        <v>248.178</v>
      </c>
      <c r="Q83" s="45">
        <v>151.84399999999999</v>
      </c>
      <c r="R83" s="45">
        <v>228.4</v>
      </c>
      <c r="S83" s="45">
        <v>92.3</v>
      </c>
      <c r="T83" s="45">
        <v>123.676</v>
      </c>
      <c r="U83" s="45">
        <v>180.97900000000001</v>
      </c>
      <c r="V83" s="45">
        <v>128.14599999999999</v>
      </c>
      <c r="W83" s="45">
        <v>77.055999999999997</v>
      </c>
      <c r="X83" s="45">
        <v>63.329000000000001</v>
      </c>
      <c r="Y83" s="45">
        <v>66.55</v>
      </c>
      <c r="Z83" s="45">
        <v>62.444000000000003</v>
      </c>
      <c r="AA83" s="45">
        <v>53.804000000000002</v>
      </c>
      <c r="AB83" s="45">
        <v>64.472999999999999</v>
      </c>
      <c r="AC83" s="45">
        <v>141.00800000000001</v>
      </c>
      <c r="AD83" s="45">
        <v>88.897999999999996</v>
      </c>
      <c r="AE83" s="45">
        <v>49.966999999999999</v>
      </c>
      <c r="AF83" s="45">
        <v>38.210999999999999</v>
      </c>
      <c r="AG83" s="45">
        <v>33.643000000000001</v>
      </c>
      <c r="AH83" s="45">
        <v>73.659000000000006</v>
      </c>
      <c r="AI83" s="45">
        <v>136.00399999999999</v>
      </c>
      <c r="AJ83" s="45">
        <v>149.976</v>
      </c>
      <c r="AK83" s="45">
        <v>223.65</v>
      </c>
    </row>
    <row r="84" spans="2:37" ht="15" customHeight="1" x14ac:dyDescent="0.25">
      <c r="B84" s="14" t="s">
        <v>100</v>
      </c>
      <c r="C84" s="93"/>
      <c r="D84" s="94"/>
      <c r="E84" s="85">
        <v>299.476</v>
      </c>
      <c r="F84" s="85">
        <v>123.81</v>
      </c>
      <c r="G84" s="85">
        <v>141.25</v>
      </c>
      <c r="H84" s="45">
        <v>156.49299999999999</v>
      </c>
      <c r="I84" s="85">
        <v>179.381</v>
      </c>
      <c r="J84" s="45">
        <v>229.39599999999999</v>
      </c>
      <c r="K84" s="45">
        <v>193.64599999999999</v>
      </c>
      <c r="L84" s="45">
        <v>174.702</v>
      </c>
      <c r="M84" s="45">
        <v>147.874</v>
      </c>
      <c r="N84" s="45">
        <v>202.39699999999999</v>
      </c>
      <c r="O84" s="45">
        <v>134.714</v>
      </c>
      <c r="P84" s="45">
        <v>159.459</v>
      </c>
      <c r="Q84" s="45">
        <v>107.65300000000001</v>
      </c>
      <c r="R84" s="45">
        <v>79.887</v>
      </c>
      <c r="S84" s="45">
        <v>126.565</v>
      </c>
      <c r="T84" s="45">
        <v>86.349000000000004</v>
      </c>
      <c r="U84" s="45">
        <v>140.60900000000001</v>
      </c>
      <c r="V84" s="45">
        <v>110.423</v>
      </c>
      <c r="W84" s="45">
        <v>71.584999999999994</v>
      </c>
      <c r="X84" s="45">
        <v>57.951000000000001</v>
      </c>
      <c r="Y84" s="45">
        <v>32.268999999999998</v>
      </c>
      <c r="Z84" s="45">
        <v>58.534999999999997</v>
      </c>
      <c r="AA84" s="45">
        <v>26.827999999999999</v>
      </c>
      <c r="AB84" s="45">
        <v>32.454999999999998</v>
      </c>
      <c r="AC84" s="45">
        <v>39.984000000000002</v>
      </c>
      <c r="AD84" s="45">
        <v>29.672000000000001</v>
      </c>
      <c r="AE84" s="45">
        <v>66.677999999999997</v>
      </c>
      <c r="AF84" s="45">
        <v>70.382000000000005</v>
      </c>
      <c r="AG84" s="45">
        <v>21.018999999999998</v>
      </c>
      <c r="AH84" s="45">
        <v>61.241999999999997</v>
      </c>
      <c r="AI84" s="45">
        <v>49.655000000000001</v>
      </c>
      <c r="AJ84" s="45">
        <v>114.52200000000001</v>
      </c>
      <c r="AK84" s="45">
        <v>33.14</v>
      </c>
    </row>
    <row r="85" spans="2:37" ht="15" customHeight="1" x14ac:dyDescent="0.25">
      <c r="B85" s="14" t="s">
        <v>104</v>
      </c>
      <c r="C85" s="93"/>
      <c r="D85" s="94"/>
      <c r="E85" s="85">
        <v>103.029</v>
      </c>
      <c r="F85" s="85">
        <v>103.187</v>
      </c>
      <c r="G85" s="85">
        <v>107.209</v>
      </c>
      <c r="H85" s="45">
        <v>188.90899999999999</v>
      </c>
      <c r="I85" s="85">
        <v>71.257000000000005</v>
      </c>
      <c r="J85" s="45">
        <v>82.808000000000007</v>
      </c>
      <c r="K85" s="45">
        <v>92.906000000000006</v>
      </c>
      <c r="L85" s="45">
        <v>229.251</v>
      </c>
      <c r="M85" s="45">
        <v>297.16899999999998</v>
      </c>
      <c r="N85" s="45">
        <v>147.18700000000001</v>
      </c>
      <c r="O85" s="45">
        <v>137.404</v>
      </c>
      <c r="P85" s="45">
        <v>148.91399999999999</v>
      </c>
      <c r="Q85" s="45">
        <v>101.947</v>
      </c>
      <c r="R85" s="45">
        <v>71.353999999999999</v>
      </c>
      <c r="S85" s="45">
        <v>74.724000000000004</v>
      </c>
      <c r="T85" s="45">
        <v>79.075000000000003</v>
      </c>
      <c r="U85" s="45">
        <v>34.997999999999998</v>
      </c>
      <c r="V85" s="45">
        <v>89.03</v>
      </c>
      <c r="W85" s="45">
        <v>69.311000000000007</v>
      </c>
      <c r="X85" s="45">
        <v>72.671000000000006</v>
      </c>
      <c r="Y85" s="45">
        <v>21.056999999999999</v>
      </c>
      <c r="Z85" s="45">
        <v>31.832999999999998</v>
      </c>
      <c r="AA85" s="45">
        <v>22.984000000000002</v>
      </c>
      <c r="AB85" s="45">
        <v>296.27800000000002</v>
      </c>
      <c r="AC85" s="45">
        <v>35.417999999999999</v>
      </c>
      <c r="AD85" s="45">
        <v>17.724</v>
      </c>
      <c r="AE85" s="45">
        <v>16.306000000000001</v>
      </c>
      <c r="AF85" s="45">
        <v>53.124000000000002</v>
      </c>
      <c r="AG85" s="45">
        <v>68.481999999999999</v>
      </c>
      <c r="AH85" s="45">
        <v>69.507999999999996</v>
      </c>
      <c r="AI85" s="45">
        <v>112.75</v>
      </c>
      <c r="AJ85" s="45">
        <v>24.449000000000002</v>
      </c>
      <c r="AK85" s="45">
        <v>35.624000000000002</v>
      </c>
    </row>
    <row r="86" spans="2:37" ht="15" customHeight="1" x14ac:dyDescent="0.25">
      <c r="B86" s="14" t="s">
        <v>101</v>
      </c>
      <c r="C86" s="93"/>
      <c r="D86" s="94"/>
      <c r="E86" s="85">
        <v>751.00699999999995</v>
      </c>
      <c r="F86" s="85">
        <v>264.99200000000002</v>
      </c>
      <c r="G86" s="85">
        <v>390.202</v>
      </c>
      <c r="H86" s="45">
        <v>319.88499999999999</v>
      </c>
      <c r="I86" s="85">
        <v>328.36399999999998</v>
      </c>
      <c r="J86" s="45">
        <v>268.05700000000002</v>
      </c>
      <c r="K86" s="45">
        <v>456.798</v>
      </c>
      <c r="L86" s="45">
        <v>457.05099999999999</v>
      </c>
      <c r="M86" s="45">
        <v>395.673</v>
      </c>
      <c r="N86" s="45">
        <v>293.38799999999998</v>
      </c>
      <c r="O86" s="45">
        <v>371.12</v>
      </c>
      <c r="P86" s="45">
        <v>267.416</v>
      </c>
      <c r="Q86" s="45">
        <v>281.14499999999998</v>
      </c>
      <c r="R86" s="45">
        <v>235.84200000000001</v>
      </c>
      <c r="S86" s="45">
        <v>214.18799999999999</v>
      </c>
      <c r="T86" s="45">
        <v>254.239</v>
      </c>
      <c r="U86" s="45">
        <v>183.762</v>
      </c>
      <c r="V86" s="45">
        <v>101.66</v>
      </c>
      <c r="W86" s="45">
        <v>137.958</v>
      </c>
      <c r="X86" s="45">
        <v>61.262999999999998</v>
      </c>
      <c r="Y86" s="45">
        <v>94.617000000000004</v>
      </c>
      <c r="Z86" s="45">
        <v>45.912999999999997</v>
      </c>
      <c r="AA86" s="45">
        <v>269.61</v>
      </c>
      <c r="AB86" s="45">
        <v>40.823999999999998</v>
      </c>
      <c r="AC86" s="45">
        <v>75.86</v>
      </c>
      <c r="AD86" s="45">
        <v>40.072000000000003</v>
      </c>
      <c r="AE86" s="45">
        <v>61.9</v>
      </c>
      <c r="AF86" s="45">
        <v>76.466999999999999</v>
      </c>
      <c r="AG86" s="45">
        <v>52.676000000000002</v>
      </c>
      <c r="AH86" s="45">
        <v>158.20400000000001</v>
      </c>
      <c r="AI86" s="45">
        <v>124.81100000000001</v>
      </c>
      <c r="AJ86" s="45">
        <v>69.456000000000003</v>
      </c>
      <c r="AK86" s="45">
        <v>238.51400000000001</v>
      </c>
    </row>
    <row r="87" spans="2:37" ht="15" customHeight="1" x14ac:dyDescent="0.25">
      <c r="B87" s="14" t="s">
        <v>102</v>
      </c>
      <c r="C87" s="93"/>
      <c r="D87" s="94"/>
      <c r="E87" s="85">
        <v>521.91800000000001</v>
      </c>
      <c r="F87" s="85">
        <v>506.048</v>
      </c>
      <c r="G87" s="85">
        <v>420.96</v>
      </c>
      <c r="H87" s="45">
        <v>438.02100000000002</v>
      </c>
      <c r="I87" s="85">
        <v>478.54</v>
      </c>
      <c r="J87" s="45">
        <v>779.26400000000001</v>
      </c>
      <c r="K87" s="45">
        <v>686.71900000000005</v>
      </c>
      <c r="L87" s="45">
        <v>536.39700000000005</v>
      </c>
      <c r="M87" s="45">
        <v>545.85900000000004</v>
      </c>
      <c r="N87" s="45">
        <v>512.64</v>
      </c>
      <c r="O87" s="45">
        <v>449.62299999999999</v>
      </c>
      <c r="P87" s="45">
        <v>421.697</v>
      </c>
      <c r="Q87" s="45">
        <v>325.82100000000003</v>
      </c>
      <c r="R87" s="45">
        <v>376.52600000000001</v>
      </c>
      <c r="S87" s="45">
        <v>289.702</v>
      </c>
      <c r="T87" s="45">
        <v>206.49299999999999</v>
      </c>
      <c r="U87" s="45">
        <v>177.39099999999999</v>
      </c>
      <c r="V87" s="45">
        <v>155.15299999999999</v>
      </c>
      <c r="W87" s="45">
        <v>154.55199999999999</v>
      </c>
      <c r="X87" s="45">
        <v>113.999</v>
      </c>
      <c r="Y87" s="45">
        <v>276.60500000000002</v>
      </c>
      <c r="Z87" s="45">
        <v>283.09300000000002</v>
      </c>
      <c r="AA87" s="45">
        <v>52.780999999999999</v>
      </c>
      <c r="AB87" s="45">
        <v>54.372</v>
      </c>
      <c r="AC87" s="45">
        <v>53.276000000000003</v>
      </c>
      <c r="AD87" s="45">
        <v>78.231999999999999</v>
      </c>
      <c r="AE87" s="45">
        <v>101.11</v>
      </c>
      <c r="AF87" s="45">
        <v>78.533000000000001</v>
      </c>
      <c r="AG87" s="45">
        <v>192.28800000000001</v>
      </c>
      <c r="AH87" s="45">
        <v>140.12</v>
      </c>
      <c r="AI87" s="45">
        <v>190.33</v>
      </c>
      <c r="AJ87" s="45">
        <v>721.48599999999999</v>
      </c>
      <c r="AK87" s="45">
        <v>769.13900000000001</v>
      </c>
    </row>
    <row r="88" spans="2:37" s="39" customFormat="1" ht="15" customHeight="1" x14ac:dyDescent="0.25">
      <c r="B88" s="43" t="s">
        <v>103</v>
      </c>
      <c r="C88" s="93"/>
      <c r="D88" s="94"/>
      <c r="E88" s="216">
        <v>1731.086</v>
      </c>
      <c r="F88" s="216">
        <v>1807.347</v>
      </c>
      <c r="G88" s="216">
        <v>1782.116</v>
      </c>
      <c r="H88" s="53">
        <v>1735.1089999999999</v>
      </c>
      <c r="I88" s="216">
        <v>1714.566</v>
      </c>
      <c r="J88" s="53">
        <v>1518.4690000000001</v>
      </c>
      <c r="K88" s="53">
        <v>1395.57</v>
      </c>
      <c r="L88" s="53">
        <v>1329.6610000000001</v>
      </c>
      <c r="M88" s="53">
        <v>1185.9290000000001</v>
      </c>
      <c r="N88" s="53">
        <v>1057.56</v>
      </c>
      <c r="O88" s="53">
        <v>905.08699999999999</v>
      </c>
      <c r="P88" s="53">
        <v>848.24800000000005</v>
      </c>
      <c r="Q88" s="53">
        <v>958.69299999999998</v>
      </c>
      <c r="R88" s="53">
        <v>744.00099999999998</v>
      </c>
      <c r="S88" s="53">
        <v>713.15099999999995</v>
      </c>
      <c r="T88" s="53">
        <v>665.245</v>
      </c>
      <c r="U88" s="53">
        <v>585.62099999999998</v>
      </c>
      <c r="V88" s="53">
        <v>609.96400000000006</v>
      </c>
      <c r="W88" s="53">
        <v>524.20600000000002</v>
      </c>
      <c r="X88" s="53">
        <v>561.28800000000001</v>
      </c>
      <c r="Y88" s="53">
        <v>332.35599999999999</v>
      </c>
      <c r="Z88" s="53">
        <v>487.37400000000002</v>
      </c>
      <c r="AA88" s="53">
        <v>514.96</v>
      </c>
      <c r="AB88" s="53">
        <v>594.94799999999998</v>
      </c>
      <c r="AC88" s="53">
        <v>628.36199999999997</v>
      </c>
      <c r="AD88" s="53">
        <v>853.81399999999996</v>
      </c>
      <c r="AE88" s="53">
        <v>809.09100000000001</v>
      </c>
      <c r="AF88" s="53">
        <v>856.88699999999994</v>
      </c>
      <c r="AG88" s="53">
        <v>834.85599999999999</v>
      </c>
      <c r="AH88" s="53">
        <v>940.67499999999995</v>
      </c>
      <c r="AI88" s="53">
        <v>889.56600000000003</v>
      </c>
      <c r="AJ88" s="53">
        <v>337.28899999999999</v>
      </c>
      <c r="AK88" s="53">
        <v>131.71799999999999</v>
      </c>
    </row>
    <row r="89" spans="2:37" s="39" customFormat="1" ht="15" customHeight="1" x14ac:dyDescent="0.25">
      <c r="B89" s="42" t="s">
        <v>149</v>
      </c>
      <c r="C89" s="93">
        <f>(E89-F89)/F89</f>
        <v>0.21381478461939943</v>
      </c>
      <c r="D89" s="94">
        <f>(E89-I89)/I89</f>
        <v>-3.9564929646361971E-3</v>
      </c>
      <c r="E89" s="85">
        <f t="shared" ref="E89:S89" si="14">SUM(E82:E88)</f>
        <v>3600.0119999999997</v>
      </c>
      <c r="F89" s="85">
        <f t="shared" si="14"/>
        <v>2965.866</v>
      </c>
      <c r="G89" s="85">
        <f t="shared" si="14"/>
        <v>3051.8760000000002</v>
      </c>
      <c r="H89" s="45">
        <f t="shared" si="14"/>
        <v>3082.7780000000002</v>
      </c>
      <c r="I89" s="85">
        <f t="shared" si="14"/>
        <v>3614.3119999999999</v>
      </c>
      <c r="J89" s="45">
        <f t="shared" si="14"/>
        <v>3146.9560000000001</v>
      </c>
      <c r="K89" s="45">
        <f t="shared" si="14"/>
        <v>3016.297</v>
      </c>
      <c r="L89" s="45">
        <f t="shared" si="14"/>
        <v>2999.6669999999999</v>
      </c>
      <c r="M89" s="45">
        <f t="shared" si="14"/>
        <v>2823.971</v>
      </c>
      <c r="N89" s="45">
        <f t="shared" si="14"/>
        <v>2552.1410000000001</v>
      </c>
      <c r="O89" s="45">
        <f t="shared" si="14"/>
        <v>2258.1210000000001</v>
      </c>
      <c r="P89" s="45">
        <f t="shared" si="14"/>
        <v>2136.3389999999999</v>
      </c>
      <c r="Q89" s="45">
        <f t="shared" si="14"/>
        <v>1987.856</v>
      </c>
      <c r="R89" s="45">
        <f t="shared" si="14"/>
        <v>1781.55</v>
      </c>
      <c r="S89" s="45">
        <f t="shared" si="14"/>
        <v>1552.4949999999999</v>
      </c>
      <c r="T89" s="45">
        <f t="shared" ref="T89:Y89" si="15">SUM(T82:T88)</f>
        <v>1495.7460000000001</v>
      </c>
      <c r="U89" s="45">
        <f t="shared" si="15"/>
        <v>1333.251</v>
      </c>
      <c r="V89" s="45">
        <f t="shared" si="15"/>
        <v>1213.354</v>
      </c>
      <c r="W89" s="45">
        <f t="shared" si="15"/>
        <v>1048.325</v>
      </c>
      <c r="X89" s="45">
        <f t="shared" si="15"/>
        <v>932.39300000000003</v>
      </c>
      <c r="Y89" s="45">
        <f t="shared" si="15"/>
        <v>830.22400000000005</v>
      </c>
      <c r="Z89" s="45">
        <f t="shared" ref="Z89:AK89" si="16">SUM(Z82:Z88)</f>
        <v>971.64900000000011</v>
      </c>
      <c r="AA89" s="45">
        <f t="shared" si="16"/>
        <v>958.15000000000009</v>
      </c>
      <c r="AB89" s="45">
        <f t="shared" si="16"/>
        <v>1085.896</v>
      </c>
      <c r="AC89" s="45">
        <f t="shared" si="16"/>
        <v>987.7</v>
      </c>
      <c r="AD89" s="45">
        <f t="shared" si="16"/>
        <v>1139.8309999999999</v>
      </c>
      <c r="AE89" s="45">
        <f t="shared" si="16"/>
        <v>1157.2570000000001</v>
      </c>
      <c r="AF89" s="45">
        <f t="shared" si="16"/>
        <v>1190.498</v>
      </c>
      <c r="AG89" s="45">
        <f t="shared" si="16"/>
        <v>1232.5140000000001</v>
      </c>
      <c r="AH89" s="45">
        <f t="shared" si="16"/>
        <v>1479.8519999999999</v>
      </c>
      <c r="AI89" s="45">
        <f t="shared" si="16"/>
        <v>1543.15</v>
      </c>
      <c r="AJ89" s="45">
        <f t="shared" si="16"/>
        <v>1508.394</v>
      </c>
      <c r="AK89" s="45">
        <f t="shared" si="16"/>
        <v>1474.9380000000001</v>
      </c>
    </row>
    <row r="90" spans="2:37" s="44" customFormat="1" ht="26.1" customHeight="1" x14ac:dyDescent="0.25">
      <c r="B90" s="44" t="s">
        <v>181</v>
      </c>
      <c r="C90" s="95">
        <f>(E90-F90)/F90</f>
        <v>6.6267791289158384E-2</v>
      </c>
      <c r="D90" s="96">
        <f>(E90-I90)/I90</f>
        <v>0.26077150319452114</v>
      </c>
      <c r="E90" s="212">
        <f t="shared" ref="E90:S90" si="17">E80+E89</f>
        <v>75805.832000000009</v>
      </c>
      <c r="F90" s="212">
        <f t="shared" si="17"/>
        <v>71094.553</v>
      </c>
      <c r="G90" s="212">
        <f t="shared" si="17"/>
        <v>66186.649000000005</v>
      </c>
      <c r="H90" s="46">
        <f t="shared" si="17"/>
        <v>61111.108</v>
      </c>
      <c r="I90" s="212">
        <f t="shared" si="17"/>
        <v>60126.542999999998</v>
      </c>
      <c r="J90" s="46">
        <f t="shared" si="17"/>
        <v>58797.421999999999</v>
      </c>
      <c r="K90" s="46">
        <f t="shared" si="17"/>
        <v>57292.165000000001</v>
      </c>
      <c r="L90" s="46">
        <f t="shared" si="17"/>
        <v>56262.118000000002</v>
      </c>
      <c r="M90" s="46">
        <f t="shared" si="17"/>
        <v>53501.822999999997</v>
      </c>
      <c r="N90" s="46">
        <f t="shared" si="17"/>
        <v>52930.167000000001</v>
      </c>
      <c r="O90" s="46">
        <f t="shared" si="17"/>
        <v>49592.881000000001</v>
      </c>
      <c r="P90" s="46">
        <f t="shared" si="17"/>
        <v>49961.31</v>
      </c>
      <c r="Q90" s="46">
        <f t="shared" si="17"/>
        <v>51778.411</v>
      </c>
      <c r="R90" s="46">
        <f t="shared" si="17"/>
        <v>48735.684000000001</v>
      </c>
      <c r="S90" s="46">
        <f t="shared" si="17"/>
        <v>44654.601000000002</v>
      </c>
      <c r="T90" s="46">
        <f t="shared" ref="T90:Y90" si="18">T80+T89</f>
        <v>41284.080000000002</v>
      </c>
      <c r="U90" s="46">
        <f t="shared" si="18"/>
        <v>37771.811999999998</v>
      </c>
      <c r="V90" s="46">
        <f t="shared" si="18"/>
        <v>34896.718000000001</v>
      </c>
      <c r="W90" s="46">
        <f t="shared" si="18"/>
        <v>30849.183000000001</v>
      </c>
      <c r="X90" s="46">
        <f t="shared" si="18"/>
        <v>26482.207999999999</v>
      </c>
      <c r="Y90" s="46">
        <f t="shared" si="18"/>
        <v>22744.444</v>
      </c>
      <c r="Z90" s="46">
        <f t="shared" ref="Z90:AK90" si="19">Z80+Z89</f>
        <v>19259.052</v>
      </c>
      <c r="AA90" s="46">
        <f t="shared" si="19"/>
        <v>17491.546000000002</v>
      </c>
      <c r="AB90" s="46">
        <f t="shared" si="19"/>
        <v>16405.873</v>
      </c>
      <c r="AC90" s="46">
        <f t="shared" si="19"/>
        <v>16034.879000000001</v>
      </c>
      <c r="AD90" s="46">
        <f t="shared" si="19"/>
        <v>15759.353000000001</v>
      </c>
      <c r="AE90" s="46">
        <f t="shared" si="19"/>
        <v>14249.169</v>
      </c>
      <c r="AF90" s="46">
        <f t="shared" si="19"/>
        <v>14369.874</v>
      </c>
      <c r="AG90" s="46">
        <f t="shared" si="19"/>
        <v>14060.416000000001</v>
      </c>
      <c r="AH90" s="46">
        <f t="shared" si="19"/>
        <v>14200.96</v>
      </c>
      <c r="AI90" s="46">
        <f t="shared" si="19"/>
        <v>14443.18</v>
      </c>
      <c r="AJ90" s="46">
        <f t="shared" si="19"/>
        <v>14226.84</v>
      </c>
      <c r="AK90" s="46">
        <f t="shared" si="19"/>
        <v>14648.082</v>
      </c>
    </row>
    <row r="91" spans="2:37" s="25" customFormat="1" ht="15" customHeight="1" x14ac:dyDescent="0.25">
      <c r="B91" s="22" t="s">
        <v>79</v>
      </c>
      <c r="C91" s="93">
        <f>(E91-F91)/F91</f>
        <v>3.8113199376566341E-2</v>
      </c>
      <c r="D91" s="94">
        <f>(E91-I91)/I91</f>
        <v>0.40197591512704084</v>
      </c>
      <c r="E91" s="22">
        <v>-2828.7640000000001</v>
      </c>
      <c r="F91" s="22">
        <v>-2724.9090000000001</v>
      </c>
      <c r="G91" s="22">
        <v>-2579.7399999999998</v>
      </c>
      <c r="H91" s="22">
        <v>-2375.373</v>
      </c>
      <c r="I91" s="22">
        <v>-2017.6980000000001</v>
      </c>
      <c r="J91" s="22">
        <v>-2059.6680000000001</v>
      </c>
      <c r="K91" s="22">
        <v>-2041.893</v>
      </c>
      <c r="L91" s="22">
        <v>-2145.9920000000002</v>
      </c>
      <c r="M91" s="22">
        <v>-1756.6759999999999</v>
      </c>
      <c r="N91" s="22">
        <v>-1513.615</v>
      </c>
      <c r="O91" s="22">
        <v>-1520.6079999999999</v>
      </c>
      <c r="P91" s="22">
        <v>-1473.355</v>
      </c>
      <c r="Q91" s="22">
        <v>-1185.047</v>
      </c>
      <c r="R91" s="22">
        <v>-1073.482</v>
      </c>
      <c r="S91" s="22">
        <v>-952.63400000000001</v>
      </c>
      <c r="T91" s="22">
        <v>-923.40700000000004</v>
      </c>
      <c r="U91" s="22">
        <v>-842.125</v>
      </c>
      <c r="V91" s="22">
        <v>-837.26800000000003</v>
      </c>
      <c r="W91" s="22">
        <v>-659.02200000000005</v>
      </c>
      <c r="X91" s="22">
        <v>-671.16300000000001</v>
      </c>
      <c r="Y91" s="22">
        <v>-601.47199999999998</v>
      </c>
      <c r="Z91" s="22">
        <v>-747.69200000000001</v>
      </c>
      <c r="AA91" s="22">
        <v>-788.31700000000001</v>
      </c>
      <c r="AB91" s="22">
        <v>-876.76300000000003</v>
      </c>
      <c r="AC91" s="22">
        <v>-913.85</v>
      </c>
      <c r="AD91" s="22">
        <v>-1028.5840000000001</v>
      </c>
      <c r="AE91" s="22">
        <v>-1063.537</v>
      </c>
      <c r="AF91" s="22">
        <v>-1159.473</v>
      </c>
      <c r="AG91" s="22">
        <v>-1232.9780000000001</v>
      </c>
      <c r="AH91" s="22">
        <v>-1292.3620000000001</v>
      </c>
      <c r="AI91" s="22">
        <v>-1203.346</v>
      </c>
      <c r="AJ91" s="22">
        <v>-1129.318</v>
      </c>
      <c r="AK91" s="37">
        <v>-998.61</v>
      </c>
    </row>
    <row r="92" spans="2:37" s="19" customFormat="1" ht="26.1" customHeight="1" x14ac:dyDescent="0.25">
      <c r="B92" s="19" t="s">
        <v>182</v>
      </c>
      <c r="C92" s="95">
        <f>(E92-F92)/F92</f>
        <v>6.7389907719864875E-2</v>
      </c>
      <c r="D92" s="96">
        <f>(E92-I92)/I92</f>
        <v>0.25586849988155869</v>
      </c>
      <c r="E92" s="66">
        <f t="shared" ref="E92:S92" si="20">E90+E91</f>
        <v>72977.068000000014</v>
      </c>
      <c r="F92" s="66">
        <f t="shared" si="20"/>
        <v>68369.644</v>
      </c>
      <c r="G92" s="66">
        <f t="shared" si="20"/>
        <v>63606.909000000007</v>
      </c>
      <c r="H92" s="20">
        <f t="shared" si="20"/>
        <v>58735.735000000001</v>
      </c>
      <c r="I92" s="66">
        <f t="shared" si="20"/>
        <v>58108.845000000001</v>
      </c>
      <c r="J92" s="20">
        <f t="shared" si="20"/>
        <v>56737.754000000001</v>
      </c>
      <c r="K92" s="20">
        <f t="shared" si="20"/>
        <v>55250.271999999997</v>
      </c>
      <c r="L92" s="20">
        <f t="shared" si="20"/>
        <v>54116.126000000004</v>
      </c>
      <c r="M92" s="20">
        <f t="shared" si="20"/>
        <v>51745.146999999997</v>
      </c>
      <c r="N92" s="20">
        <f t="shared" si="20"/>
        <v>51416.552000000003</v>
      </c>
      <c r="O92" s="20">
        <f t="shared" si="20"/>
        <v>48072.273000000001</v>
      </c>
      <c r="P92" s="20">
        <f t="shared" si="20"/>
        <v>48487.954999999994</v>
      </c>
      <c r="Q92" s="20">
        <f t="shared" si="20"/>
        <v>50593.364000000001</v>
      </c>
      <c r="R92" s="20">
        <f t="shared" si="20"/>
        <v>47662.202000000005</v>
      </c>
      <c r="S92" s="20">
        <f t="shared" si="20"/>
        <v>43701.967000000004</v>
      </c>
      <c r="T92" s="20">
        <f t="shared" ref="T92:Y92" si="21">T90+T91</f>
        <v>40360.673000000003</v>
      </c>
      <c r="U92" s="20">
        <f t="shared" si="21"/>
        <v>36929.686999999998</v>
      </c>
      <c r="V92" s="20">
        <f t="shared" si="21"/>
        <v>34059.449999999997</v>
      </c>
      <c r="W92" s="20">
        <f t="shared" si="21"/>
        <v>30190.161</v>
      </c>
      <c r="X92" s="20">
        <f t="shared" si="21"/>
        <v>25811.044999999998</v>
      </c>
      <c r="Y92" s="20">
        <f t="shared" si="21"/>
        <v>22142.971999999998</v>
      </c>
      <c r="Z92" s="20">
        <f t="shared" ref="Z92:AK92" si="22">Z90+Z91</f>
        <v>18511.36</v>
      </c>
      <c r="AA92" s="20">
        <f t="shared" si="22"/>
        <v>16703.229000000003</v>
      </c>
      <c r="AB92" s="20">
        <f t="shared" si="22"/>
        <v>15529.109999999999</v>
      </c>
      <c r="AC92" s="20">
        <f t="shared" si="22"/>
        <v>15121.029</v>
      </c>
      <c r="AD92" s="20">
        <f t="shared" si="22"/>
        <v>14730.769</v>
      </c>
      <c r="AE92" s="20">
        <f t="shared" si="22"/>
        <v>13185.632</v>
      </c>
      <c r="AF92" s="20">
        <f t="shared" si="22"/>
        <v>13210.401</v>
      </c>
      <c r="AG92" s="20">
        <f t="shared" si="22"/>
        <v>12827.438000000002</v>
      </c>
      <c r="AH92" s="20">
        <f t="shared" si="22"/>
        <v>12908.597999999998</v>
      </c>
      <c r="AI92" s="20">
        <f t="shared" si="22"/>
        <v>13239.834000000001</v>
      </c>
      <c r="AJ92" s="20">
        <f t="shared" si="22"/>
        <v>13097.522000000001</v>
      </c>
      <c r="AK92" s="20">
        <f t="shared" si="22"/>
        <v>13649.472</v>
      </c>
    </row>
    <row r="96" spans="2:37" ht="15.75" customHeight="1" x14ac:dyDescent="0.25">
      <c r="B96" s="453" t="s">
        <v>107</v>
      </c>
      <c r="C96" s="470" t="s">
        <v>201</v>
      </c>
      <c r="D96" s="468" t="s">
        <v>297</v>
      </c>
      <c r="E96" s="446">
        <v>43100</v>
      </c>
      <c r="F96" s="446">
        <v>43008</v>
      </c>
      <c r="G96" s="446">
        <v>42916</v>
      </c>
      <c r="H96" s="446">
        <v>42825</v>
      </c>
      <c r="I96" s="446">
        <v>42735</v>
      </c>
      <c r="J96" s="446">
        <v>42643</v>
      </c>
      <c r="K96" s="446">
        <v>42551</v>
      </c>
      <c r="L96" s="446">
        <v>42460</v>
      </c>
      <c r="M96" s="446">
        <v>42369</v>
      </c>
      <c r="N96" s="446">
        <v>42277</v>
      </c>
      <c r="O96" s="446">
        <v>42185</v>
      </c>
      <c r="P96" s="446">
        <v>42094</v>
      </c>
      <c r="Q96" s="446">
        <v>42004</v>
      </c>
      <c r="R96" s="446">
        <v>41912</v>
      </c>
      <c r="S96" s="446">
        <v>41820</v>
      </c>
      <c r="T96" s="446">
        <v>41729</v>
      </c>
      <c r="U96" s="446">
        <v>41639</v>
      </c>
      <c r="V96" s="446">
        <v>41547</v>
      </c>
      <c r="W96" s="446">
        <v>41455</v>
      </c>
      <c r="X96" s="446">
        <v>41364</v>
      </c>
      <c r="Y96" s="446">
        <v>41274</v>
      </c>
      <c r="Z96" s="446">
        <v>41182</v>
      </c>
      <c r="AA96" s="446">
        <v>41090</v>
      </c>
      <c r="AB96" s="446">
        <v>40999</v>
      </c>
      <c r="AC96" s="446">
        <v>40908</v>
      </c>
      <c r="AD96" s="446">
        <v>40816</v>
      </c>
      <c r="AE96" s="446">
        <v>40724</v>
      </c>
      <c r="AF96" s="446">
        <v>40633</v>
      </c>
      <c r="AG96" s="446">
        <v>40543</v>
      </c>
      <c r="AH96" s="446">
        <v>40451</v>
      </c>
      <c r="AI96" s="446">
        <v>40359</v>
      </c>
      <c r="AJ96" s="446">
        <v>40268</v>
      </c>
      <c r="AK96" s="446">
        <v>40178</v>
      </c>
    </row>
    <row r="97" spans="2:37" x14ac:dyDescent="0.25">
      <c r="B97" s="454"/>
      <c r="C97" s="471"/>
      <c r="D97" s="478"/>
      <c r="E97" s="447"/>
      <c r="F97" s="447"/>
      <c r="G97" s="447"/>
      <c r="H97" s="448"/>
      <c r="I97" s="447"/>
      <c r="J97" s="447"/>
      <c r="K97" s="447"/>
      <c r="L97" s="448"/>
      <c r="M97" s="447"/>
      <c r="N97" s="447"/>
      <c r="O97" s="447"/>
      <c r="P97" s="448"/>
      <c r="Q97" s="447"/>
      <c r="R97" s="447"/>
      <c r="S97" s="447"/>
      <c r="T97" s="447"/>
      <c r="U97" s="447"/>
      <c r="V97" s="447"/>
      <c r="W97" s="447"/>
      <c r="X97" s="447"/>
      <c r="Y97" s="447"/>
      <c r="Z97" s="447"/>
      <c r="AA97" s="447"/>
      <c r="AB97" s="447"/>
      <c r="AC97" s="447"/>
      <c r="AD97" s="447"/>
      <c r="AE97" s="447"/>
      <c r="AF97" s="447"/>
      <c r="AG97" s="447"/>
      <c r="AH97" s="447"/>
      <c r="AI97" s="447"/>
      <c r="AJ97" s="447"/>
      <c r="AK97" s="447"/>
    </row>
    <row r="98" spans="2:37" ht="9.75" customHeight="1" x14ac:dyDescent="0.25">
      <c r="B98" s="8"/>
      <c r="C98" s="89"/>
      <c r="D98" s="90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8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7" ht="15" customHeight="1" x14ac:dyDescent="0.25">
      <c r="B99" s="15" t="s">
        <v>217</v>
      </c>
      <c r="C99" s="107">
        <f>(E99-F99)</f>
        <v>8.9380556932576738E-3</v>
      </c>
      <c r="D99" s="108">
        <f>(E99-I99)</f>
        <v>4.2221009290258932E-2</v>
      </c>
      <c r="E99" s="13">
        <f t="shared" ref="E99:Q99" si="23">E90/E50</f>
        <v>0.21191953910028719</v>
      </c>
      <c r="F99" s="13">
        <f t="shared" si="23"/>
        <v>0.20298148340702951</v>
      </c>
      <c r="G99" s="13">
        <f t="shared" si="23"/>
        <v>0.18637633547348356</v>
      </c>
      <c r="H99" s="13">
        <f t="shared" si="23"/>
        <v>0.17585261006482497</v>
      </c>
      <c r="I99" s="13">
        <f t="shared" si="23"/>
        <v>0.16969852981002825</v>
      </c>
      <c r="J99" s="13">
        <f t="shared" si="23"/>
        <v>0.16479452439347292</v>
      </c>
      <c r="K99" s="13">
        <f t="shared" si="23"/>
        <v>0.15539587752024708</v>
      </c>
      <c r="L99" s="13">
        <f t="shared" si="23"/>
        <v>0.15327066217652655</v>
      </c>
      <c r="M99" s="13">
        <f t="shared" si="23"/>
        <v>0.14449536818864719</v>
      </c>
      <c r="N99" s="13">
        <f t="shared" si="23"/>
        <v>0.15008521995076962</v>
      </c>
      <c r="O99" s="13">
        <f t="shared" si="23"/>
        <v>0.1483103549821784</v>
      </c>
      <c r="P99" s="13">
        <f t="shared" si="23"/>
        <v>0.14793001007153112</v>
      </c>
      <c r="Q99" s="13">
        <f t="shared" si="23"/>
        <v>0.15063068440098637</v>
      </c>
      <c r="R99" s="13">
        <f t="shared" ref="R99:AK99" si="24">R90/R50</f>
        <v>0.16102529530306364</v>
      </c>
      <c r="S99" s="13">
        <f t="shared" si="24"/>
        <v>0.15608672736331528</v>
      </c>
      <c r="T99" s="13">
        <f t="shared" si="24"/>
        <v>0.14187603516441785</v>
      </c>
      <c r="U99" s="13">
        <f t="shared" si="24"/>
        <v>0.13644289190133099</v>
      </c>
      <c r="V99" s="13">
        <f t="shared" si="24"/>
        <v>0.12288469102458802</v>
      </c>
      <c r="W99" s="13">
        <f t="shared" si="24"/>
        <v>0.11460556084548629</v>
      </c>
      <c r="X99" s="13">
        <f t="shared" si="24"/>
        <v>0.10341142723455571</v>
      </c>
      <c r="Y99" s="13">
        <f t="shared" si="24"/>
        <v>9.2268265426293392E-2</v>
      </c>
      <c r="Z99" s="13">
        <f t="shared" si="24"/>
        <v>7.8007002335817158E-2</v>
      </c>
      <c r="AA99" s="13">
        <f t="shared" si="24"/>
        <v>7.166982446296534E-2</v>
      </c>
      <c r="AB99" s="13">
        <f t="shared" si="24"/>
        <v>7.0682731190156819E-2</v>
      </c>
      <c r="AC99" s="13">
        <f t="shared" si="24"/>
        <v>6.9337815877863029E-2</v>
      </c>
      <c r="AD99" s="13">
        <f t="shared" si="24"/>
        <v>7.0448347037798079E-2</v>
      </c>
      <c r="AE99" s="13">
        <f t="shared" si="24"/>
        <v>6.537500002293993E-2</v>
      </c>
      <c r="AF99" s="13">
        <f t="shared" si="24"/>
        <v>6.7542785274930781E-2</v>
      </c>
      <c r="AG99" s="13">
        <f t="shared" si="24"/>
        <v>6.9518508733073497E-2</v>
      </c>
      <c r="AH99" s="13">
        <f t="shared" si="24"/>
        <v>7.2273987595894221E-2</v>
      </c>
      <c r="AI99" s="13">
        <f t="shared" si="24"/>
        <v>8.1504448979711389E-2</v>
      </c>
      <c r="AJ99" s="13">
        <f t="shared" si="24"/>
        <v>7.9896071827011333E-2</v>
      </c>
      <c r="AK99" s="13">
        <f t="shared" si="24"/>
        <v>8.4131078404080295E-2</v>
      </c>
    </row>
    <row r="100" spans="2:37" ht="15" customHeight="1" x14ac:dyDescent="0.25">
      <c r="B100" s="15" t="s">
        <v>108</v>
      </c>
      <c r="C100" s="107">
        <f>(E100-F100)</f>
        <v>-8.9380556932573407E-3</v>
      </c>
      <c r="D100" s="108">
        <f>(E100-I100)</f>
        <v>-4.2221009290258849E-2</v>
      </c>
      <c r="E100" s="13">
        <f t="shared" ref="E100:Q100" si="25">E71/E50</f>
        <v>0.78808046089971306</v>
      </c>
      <c r="F100" s="13">
        <f t="shared" si="25"/>
        <v>0.79701851659297041</v>
      </c>
      <c r="G100" s="13">
        <f t="shared" si="25"/>
        <v>0.81362366452651647</v>
      </c>
      <c r="H100" s="13">
        <f t="shared" si="25"/>
        <v>0.82414738993517511</v>
      </c>
      <c r="I100" s="13">
        <f t="shared" si="25"/>
        <v>0.83030147018997191</v>
      </c>
      <c r="J100" s="13">
        <f t="shared" si="25"/>
        <v>0.8352054756065268</v>
      </c>
      <c r="K100" s="13">
        <f t="shared" si="25"/>
        <v>0.84460412247975292</v>
      </c>
      <c r="L100" s="13">
        <f t="shared" si="25"/>
        <v>0.84672933782347337</v>
      </c>
      <c r="M100" s="13">
        <f t="shared" si="25"/>
        <v>0.85550463181135283</v>
      </c>
      <c r="N100" s="13">
        <f t="shared" si="25"/>
        <v>0.84991478004923049</v>
      </c>
      <c r="O100" s="13">
        <f t="shared" si="25"/>
        <v>0.85168964501782174</v>
      </c>
      <c r="P100" s="13">
        <f t="shared" si="25"/>
        <v>0.85206998992846905</v>
      </c>
      <c r="Q100" s="13">
        <f t="shared" si="25"/>
        <v>0.84936931559901352</v>
      </c>
      <c r="R100" s="13">
        <f t="shared" ref="R100:AK100" si="26">R71/R50</f>
        <v>0.83897470469693636</v>
      </c>
      <c r="S100" s="13">
        <f t="shared" si="26"/>
        <v>0.84391327263668459</v>
      </c>
      <c r="T100" s="13">
        <f t="shared" si="26"/>
        <v>0.85812396483558206</v>
      </c>
      <c r="U100" s="13">
        <f t="shared" si="26"/>
        <v>0.86355710809866892</v>
      </c>
      <c r="V100" s="13">
        <f t="shared" si="26"/>
        <v>0.8771153089754119</v>
      </c>
      <c r="W100" s="13">
        <f t="shared" si="26"/>
        <v>0.88539443915451344</v>
      </c>
      <c r="X100" s="13">
        <f t="shared" si="26"/>
        <v>0.89658857276544435</v>
      </c>
      <c r="Y100" s="13">
        <f t="shared" si="26"/>
        <v>0.90773173457370648</v>
      </c>
      <c r="Z100" s="13">
        <f t="shared" si="26"/>
        <v>0.92199299766418286</v>
      </c>
      <c r="AA100" s="13">
        <f t="shared" si="26"/>
        <v>0.92833017553703467</v>
      </c>
      <c r="AB100" s="13">
        <f t="shared" si="26"/>
        <v>0.92931726880984322</v>
      </c>
      <c r="AC100" s="13">
        <f t="shared" si="26"/>
        <v>0.93066218412213686</v>
      </c>
      <c r="AD100" s="13">
        <f t="shared" si="26"/>
        <v>0.92955165296220188</v>
      </c>
      <c r="AE100" s="13">
        <f t="shared" si="26"/>
        <v>0.93462499997706017</v>
      </c>
      <c r="AF100" s="13">
        <f t="shared" si="26"/>
        <v>0.93245721472506915</v>
      </c>
      <c r="AG100" s="13">
        <f t="shared" si="26"/>
        <v>0.93048149126692647</v>
      </c>
      <c r="AH100" s="13">
        <f t="shared" si="26"/>
        <v>0.92772601240410568</v>
      </c>
      <c r="AI100" s="13">
        <f t="shared" si="26"/>
        <v>0.91849555102028868</v>
      </c>
      <c r="AJ100" s="13">
        <f t="shared" si="26"/>
        <v>0.92010392817298881</v>
      </c>
      <c r="AK100" s="13">
        <f t="shared" si="26"/>
        <v>0.9158689215959197</v>
      </c>
    </row>
    <row r="101" spans="2:37" ht="15" customHeight="1" x14ac:dyDescent="0.25">
      <c r="B101" s="5"/>
      <c r="C101" s="107"/>
      <c r="D101" s="108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7" ht="15" customHeight="1" x14ac:dyDescent="0.25">
      <c r="B102" s="5" t="s">
        <v>152</v>
      </c>
      <c r="C102" s="107">
        <f>(E102-F102)</f>
        <v>-1.7370432634962713E-2</v>
      </c>
      <c r="D102" s="108">
        <f>(E102-I102)</f>
        <v>-1.3640074660023205E-3</v>
      </c>
      <c r="E102" s="13">
        <f t="shared" ref="E102:R102" si="27">-E20/E50</f>
        <v>0.11040922311124482</v>
      </c>
      <c r="F102" s="13">
        <f t="shared" si="27"/>
        <v>0.12777965574620753</v>
      </c>
      <c r="G102" s="13">
        <f t="shared" si="27"/>
        <v>0.12399172238795887</v>
      </c>
      <c r="H102" s="13">
        <f t="shared" si="27"/>
        <v>0.1209208477120786</v>
      </c>
      <c r="I102" s="13">
        <f t="shared" si="27"/>
        <v>0.11177323057724714</v>
      </c>
      <c r="J102" s="13">
        <f t="shared" si="27"/>
        <v>0.11858259743746506</v>
      </c>
      <c r="K102" s="13">
        <f t="shared" si="27"/>
        <v>0.11049279052894853</v>
      </c>
      <c r="L102" s="13">
        <f t="shared" si="27"/>
        <v>0.10272133448662485</v>
      </c>
      <c r="M102" s="13">
        <f t="shared" si="27"/>
        <v>9.443084969410119E-2</v>
      </c>
      <c r="N102" s="13">
        <f t="shared" si="27"/>
        <v>8.9741633007900959E-2</v>
      </c>
      <c r="O102" s="13">
        <f t="shared" si="27"/>
        <v>8.5154389123350077E-2</v>
      </c>
      <c r="P102" s="13">
        <f t="shared" si="27"/>
        <v>8.3014640754935407E-2</v>
      </c>
      <c r="Q102" s="13">
        <f t="shared" si="27"/>
        <v>8.2634485728632676E-2</v>
      </c>
      <c r="R102" s="13">
        <f t="shared" si="27"/>
        <v>8.4739873208938818E-2</v>
      </c>
      <c r="S102" s="13">
        <f t="shared" ref="S102:AK102" si="28">-S20/S50</f>
        <v>8.5658938284853783E-2</v>
      </c>
      <c r="T102" s="13">
        <f t="shared" si="28"/>
        <v>9.0595821042677757E-2</v>
      </c>
      <c r="U102" s="13">
        <f t="shared" si="28"/>
        <v>9.3732846457263014E-2</v>
      </c>
      <c r="V102" s="13">
        <f t="shared" si="28"/>
        <v>9.3303307021481346E-2</v>
      </c>
      <c r="W102" s="13">
        <f t="shared" si="28"/>
        <v>9.4548532722613529E-2</v>
      </c>
      <c r="X102" s="13">
        <f t="shared" si="28"/>
        <v>9.8078982061550163E-2</v>
      </c>
      <c r="Y102" s="13">
        <f t="shared" si="28"/>
        <v>9.7866836587763351E-2</v>
      </c>
      <c r="Z102" s="13">
        <f t="shared" si="28"/>
        <v>9.6710903715142418E-2</v>
      </c>
      <c r="AA102" s="13">
        <f t="shared" si="28"/>
        <v>9.146029336631685E-2</v>
      </c>
      <c r="AB102" s="13">
        <f t="shared" si="28"/>
        <v>9.9581468479876437E-2</v>
      </c>
      <c r="AC102" s="13">
        <f t="shared" si="28"/>
        <v>9.2322578022193139E-2</v>
      </c>
      <c r="AD102" s="13">
        <f t="shared" si="28"/>
        <v>9.0902085204694366E-2</v>
      </c>
      <c r="AE102" s="13">
        <f t="shared" si="28"/>
        <v>8.9987815224518652E-2</v>
      </c>
      <c r="AF102" s="13">
        <f t="shared" si="28"/>
        <v>9.4838055892337611E-2</v>
      </c>
      <c r="AG102" s="13">
        <f t="shared" si="28"/>
        <v>9.6096566677864287E-2</v>
      </c>
      <c r="AH102" s="13">
        <f t="shared" si="28"/>
        <v>0.10300115054445809</v>
      </c>
      <c r="AI102" s="13">
        <f t="shared" si="28"/>
        <v>0.11050714350251307</v>
      </c>
      <c r="AJ102" s="13">
        <f t="shared" si="28"/>
        <v>0.10367109534669253</v>
      </c>
      <c r="AK102" s="13">
        <f t="shared" si="28"/>
        <v>9.137744152286692E-2</v>
      </c>
    </row>
    <row r="103" spans="2:37" ht="15" customHeight="1" x14ac:dyDescent="0.25">
      <c r="B103" s="5"/>
      <c r="C103" s="107"/>
      <c r="D103" s="108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7" x14ac:dyDescent="0.25">
      <c r="B104" s="5" t="s">
        <v>109</v>
      </c>
      <c r="C104" s="107">
        <f>(E104-F104)</f>
        <v>4.1501260041812982E-3</v>
      </c>
      <c r="D104" s="108">
        <f>(E104-I104)</f>
        <v>-8.2634306151936482E-3</v>
      </c>
      <c r="E104" s="13">
        <f>E61/E50</f>
        <v>8.3491582837271497E-2</v>
      </c>
      <c r="F104" s="13">
        <f>F61/F50</f>
        <v>7.9341456833090199E-2</v>
      </c>
      <c r="G104" s="13">
        <f t="shared" ref="G104:L104" si="29">G61/G50</f>
        <v>7.5636951199147609E-2</v>
      </c>
      <c r="H104" s="13">
        <f t="shared" si="29"/>
        <v>8.5566475430876199E-2</v>
      </c>
      <c r="I104" s="13">
        <f t="shared" si="29"/>
        <v>9.1755013452465145E-2</v>
      </c>
      <c r="J104" s="13">
        <f t="shared" si="29"/>
        <v>9.2005935733012731E-2</v>
      </c>
      <c r="K104" s="13">
        <f t="shared" si="29"/>
        <v>8.7713163644463979E-2</v>
      </c>
      <c r="L104" s="13">
        <f t="shared" si="29"/>
        <v>7.0209015337358877E-2</v>
      </c>
      <c r="M104" s="13">
        <f>M61/M50</f>
        <v>6.5874263242884826E-2</v>
      </c>
      <c r="N104" s="13">
        <f>N61/N50</f>
        <v>6.4864574475660811E-2</v>
      </c>
      <c r="O104" s="13">
        <f>O61/O50</f>
        <v>5.2935661337490482E-2</v>
      </c>
      <c r="P104" s="13">
        <f>P61/P50</f>
        <v>7.0592715610390017E-2</v>
      </c>
      <c r="Q104" s="13">
        <f>Q61/Q50</f>
        <v>5.4071270742024315E-2</v>
      </c>
      <c r="R104" s="13">
        <f t="shared" ref="R104:AK104" si="30">R61/R50</f>
        <v>4.9343061699626142E-2</v>
      </c>
      <c r="S104" s="13">
        <f t="shared" si="30"/>
        <v>4.4552359731700124E-2</v>
      </c>
      <c r="T104" s="13">
        <f t="shared" si="30"/>
        <v>5.7160253698905095E-2</v>
      </c>
      <c r="U104" s="13">
        <f t="shared" si="30"/>
        <v>5.6925889138457066E-2</v>
      </c>
      <c r="V104" s="13">
        <f t="shared" si="30"/>
        <v>5.9986021449719568E-2</v>
      </c>
      <c r="W104" s="13">
        <f t="shared" si="30"/>
        <v>8.7432550008532103E-2</v>
      </c>
      <c r="X104" s="13">
        <f t="shared" si="30"/>
        <v>8.483889327509081E-2</v>
      </c>
      <c r="Y104" s="13">
        <f t="shared" si="30"/>
        <v>8.4042659836243816E-2</v>
      </c>
      <c r="Z104" s="13">
        <f t="shared" si="30"/>
        <v>7.9072178413760824E-2</v>
      </c>
      <c r="AA104" s="13">
        <f t="shared" si="30"/>
        <v>7.9055921000201063E-2</v>
      </c>
      <c r="AB104" s="13">
        <f t="shared" si="30"/>
        <v>8.3515274774501991E-2</v>
      </c>
      <c r="AC104" s="13">
        <f t="shared" si="30"/>
        <v>6.6159006532212059E-2</v>
      </c>
      <c r="AD104" s="13">
        <f t="shared" si="30"/>
        <v>6.818781442106471E-2</v>
      </c>
      <c r="AE104" s="13">
        <f t="shared" si="30"/>
        <v>6.1909881661137534E-2</v>
      </c>
      <c r="AF104" s="13">
        <f t="shared" si="30"/>
        <v>6.2525600209159801E-2</v>
      </c>
      <c r="AG104" s="13">
        <f t="shared" si="30"/>
        <v>5.8801850527950013E-2</v>
      </c>
      <c r="AH104" s="13">
        <f t="shared" si="30"/>
        <v>5.9256317149064958E-2</v>
      </c>
      <c r="AI104" s="13">
        <f t="shared" si="30"/>
        <v>6.8696486073406282E-2</v>
      </c>
      <c r="AJ104" s="13">
        <f t="shared" si="30"/>
        <v>6.3399461821150999E-2</v>
      </c>
      <c r="AK104" s="13">
        <f t="shared" si="30"/>
        <v>7.1355632006864705E-2</v>
      </c>
    </row>
    <row r="105" spans="2:37" x14ac:dyDescent="0.25">
      <c r="B105" s="5" t="s">
        <v>176</v>
      </c>
      <c r="C105" s="107">
        <f>(E105-F105)</f>
        <v>-1.7554953779336871E-2</v>
      </c>
      <c r="D105" s="108">
        <f>(E105-I105)</f>
        <v>-1.1892192645359123E-3</v>
      </c>
      <c r="E105" s="13">
        <f t="shared" ref="E105:R105" si="31">(E70+SUM(E82:E88))/E50</f>
        <v>5.9145497351737922E-2</v>
      </c>
      <c r="F105" s="13">
        <f t="shared" si="31"/>
        <v>7.6700451131074793E-2</v>
      </c>
      <c r="G105" s="13">
        <f t="shared" si="31"/>
        <v>7.8338835275735541E-2</v>
      </c>
      <c r="H105" s="13">
        <f t="shared" si="31"/>
        <v>7.0856787848250752E-2</v>
      </c>
      <c r="I105" s="13">
        <f t="shared" si="31"/>
        <v>6.0334716616273834E-2</v>
      </c>
      <c r="J105" s="13">
        <f t="shared" si="31"/>
        <v>7.1615844833972986E-2</v>
      </c>
      <c r="K105" s="13">
        <f t="shared" si="31"/>
        <v>6.4848222791978355E-2</v>
      </c>
      <c r="L105" s="13">
        <f t="shared" si="31"/>
        <v>6.4136813407131135E-2</v>
      </c>
      <c r="M105" s="13">
        <f t="shared" si="31"/>
        <v>5.8564356607181685E-2</v>
      </c>
      <c r="N105" s="13">
        <f t="shared" si="31"/>
        <v>4.8503230315424271E-2</v>
      </c>
      <c r="O105" s="13">
        <f t="shared" si="31"/>
        <v>4.5825680011098796E-2</v>
      </c>
      <c r="P105" s="13">
        <f t="shared" si="31"/>
        <v>4.1035120387591578E-2</v>
      </c>
      <c r="Q105" s="13">
        <f t="shared" si="31"/>
        <v>4.5503836744980118E-2</v>
      </c>
      <c r="R105" s="13">
        <f t="shared" si="31"/>
        <v>4.6564865041319174E-2</v>
      </c>
      <c r="S105" s="13">
        <f t="shared" ref="S105:AK105" si="32">(S70+S89)/S50</f>
        <v>5.4938272172405114E-2</v>
      </c>
      <c r="T105" s="13">
        <f t="shared" si="32"/>
        <v>6.4035736415938072E-2</v>
      </c>
      <c r="U105" s="13">
        <f t="shared" si="32"/>
        <v>7.1671605798470317E-2</v>
      </c>
      <c r="V105" s="13">
        <f t="shared" si="32"/>
        <v>6.3994858330856885E-2</v>
      </c>
      <c r="W105" s="13">
        <f t="shared" si="32"/>
        <v>4.9442612702703365E-2</v>
      </c>
      <c r="X105" s="13">
        <f t="shared" si="32"/>
        <v>5.3895072768865029E-2</v>
      </c>
      <c r="Y105" s="13">
        <f t="shared" si="32"/>
        <v>5.1589253538625188E-2</v>
      </c>
      <c r="Z105" s="13">
        <f t="shared" si="32"/>
        <v>5.1999042208316984E-2</v>
      </c>
      <c r="AA105" s="13">
        <f t="shared" si="32"/>
        <v>5.3208002398452858E-2</v>
      </c>
      <c r="AB105" s="13">
        <f t="shared" si="32"/>
        <v>5.9727611478723137E-2</v>
      </c>
      <c r="AC105" s="13">
        <f t="shared" si="32"/>
        <v>5.7090174460277247E-2</v>
      </c>
      <c r="AD105" s="13">
        <f t="shared" si="32"/>
        <v>4.5609282969995363E-2</v>
      </c>
      <c r="AE105" s="13">
        <f t="shared" si="32"/>
        <v>4.6163107887611937E-2</v>
      </c>
      <c r="AF105" s="13">
        <f t="shared" si="32"/>
        <v>5.1961063917336903E-2</v>
      </c>
      <c r="AG105" s="13">
        <f t="shared" si="32"/>
        <v>5.0798811027391796E-2</v>
      </c>
      <c r="AH105" s="13">
        <f t="shared" si="32"/>
        <v>5.8235938504165162E-2</v>
      </c>
      <c r="AI105" s="13">
        <f t="shared" si="32"/>
        <v>7.1365942181860625E-2</v>
      </c>
      <c r="AJ105" s="13">
        <f t="shared" si="32"/>
        <v>8.5656695617988429E-2</v>
      </c>
      <c r="AK105" s="13">
        <f t="shared" si="32"/>
        <v>7.3576856942650648E-2</v>
      </c>
    </row>
    <row r="106" spans="2:37" x14ac:dyDescent="0.25">
      <c r="B106" s="14" t="s">
        <v>150</v>
      </c>
      <c r="C106" s="107"/>
      <c r="D106" s="108"/>
      <c r="E106" s="50">
        <f>E70/E71</f>
        <v>6.2279754843313835E-2</v>
      </c>
      <c r="F106" s="50">
        <f>F70/F71</f>
        <v>8.560984428296424E-2</v>
      </c>
      <c r="G106" s="50">
        <f>G70/G71</f>
        <v>8.5721443972090472E-2</v>
      </c>
      <c r="H106" s="50">
        <f t="shared" ref="H106:M106" si="33">H70/H71</f>
        <v>7.5212058748769239E-2</v>
      </c>
      <c r="I106" s="50">
        <f t="shared" si="33"/>
        <v>6.0380285992468037E-2</v>
      </c>
      <c r="J106" s="50">
        <f t="shared" si="33"/>
        <v>7.5185942943601869E-2</v>
      </c>
      <c r="K106" s="50">
        <f t="shared" si="33"/>
        <v>6.7092967959665503E-2</v>
      </c>
      <c r="L106" s="50">
        <f t="shared" si="33"/>
        <v>6.6095555458348679E-2</v>
      </c>
      <c r="M106" s="50">
        <f t="shared" si="33"/>
        <v>5.9540881672752129E-2</v>
      </c>
      <c r="N106" s="50">
        <f>N70/N71</f>
        <v>4.8553751498841898E-2</v>
      </c>
      <c r="O106" s="50">
        <f>O70/O71</f>
        <v>4.587661700106422E-2</v>
      </c>
      <c r="P106" s="50">
        <f t="shared" ref="P106:U106" si="34">P70/P71</f>
        <v>4.0735682696581663E-2</v>
      </c>
      <c r="Q106" s="50">
        <f t="shared" si="34"/>
        <v>4.6765150517576889E-2</v>
      </c>
      <c r="R106" s="50">
        <f t="shared" si="34"/>
        <v>4.8486001710220085E-2</v>
      </c>
      <c r="S106" s="50">
        <f t="shared" si="34"/>
        <v>5.8669115382158271E-2</v>
      </c>
      <c r="T106" s="50">
        <f t="shared" si="34"/>
        <v>6.8632841346937146E-2</v>
      </c>
      <c r="U106" s="50">
        <f t="shared" si="34"/>
        <v>7.7418749161483461E-2</v>
      </c>
      <c r="V106" s="50">
        <f t="shared" ref="V106:AA106" si="35">V70/V71</f>
        <v>6.8089308457237888E-2</v>
      </c>
      <c r="W106" s="50">
        <f t="shared" si="35"/>
        <v>5.144380240538754E-2</v>
      </c>
      <c r="X106" s="50">
        <f t="shared" si="35"/>
        <v>5.6050384521698103E-2</v>
      </c>
      <c r="Y106" s="50">
        <f t="shared" si="35"/>
        <v>5.3122800381644561E-2</v>
      </c>
      <c r="Z106" s="50">
        <f t="shared" si="35"/>
        <v>5.2129970891716698E-2</v>
      </c>
      <c r="AA106" s="50">
        <f t="shared" si="35"/>
        <v>5.3086802374360295E-2</v>
      </c>
      <c r="AB106" s="50">
        <f t="shared" ref="AB106:AK106" si="36">AB70/AB71</f>
        <v>5.9236130627999282E-2</v>
      </c>
      <c r="AC106" s="50">
        <f t="shared" si="36"/>
        <v>5.6754401142598207E-2</v>
      </c>
      <c r="AD106" s="50">
        <f t="shared" si="36"/>
        <v>4.3584394833571113E-2</v>
      </c>
      <c r="AE106" s="50">
        <f t="shared" si="36"/>
        <v>4.3711251024004048E-2</v>
      </c>
      <c r="AF106" s="50">
        <f t="shared" si="36"/>
        <v>4.9723847834928253E-2</v>
      </c>
      <c r="AG106" s="50">
        <f t="shared" si="36"/>
        <v>4.8044940253498696E-2</v>
      </c>
      <c r="AH106" s="50">
        <f t="shared" si="36"/>
        <v>5.4654519191847065E-2</v>
      </c>
      <c r="AI106" s="50">
        <f t="shared" si="36"/>
        <v>6.8217834476856531E-2</v>
      </c>
      <c r="AJ106" s="50">
        <f t="shared" si="36"/>
        <v>8.388808038662747E-2</v>
      </c>
      <c r="AK106" s="50">
        <f t="shared" si="36"/>
        <v>7.1086120716228884E-2</v>
      </c>
    </row>
    <row r="107" spans="2:37" ht="15" customHeight="1" x14ac:dyDescent="0.25">
      <c r="B107" s="14" t="s">
        <v>218</v>
      </c>
      <c r="C107" s="107"/>
      <c r="D107" s="108"/>
      <c r="E107" s="51">
        <f t="shared" ref="E107:J107" si="37">E89/E90</f>
        <v>4.7489908164321699E-2</v>
      </c>
      <c r="F107" s="51">
        <f t="shared" si="37"/>
        <v>4.1717204410863941E-2</v>
      </c>
      <c r="G107" s="51">
        <f t="shared" si="37"/>
        <v>4.6110145265097192E-2</v>
      </c>
      <c r="H107" s="51">
        <f t="shared" si="37"/>
        <v>5.0445460749950731E-2</v>
      </c>
      <c r="I107" s="51">
        <f t="shared" si="37"/>
        <v>6.0111754637215714E-2</v>
      </c>
      <c r="J107" s="51">
        <f t="shared" si="37"/>
        <v>5.352200645803825E-2</v>
      </c>
      <c r="K107" s="51">
        <f>K89/K90</f>
        <v>5.2647635152206239E-2</v>
      </c>
      <c r="L107" s="51">
        <f>L89/L90</f>
        <v>5.331592742384849E-2</v>
      </c>
      <c r="M107" s="51">
        <f>M89/M90</f>
        <v>5.2782706114518754E-2</v>
      </c>
      <c r="N107" s="51">
        <f>N89/N90</f>
        <v>4.8217134852417902E-2</v>
      </c>
      <c r="O107" s="51">
        <f>O89/O90</f>
        <v>4.5533168359386096E-2</v>
      </c>
      <c r="P107" s="51">
        <f t="shared" ref="P107:U107" si="38">P89/P90</f>
        <v>4.2759867585537688E-2</v>
      </c>
      <c r="Q107" s="51">
        <f t="shared" si="38"/>
        <v>3.8391599155099605E-2</v>
      </c>
      <c r="R107" s="51">
        <f t="shared" si="38"/>
        <v>3.6555350285019085E-2</v>
      </c>
      <c r="S107" s="51">
        <f t="shared" si="38"/>
        <v>3.4766742177362635E-2</v>
      </c>
      <c r="T107" s="51">
        <f t="shared" si="38"/>
        <v>3.6230576047716213E-2</v>
      </c>
      <c r="U107" s="51">
        <f t="shared" si="38"/>
        <v>3.529751233538915E-2</v>
      </c>
      <c r="V107" s="51">
        <f t="shared" ref="V107:AA107" si="39">V89/V90</f>
        <v>3.4769860019500977E-2</v>
      </c>
      <c r="W107" s="51">
        <f t="shared" si="39"/>
        <v>3.3982261377878305E-2</v>
      </c>
      <c r="X107" s="51">
        <f t="shared" si="39"/>
        <v>3.5208280215909493E-2</v>
      </c>
      <c r="Y107" s="51">
        <f t="shared" si="39"/>
        <v>3.6502277215481729E-2</v>
      </c>
      <c r="Z107" s="51">
        <f t="shared" si="39"/>
        <v>5.0451548705512612E-2</v>
      </c>
      <c r="AA107" s="51">
        <f t="shared" si="39"/>
        <v>5.4777890988023582E-2</v>
      </c>
      <c r="AB107" s="51">
        <f t="shared" ref="AB107:AK107" si="40">AB89/AB90</f>
        <v>6.6189467637595395E-2</v>
      </c>
      <c r="AC107" s="51">
        <f t="shared" si="40"/>
        <v>6.1596972449870058E-2</v>
      </c>
      <c r="AD107" s="51">
        <f t="shared" si="40"/>
        <v>7.232727130358714E-2</v>
      </c>
      <c r="AE107" s="51">
        <f t="shared" si="40"/>
        <v>8.1215753704654642E-2</v>
      </c>
      <c r="AF107" s="51">
        <f t="shared" si="40"/>
        <v>8.2846794620467804E-2</v>
      </c>
      <c r="AG107" s="51">
        <f t="shared" si="40"/>
        <v>8.7658430589820382E-2</v>
      </c>
      <c r="AH107" s="51">
        <f t="shared" si="40"/>
        <v>0.10420788453738339</v>
      </c>
      <c r="AI107" s="51">
        <f t="shared" si="40"/>
        <v>0.10684281439406004</v>
      </c>
      <c r="AJ107" s="51">
        <f t="shared" si="40"/>
        <v>0.10602452828597214</v>
      </c>
      <c r="AK107" s="51">
        <f t="shared" si="40"/>
        <v>0.10069154446295427</v>
      </c>
    </row>
    <row r="108" spans="2:37" x14ac:dyDescent="0.25">
      <c r="C108" s="107"/>
      <c r="D108" s="108"/>
    </row>
    <row r="109" spans="2:37" ht="15" customHeight="1" x14ac:dyDescent="0.25">
      <c r="B109" s="5" t="s">
        <v>151</v>
      </c>
      <c r="C109" s="107"/>
      <c r="D109" s="108"/>
      <c r="E109" s="13">
        <f t="shared" ref="E109:R109" si="41">-E20/(E61+E70+E89)</f>
        <v>0.7740569490411664</v>
      </c>
      <c r="F109" s="13">
        <f t="shared" si="41"/>
        <v>0.81888037267239855</v>
      </c>
      <c r="G109" s="13">
        <f t="shared" si="41"/>
        <v>0.80526766725224463</v>
      </c>
      <c r="H109" s="13">
        <f t="shared" si="41"/>
        <v>0.77303621710220538</v>
      </c>
      <c r="I109" s="13">
        <f t="shared" si="41"/>
        <v>0.73491635843347047</v>
      </c>
      <c r="J109" s="13">
        <f t="shared" si="41"/>
        <v>0.72473601635766394</v>
      </c>
      <c r="K109" s="13">
        <f t="shared" si="41"/>
        <v>0.72425135291347309</v>
      </c>
      <c r="L109" s="13">
        <f t="shared" si="41"/>
        <v>0.76460382467094512</v>
      </c>
      <c r="M109" s="13">
        <f t="shared" si="41"/>
        <v>0.75885484593029839</v>
      </c>
      <c r="N109" s="13">
        <f t="shared" si="41"/>
        <v>0.79159716617321307</v>
      </c>
      <c r="O109" s="13">
        <f t="shared" si="41"/>
        <v>0.86222390219253975</v>
      </c>
      <c r="P109" s="13">
        <f t="shared" si="41"/>
        <v>0.74367329629534729</v>
      </c>
      <c r="Q109" s="13">
        <f t="shared" si="41"/>
        <v>0.82987091667882262</v>
      </c>
      <c r="R109" s="13">
        <f t="shared" si="41"/>
        <v>0.88355442650561855</v>
      </c>
      <c r="S109" s="13">
        <f t="shared" ref="S109:AK109" si="42">-S20/(S61+S70+S89)</f>
        <v>0.86097491437602658</v>
      </c>
      <c r="T109" s="13">
        <f t="shared" si="42"/>
        <v>0.74751500405938165</v>
      </c>
      <c r="U109" s="13">
        <f t="shared" si="42"/>
        <v>0.72888547714895802</v>
      </c>
      <c r="V109" s="13">
        <f t="shared" si="42"/>
        <v>0.75256206591380204</v>
      </c>
      <c r="W109" s="13">
        <f t="shared" si="42"/>
        <v>0.69076471472097445</v>
      </c>
      <c r="X109" s="13">
        <f t="shared" si="42"/>
        <v>0.70695724239927848</v>
      </c>
      <c r="Y109" s="13">
        <f t="shared" si="42"/>
        <v>0.72156201407608334</v>
      </c>
      <c r="Z109" s="13">
        <f t="shared" si="42"/>
        <v>0.73785002730685101</v>
      </c>
      <c r="AA109" s="13">
        <f t="shared" si="42"/>
        <v>0.6914984148069484</v>
      </c>
      <c r="AB109" s="13">
        <f t="shared" si="42"/>
        <v>0.69519311628387659</v>
      </c>
      <c r="AC109" s="13">
        <f t="shared" si="42"/>
        <v>0.74907254781530097</v>
      </c>
      <c r="AD109" s="13">
        <f t="shared" si="42"/>
        <v>0.7988084695369011</v>
      </c>
      <c r="AE109" s="13">
        <f t="shared" si="42"/>
        <v>0.83265777693627152</v>
      </c>
      <c r="AF109" s="13">
        <f t="shared" si="42"/>
        <v>0.82837644555308831</v>
      </c>
      <c r="AG109" s="13">
        <f t="shared" si="42"/>
        <v>0.87678819921484907</v>
      </c>
      <c r="AH109" s="13">
        <f t="shared" si="42"/>
        <v>0.87666331684412058</v>
      </c>
      <c r="AI109" s="13">
        <f t="shared" si="42"/>
        <v>0.7889849182188341</v>
      </c>
      <c r="AJ109" s="13">
        <f t="shared" si="42"/>
        <v>0.69551702611830768</v>
      </c>
      <c r="AK109" s="13">
        <f t="shared" si="42"/>
        <v>0.63048280054513239</v>
      </c>
    </row>
    <row r="110" spans="2:37" ht="15" customHeight="1" x14ac:dyDescent="0.25">
      <c r="B110" s="5" t="s">
        <v>153</v>
      </c>
      <c r="C110" s="107"/>
      <c r="D110" s="108"/>
      <c r="E110" s="13">
        <f t="shared" ref="E110:R110" si="43">-E20/(E70+E89)</f>
        <v>1.866739279486346</v>
      </c>
      <c r="F110" s="13">
        <f t="shared" si="43"/>
        <v>1.66595702974214</v>
      </c>
      <c r="G110" s="13">
        <f t="shared" si="43"/>
        <v>1.582761882424409</v>
      </c>
      <c r="H110" s="13">
        <f t="shared" si="43"/>
        <v>1.7065527719242186</v>
      </c>
      <c r="I110" s="13">
        <f t="shared" si="43"/>
        <v>1.8525525078392264</v>
      </c>
      <c r="J110" s="13">
        <f t="shared" si="43"/>
        <v>1.6558151022636833</v>
      </c>
      <c r="K110" s="13">
        <f t="shared" si="43"/>
        <v>1.7038676739590828</v>
      </c>
      <c r="L110" s="13">
        <f t="shared" si="43"/>
        <v>1.6015971020350639</v>
      </c>
      <c r="M110" s="13">
        <f t="shared" si="43"/>
        <v>1.6124287051848398</v>
      </c>
      <c r="N110" s="13">
        <f t="shared" si="43"/>
        <v>1.8502197157652542</v>
      </c>
      <c r="O110" s="13">
        <f t="shared" si="43"/>
        <v>1.8582242337206132</v>
      </c>
      <c r="P110" s="13">
        <f t="shared" si="43"/>
        <v>2.0230144318045626</v>
      </c>
      <c r="Q110" s="13">
        <f t="shared" si="43"/>
        <v>1.8159894118763231</v>
      </c>
      <c r="R110" s="13">
        <f t="shared" si="43"/>
        <v>1.8198243060244066</v>
      </c>
      <c r="S110" s="13">
        <f t="shared" ref="S110:AK110" si="44">-S20/(S70+S89)</f>
        <v>1.5591851526753933</v>
      </c>
      <c r="T110" s="13">
        <f t="shared" si="44"/>
        <v>1.4147697225533751</v>
      </c>
      <c r="U110" s="13">
        <f t="shared" si="44"/>
        <v>1.3078100513169131</v>
      </c>
      <c r="V110" s="13">
        <f t="shared" si="44"/>
        <v>1.4579813043588312</v>
      </c>
      <c r="W110" s="13">
        <f t="shared" si="44"/>
        <v>1.9122883592566278</v>
      </c>
      <c r="X110" s="13">
        <f t="shared" si="44"/>
        <v>1.8198135195432934</v>
      </c>
      <c r="Y110" s="13">
        <f t="shared" si="44"/>
        <v>1.8970392063240429</v>
      </c>
      <c r="Z110" s="13">
        <f t="shared" si="44"/>
        <v>1.8598593283257434</v>
      </c>
      <c r="AA110" s="13">
        <f t="shared" si="44"/>
        <v>1.71891988504677</v>
      </c>
      <c r="AB110" s="13">
        <f t="shared" si="44"/>
        <v>1.6672601835978407</v>
      </c>
      <c r="AC110" s="13">
        <f t="shared" si="44"/>
        <v>1.6171360290102148</v>
      </c>
      <c r="AD110" s="13">
        <f t="shared" si="44"/>
        <v>1.9930610455879221</v>
      </c>
      <c r="AE110" s="13">
        <f t="shared" si="44"/>
        <v>1.9493448197552414</v>
      </c>
      <c r="AF110" s="13">
        <f t="shared" si="44"/>
        <v>1.825175405245979</v>
      </c>
      <c r="AG110" s="13">
        <f t="shared" si="44"/>
        <v>1.8917089737798585</v>
      </c>
      <c r="AH110" s="13">
        <f t="shared" si="44"/>
        <v>1.7686870545941529</v>
      </c>
      <c r="AI110" s="13">
        <f t="shared" si="44"/>
        <v>1.5484577113955784</v>
      </c>
      <c r="AJ110" s="13">
        <f t="shared" si="44"/>
        <v>1.2103093003849306</v>
      </c>
      <c r="AK110" s="13">
        <f t="shared" si="44"/>
        <v>1.2419318427000885</v>
      </c>
    </row>
    <row r="111" spans="2:37" ht="15" customHeight="1" x14ac:dyDescent="0.25">
      <c r="C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37" ht="15" customHeight="1" x14ac:dyDescent="0.25"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</sheetData>
  <sortState ref="A35:AK48">
    <sortCondition descending="1" ref="E35:E48"/>
  </sortState>
  <customSheetViews>
    <customSheetView guid="{E4AC4991-F371-4BAF-8335-AD017EF379C0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1"/>
    </customSheetView>
    <customSheetView guid="{0284F5E2-DB98-486F-B3F7-128FA2A0A465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2"/>
    </customSheetView>
  </customSheetViews>
  <mergeCells count="217">
    <mergeCell ref="I54:I55"/>
    <mergeCell ref="I77:I78"/>
    <mergeCell ref="I96:I97"/>
    <mergeCell ref="N7:N8"/>
    <mergeCell ref="N25:N26"/>
    <mergeCell ref="N32:N33"/>
    <mergeCell ref="N54:N55"/>
    <mergeCell ref="N77:N78"/>
    <mergeCell ref="N96:N97"/>
    <mergeCell ref="M7:M8"/>
    <mergeCell ref="M25:M26"/>
    <mergeCell ref="M32:M33"/>
    <mergeCell ref="M54:M55"/>
    <mergeCell ref="M77:M78"/>
    <mergeCell ref="M96:M97"/>
    <mergeCell ref="J54:J55"/>
    <mergeCell ref="J77:J78"/>
    <mergeCell ref="J96:J97"/>
    <mergeCell ref="L7:L8"/>
    <mergeCell ref="L25:L26"/>
    <mergeCell ref="K7:K8"/>
    <mergeCell ref="K32:K33"/>
    <mergeCell ref="K25:K26"/>
    <mergeCell ref="O7:O8"/>
    <mergeCell ref="O25:O26"/>
    <mergeCell ref="O32:O33"/>
    <mergeCell ref="O54:O55"/>
    <mergeCell ref="O77:O78"/>
    <mergeCell ref="O96:O97"/>
    <mergeCell ref="R7:R8"/>
    <mergeCell ref="R25:R26"/>
    <mergeCell ref="R32:R33"/>
    <mergeCell ref="R54:R55"/>
    <mergeCell ref="R77:R78"/>
    <mergeCell ref="R96:R97"/>
    <mergeCell ref="Q7:Q8"/>
    <mergeCell ref="Q25:Q26"/>
    <mergeCell ref="Q32:Q33"/>
    <mergeCell ref="Q54:Q55"/>
    <mergeCell ref="Q77:Q78"/>
    <mergeCell ref="Q96:Q97"/>
    <mergeCell ref="AC7:AC8"/>
    <mergeCell ref="AD25:AD26"/>
    <mergeCell ref="AE25:AE26"/>
    <mergeCell ref="AF25:AF26"/>
    <mergeCell ref="AD32:AD33"/>
    <mergeCell ref="T54:T55"/>
    <mergeCell ref="AD7:AD8"/>
    <mergeCell ref="V96:V97"/>
    <mergeCell ref="AH77:AH78"/>
    <mergeCell ref="AD54:AD55"/>
    <mergeCell ref="AD77:AD78"/>
    <mergeCell ref="AG25:AG26"/>
    <mergeCell ref="U77:U78"/>
    <mergeCell ref="U96:U97"/>
    <mergeCell ref="X54:X55"/>
    <mergeCell ref="X77:X78"/>
    <mergeCell ref="AD96:AD97"/>
    <mergeCell ref="AE96:AE97"/>
    <mergeCell ref="AF96:AF97"/>
    <mergeCell ref="AC96:AC97"/>
    <mergeCell ref="AC77:AC78"/>
    <mergeCell ref="Z96:Z97"/>
    <mergeCell ref="AB96:AB97"/>
    <mergeCell ref="AA96:AA97"/>
    <mergeCell ref="AI96:AI97"/>
    <mergeCell ref="AK54:AK55"/>
    <mergeCell ref="AK77:AK78"/>
    <mergeCell ref="AJ96:AJ97"/>
    <mergeCell ref="AJ77:AJ78"/>
    <mergeCell ref="AK96:AK97"/>
    <mergeCell ref="AJ54:AJ55"/>
    <mergeCell ref="AI54:AI55"/>
    <mergeCell ref="AI77:AI78"/>
    <mergeCell ref="V77:V78"/>
    <mergeCell ref="W96:W97"/>
    <mergeCell ref="X96:X97"/>
    <mergeCell ref="Y54:Y55"/>
    <mergeCell ref="Y77:Y78"/>
    <mergeCell ref="Y96:Y97"/>
    <mergeCell ref="AH96:AH97"/>
    <mergeCell ref="AG77:AG78"/>
    <mergeCell ref="AG54:AG55"/>
    <mergeCell ref="W77:W78"/>
    <mergeCell ref="AG96:AG97"/>
    <mergeCell ref="AH54:AH55"/>
    <mergeCell ref="W54:W55"/>
    <mergeCell ref="AB54:AB55"/>
    <mergeCell ref="AA54:AA55"/>
    <mergeCell ref="AA77:AA78"/>
    <mergeCell ref="AB77:AB78"/>
    <mergeCell ref="AC54:AC55"/>
    <mergeCell ref="Z54:Z55"/>
    <mergeCell ref="Z77:Z78"/>
    <mergeCell ref="AE77:AE78"/>
    <mergeCell ref="AF54:AF55"/>
    <mergeCell ref="AE54:AE55"/>
    <mergeCell ref="AF77:AF78"/>
    <mergeCell ref="T77:T78"/>
    <mergeCell ref="T96:T97"/>
    <mergeCell ref="B32:B33"/>
    <mergeCell ref="Z32:Z33"/>
    <mergeCell ref="B96:B97"/>
    <mergeCell ref="T32:T33"/>
    <mergeCell ref="B54:B55"/>
    <mergeCell ref="B77:B78"/>
    <mergeCell ref="S32:S33"/>
    <mergeCell ref="S54:S55"/>
    <mergeCell ref="S77:S78"/>
    <mergeCell ref="S96:S97"/>
    <mergeCell ref="V32:V33"/>
    <mergeCell ref="L32:L33"/>
    <mergeCell ref="P32:P33"/>
    <mergeCell ref="P54:P55"/>
    <mergeCell ref="P77:P78"/>
    <mergeCell ref="P96:P97"/>
    <mergeCell ref="K54:K55"/>
    <mergeCell ref="K77:K78"/>
    <mergeCell ref="K96:K97"/>
    <mergeCell ref="L54:L55"/>
    <mergeCell ref="L77:L78"/>
    <mergeCell ref="L96:L97"/>
    <mergeCell ref="AA32:AA33"/>
    <mergeCell ref="AC32:AC33"/>
    <mergeCell ref="AB32:AB33"/>
    <mergeCell ref="Y32:Y33"/>
    <mergeCell ref="W32:W33"/>
    <mergeCell ref="I25:I26"/>
    <mergeCell ref="I32:I33"/>
    <mergeCell ref="X32:X33"/>
    <mergeCell ref="Y25:Y26"/>
    <mergeCell ref="Z25:Z26"/>
    <mergeCell ref="AA25:AA26"/>
    <mergeCell ref="AB25:AB26"/>
    <mergeCell ref="J25:J26"/>
    <mergeCell ref="J32:J33"/>
    <mergeCell ref="AC25:AC26"/>
    <mergeCell ref="S25:S26"/>
    <mergeCell ref="V25:V26"/>
    <mergeCell ref="U25:U26"/>
    <mergeCell ref="P25:P26"/>
    <mergeCell ref="T25:T26"/>
    <mergeCell ref="U54:U55"/>
    <mergeCell ref="B7:B8"/>
    <mergeCell ref="Z7:Z8"/>
    <mergeCell ref="AA7:AA8"/>
    <mergeCell ref="AB7:AB8"/>
    <mergeCell ref="Y7:Y8"/>
    <mergeCell ref="C7:C8"/>
    <mergeCell ref="D7:D8"/>
    <mergeCell ref="X7:X8"/>
    <mergeCell ref="W7:W8"/>
    <mergeCell ref="P7:P8"/>
    <mergeCell ref="I7:I8"/>
    <mergeCell ref="J7:J8"/>
    <mergeCell ref="S7:S8"/>
    <mergeCell ref="T7:T8"/>
    <mergeCell ref="V7:V8"/>
    <mergeCell ref="U7:U8"/>
    <mergeCell ref="H7:H8"/>
    <mergeCell ref="E7:E8"/>
    <mergeCell ref="B25:B26"/>
    <mergeCell ref="C25:C26"/>
    <mergeCell ref="G7:G8"/>
    <mergeCell ref="W25:W26"/>
    <mergeCell ref="X25:X26"/>
    <mergeCell ref="F7:F8"/>
    <mergeCell ref="F25:F26"/>
    <mergeCell ref="F32:F33"/>
    <mergeCell ref="F54:F55"/>
    <mergeCell ref="AK7:AK8"/>
    <mergeCell ref="AJ7:AJ8"/>
    <mergeCell ref="AI32:AI33"/>
    <mergeCell ref="AI7:AI8"/>
    <mergeCell ref="AK32:AK33"/>
    <mergeCell ref="AJ32:AJ33"/>
    <mergeCell ref="AH32:AH33"/>
    <mergeCell ref="AH7:AH8"/>
    <mergeCell ref="AE7:AE8"/>
    <mergeCell ref="AG7:AG8"/>
    <mergeCell ref="AF32:AF33"/>
    <mergeCell ref="AG32:AG33"/>
    <mergeCell ref="AE32:AE33"/>
    <mergeCell ref="AH25:AH26"/>
    <mergeCell ref="AI25:AI26"/>
    <mergeCell ref="AJ25:AJ26"/>
    <mergeCell ref="AK25:AK26"/>
    <mergeCell ref="AF7:AF8"/>
    <mergeCell ref="V54:V55"/>
    <mergeCell ref="U32:U33"/>
    <mergeCell ref="C5:D5"/>
    <mergeCell ref="C96:C97"/>
    <mergeCell ref="D96:D97"/>
    <mergeCell ref="C32:C33"/>
    <mergeCell ref="D32:D33"/>
    <mergeCell ref="C54:C55"/>
    <mergeCell ref="D54:D55"/>
    <mergeCell ref="C77:C78"/>
    <mergeCell ref="D77:D78"/>
    <mergeCell ref="D25:D26"/>
    <mergeCell ref="E25:E26"/>
    <mergeCell ref="E32:E33"/>
    <mergeCell ref="E54:E55"/>
    <mergeCell ref="E77:E78"/>
    <mergeCell ref="E96:E97"/>
    <mergeCell ref="F77:F78"/>
    <mergeCell ref="F96:F97"/>
    <mergeCell ref="H25:H26"/>
    <mergeCell ref="H32:H33"/>
    <mergeCell ref="H54:H55"/>
    <mergeCell ref="H77:H78"/>
    <mergeCell ref="H96:H97"/>
    <mergeCell ref="G25:G26"/>
    <mergeCell ref="G32:G33"/>
    <mergeCell ref="G54:G55"/>
    <mergeCell ref="G77:G78"/>
    <mergeCell ref="G96:G97"/>
  </mergeCells>
  <phoneticPr fontId="14" type="noConversion"/>
  <hyperlinks>
    <hyperlink ref="C5" location="Contents!A1" display="Contents!A1"/>
    <hyperlink ref="E5" location="'Key Financials'!A1" display="Key financial and operational results"/>
    <hyperlink ref="F5" location="'Assets and Liabili-s structure'!A1" display="Assets and Liabilities structure"/>
    <hyperlink ref="H5" location="'Customer Deposits'!A1" display="Customer deposits"/>
    <hyperlink ref="I5" location="Capital!A1" display="Capital"/>
    <hyperlink ref="J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5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BT60"/>
  <sheetViews>
    <sheetView showGridLines="0" zoomScale="70" zoomScaleNormal="70" workbookViewId="0">
      <pane ySplit="5" topLeftCell="A6" activePane="bottomLeft" state="frozen"/>
      <selection activeCell="F38" sqref="F38"/>
      <selection pane="bottomLeft"/>
    </sheetView>
  </sheetViews>
  <sheetFormatPr defaultColWidth="9.140625" defaultRowHeight="15" x14ac:dyDescent="0.25"/>
  <cols>
    <col min="1" max="1" width="5.7109375" style="1" customWidth="1"/>
    <col min="2" max="2" width="34.28515625" style="1" customWidth="1"/>
    <col min="3" max="5" width="8.7109375" style="1" customWidth="1"/>
    <col min="6" max="22" width="16.7109375" style="1" customWidth="1"/>
    <col min="23" max="23" width="15.7109375" style="1" customWidth="1"/>
    <col min="24" max="40" width="16.7109375" style="1" customWidth="1"/>
    <col min="41" max="42" width="16.5703125" style="1" customWidth="1"/>
    <col min="43" max="16384" width="9.140625" style="1"/>
  </cols>
  <sheetData>
    <row r="1" spans="1:72" x14ac:dyDescent="0.25">
      <c r="A1" s="74">
        <v>1</v>
      </c>
    </row>
    <row r="2" spans="1:72" x14ac:dyDescent="0.25">
      <c r="A2" s="74">
        <v>2</v>
      </c>
    </row>
    <row r="3" spans="1:72" x14ac:dyDescent="0.25">
      <c r="A3" s="74">
        <v>3</v>
      </c>
    </row>
    <row r="4" spans="1:72" x14ac:dyDescent="0.25">
      <c r="A4" s="74">
        <v>4</v>
      </c>
      <c r="C4" s="6"/>
      <c r="D4" s="6"/>
    </row>
    <row r="5" spans="1:72" ht="51" customHeight="1" thickBot="1" x14ac:dyDescent="0.3">
      <c r="A5" s="74">
        <v>5</v>
      </c>
      <c r="B5" s="123" t="s">
        <v>1</v>
      </c>
      <c r="C5" s="490" t="s">
        <v>3</v>
      </c>
      <c r="D5" s="490"/>
      <c r="E5" s="490"/>
      <c r="F5" s="7" t="s">
        <v>0</v>
      </c>
      <c r="G5" s="47" t="s">
        <v>157</v>
      </c>
      <c r="H5" s="47" t="s">
        <v>177</v>
      </c>
      <c r="I5" s="120" t="s">
        <v>1</v>
      </c>
      <c r="J5" s="121" t="s">
        <v>2</v>
      </c>
      <c r="K5" s="60" t="s">
        <v>194</v>
      </c>
    </row>
    <row r="6" spans="1:72" ht="15.75" thickTop="1" x14ac:dyDescent="0.25">
      <c r="A6" s="74">
        <v>6</v>
      </c>
      <c r="B6" s="61"/>
    </row>
    <row r="7" spans="1:72" ht="15.75" customHeight="1" x14ac:dyDescent="0.25">
      <c r="A7" s="74">
        <v>7</v>
      </c>
      <c r="B7" s="453" t="s">
        <v>160</v>
      </c>
      <c r="C7" s="470" t="s">
        <v>201</v>
      </c>
      <c r="D7" s="472" t="s">
        <v>202</v>
      </c>
      <c r="E7" s="468" t="s">
        <v>297</v>
      </c>
      <c r="F7" s="479">
        <v>46203</v>
      </c>
      <c r="G7" s="479">
        <v>46112</v>
      </c>
      <c r="H7" s="446">
        <v>46022</v>
      </c>
      <c r="I7" s="446">
        <v>45930</v>
      </c>
      <c r="J7" s="446">
        <v>45838</v>
      </c>
      <c r="K7" s="446">
        <v>45747</v>
      </c>
      <c r="L7" s="446">
        <v>45657</v>
      </c>
      <c r="M7" s="446">
        <v>45565</v>
      </c>
      <c r="N7" s="446">
        <v>45473</v>
      </c>
      <c r="O7" s="446">
        <v>45382</v>
      </c>
      <c r="P7" s="446">
        <v>45291</v>
      </c>
      <c r="Q7" s="446">
        <v>45199</v>
      </c>
      <c r="R7" s="446">
        <v>45107</v>
      </c>
      <c r="S7" s="446">
        <v>45016</v>
      </c>
      <c r="T7" s="446">
        <v>44926</v>
      </c>
      <c r="U7" s="446">
        <v>44834</v>
      </c>
      <c r="V7" s="446">
        <v>44742</v>
      </c>
      <c r="W7" s="446">
        <v>44651</v>
      </c>
      <c r="X7" s="446">
        <v>44561</v>
      </c>
      <c r="Y7" s="446">
        <v>44469</v>
      </c>
      <c r="Z7" s="446">
        <v>44377</v>
      </c>
      <c r="AA7" s="446">
        <v>44286</v>
      </c>
      <c r="AB7" s="446">
        <v>44196</v>
      </c>
      <c r="AC7" s="446">
        <v>44104</v>
      </c>
      <c r="AD7" s="446">
        <v>44012</v>
      </c>
      <c r="AE7" s="446">
        <v>43921</v>
      </c>
      <c r="AF7" s="446">
        <v>43830</v>
      </c>
      <c r="AG7" s="446">
        <v>43738</v>
      </c>
      <c r="AH7" s="446">
        <v>43646</v>
      </c>
      <c r="AI7" s="446">
        <v>43555</v>
      </c>
      <c r="AJ7" s="446">
        <v>43465</v>
      </c>
      <c r="AK7" s="446">
        <v>43373</v>
      </c>
      <c r="AL7" s="446">
        <v>43281</v>
      </c>
      <c r="AM7" s="446">
        <v>43190</v>
      </c>
      <c r="AN7" s="446">
        <v>43100</v>
      </c>
      <c r="AO7" s="446">
        <v>43008</v>
      </c>
      <c r="AP7" s="446">
        <v>42916</v>
      </c>
      <c r="AQ7" s="446">
        <v>42825</v>
      </c>
      <c r="AR7" s="446">
        <v>42735</v>
      </c>
      <c r="AS7" s="446">
        <v>42643</v>
      </c>
      <c r="AT7" s="446">
        <v>42551</v>
      </c>
      <c r="AU7" s="446">
        <v>42460</v>
      </c>
      <c r="AV7" s="446">
        <v>42369</v>
      </c>
      <c r="AW7" s="446">
        <v>42277</v>
      </c>
      <c r="AX7" s="446">
        <v>42185</v>
      </c>
      <c r="AY7" s="446">
        <v>42094</v>
      </c>
      <c r="AZ7" s="446">
        <v>42004</v>
      </c>
      <c r="BA7" s="446">
        <v>41912</v>
      </c>
      <c r="BB7" s="446">
        <v>41820</v>
      </c>
      <c r="BC7" s="446">
        <v>41729</v>
      </c>
      <c r="BD7" s="446">
        <v>41639</v>
      </c>
      <c r="BE7" s="446">
        <v>41547</v>
      </c>
      <c r="BF7" s="446">
        <v>41455</v>
      </c>
      <c r="BG7" s="446">
        <v>41364</v>
      </c>
      <c r="BH7" s="446">
        <v>41274</v>
      </c>
      <c r="BI7" s="446">
        <v>41182</v>
      </c>
      <c r="BJ7" s="446">
        <v>41090</v>
      </c>
      <c r="BK7" s="446">
        <v>40999</v>
      </c>
      <c r="BL7" s="446">
        <v>40908</v>
      </c>
      <c r="BM7" s="446">
        <v>40816</v>
      </c>
      <c r="BN7" s="446">
        <v>40724</v>
      </c>
      <c r="BO7" s="446">
        <v>40633</v>
      </c>
      <c r="BP7" s="446">
        <v>40543</v>
      </c>
      <c r="BQ7" s="446">
        <v>40451</v>
      </c>
      <c r="BR7" s="446">
        <v>40359</v>
      </c>
      <c r="BS7" s="446">
        <v>40268</v>
      </c>
      <c r="BT7" s="446">
        <v>40178</v>
      </c>
    </row>
    <row r="8" spans="1:72" x14ac:dyDescent="0.25">
      <c r="A8" s="74">
        <v>8</v>
      </c>
      <c r="B8" s="454"/>
      <c r="C8" s="471"/>
      <c r="D8" s="487"/>
      <c r="E8" s="478"/>
      <c r="F8" s="493"/>
      <c r="G8" s="493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8"/>
      <c r="AD8" s="448"/>
      <c r="AE8" s="448"/>
      <c r="AF8" s="447"/>
      <c r="AG8" s="447"/>
      <c r="AH8" s="447"/>
      <c r="AI8" s="447"/>
      <c r="AJ8" s="447"/>
      <c r="AK8" s="447"/>
      <c r="AL8" s="447"/>
      <c r="AM8" s="447"/>
      <c r="AN8" s="447"/>
      <c r="AO8" s="447"/>
      <c r="AP8" s="447"/>
      <c r="AQ8" s="447"/>
      <c r="AR8" s="447"/>
      <c r="AS8" s="447"/>
      <c r="AT8" s="447"/>
      <c r="AU8" s="447"/>
      <c r="AV8" s="447"/>
      <c r="AW8" s="447"/>
      <c r="AX8" s="447"/>
      <c r="AY8" s="447"/>
      <c r="AZ8" s="447"/>
      <c r="BA8" s="448"/>
      <c r="BB8" s="447"/>
      <c r="BC8" s="447"/>
      <c r="BD8" s="447"/>
      <c r="BE8" s="447"/>
      <c r="BF8" s="447"/>
      <c r="BG8" s="447"/>
      <c r="BH8" s="447"/>
      <c r="BI8" s="447"/>
      <c r="BJ8" s="447"/>
      <c r="BK8" s="447"/>
      <c r="BL8" s="447"/>
      <c r="BM8" s="447"/>
      <c r="BN8" s="447"/>
      <c r="BO8" s="447"/>
      <c r="BP8" s="447"/>
      <c r="BQ8" s="447"/>
      <c r="BR8" s="447"/>
      <c r="BS8" s="447"/>
      <c r="BT8" s="447"/>
    </row>
    <row r="9" spans="1:72" ht="9.75" customHeight="1" x14ac:dyDescent="0.25">
      <c r="A9" s="74">
        <v>9</v>
      </c>
      <c r="B9" s="8" t="s">
        <v>8</v>
      </c>
      <c r="C9" s="89"/>
      <c r="D9" s="57"/>
      <c r="E9" s="90"/>
      <c r="F9" s="303"/>
      <c r="G9" s="303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8"/>
    </row>
    <row r="10" spans="1:72" ht="15" customHeight="1" x14ac:dyDescent="0.25">
      <c r="A10" s="74">
        <v>10</v>
      </c>
      <c r="B10" s="17" t="s">
        <v>51</v>
      </c>
      <c r="C10" s="91"/>
      <c r="D10" s="124"/>
      <c r="E10" s="92"/>
      <c r="F10" s="310"/>
      <c r="G10" s="310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310"/>
      <c r="AD10" s="310"/>
      <c r="AE10" s="310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7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</row>
    <row r="11" spans="1:72" ht="15" customHeight="1" x14ac:dyDescent="0.25">
      <c r="A11" s="74">
        <v>11</v>
      </c>
      <c r="B11" s="14" t="s">
        <v>52</v>
      </c>
      <c r="C11" s="152"/>
      <c r="D11" s="88"/>
      <c r="E11" s="94"/>
      <c r="F11" s="270">
        <v>100</v>
      </c>
      <c r="G11" s="270">
        <v>116.366</v>
      </c>
      <c r="H11" s="270">
        <v>0</v>
      </c>
      <c r="I11" s="270">
        <v>79</v>
      </c>
      <c r="J11" s="270">
        <v>75</v>
      </c>
      <c r="K11" s="270">
        <v>50</v>
      </c>
      <c r="L11" s="270">
        <v>0</v>
      </c>
      <c r="M11" s="270">
        <v>92</v>
      </c>
      <c r="N11" s="270">
        <v>43</v>
      </c>
      <c r="O11" s="270">
        <v>79</v>
      </c>
      <c r="P11" s="270">
        <v>0</v>
      </c>
      <c r="Q11" s="270">
        <v>66</v>
      </c>
      <c r="R11" s="270">
        <v>61</v>
      </c>
      <c r="S11" s="270">
        <v>66</v>
      </c>
      <c r="T11" s="270">
        <v>1</v>
      </c>
      <c r="U11" s="400"/>
      <c r="V11" s="400"/>
      <c r="W11" s="400"/>
      <c r="X11" s="270">
        <v>45</v>
      </c>
      <c r="Y11" s="270">
        <v>13.375999999999999</v>
      </c>
      <c r="Z11" s="270">
        <v>14.013999999999999</v>
      </c>
      <c r="AA11" s="270">
        <v>15.547000000000001</v>
      </c>
      <c r="AB11" s="270">
        <v>0.85399999999999998</v>
      </c>
      <c r="AC11" s="270">
        <v>22.318000000000001</v>
      </c>
      <c r="AD11" s="270">
        <v>14.746</v>
      </c>
      <c r="AE11" s="270">
        <v>9.5890000000000004</v>
      </c>
      <c r="AF11" s="22">
        <v>32.009</v>
      </c>
      <c r="AG11" s="22">
        <v>20.254000000000001</v>
      </c>
      <c r="AH11" s="22">
        <v>31.766999999999999</v>
      </c>
      <c r="AI11" s="22">
        <v>22.274999999999999</v>
      </c>
      <c r="AJ11" s="22">
        <v>1.4999999999999999E-2</v>
      </c>
      <c r="AK11" s="22">
        <v>18.437999999999999</v>
      </c>
      <c r="AL11" s="22">
        <v>18.263999999999999</v>
      </c>
      <c r="AM11" s="22">
        <v>33.514000000000003</v>
      </c>
      <c r="AN11" s="22">
        <v>0.17100000000000001</v>
      </c>
      <c r="AO11" s="22">
        <v>14.135</v>
      </c>
      <c r="AP11" s="22">
        <v>19.994</v>
      </c>
      <c r="AQ11" s="11">
        <v>21.468</v>
      </c>
      <c r="AR11" s="22">
        <v>8.3719999999999999</v>
      </c>
      <c r="AS11" s="11">
        <v>102.113</v>
      </c>
      <c r="AT11" s="11">
        <v>164.55699999999999</v>
      </c>
      <c r="AU11" s="11">
        <v>120.568</v>
      </c>
      <c r="AV11" s="11">
        <v>119.06399999999999</v>
      </c>
      <c r="AW11" s="11">
        <v>351.84199999999998</v>
      </c>
      <c r="AX11" s="11">
        <v>349.61200000000002</v>
      </c>
      <c r="AY11" s="11">
        <v>506.346</v>
      </c>
      <c r="AZ11" s="11">
        <v>635.96699999999998</v>
      </c>
      <c r="BA11" s="11">
        <v>974.16200000000003</v>
      </c>
      <c r="BB11" s="11">
        <v>1466.5650000000001</v>
      </c>
      <c r="BC11" s="11">
        <v>1002.525</v>
      </c>
      <c r="BD11" s="11">
        <v>905.60400000000004</v>
      </c>
      <c r="BE11" s="11">
        <v>1054.7070000000001</v>
      </c>
      <c r="BF11" s="11">
        <v>1003.813</v>
      </c>
      <c r="BG11" s="11">
        <v>1049.325</v>
      </c>
      <c r="BH11" s="11">
        <v>835.46199999999999</v>
      </c>
      <c r="BI11" s="11">
        <v>918.44399999999996</v>
      </c>
      <c r="BJ11" s="11">
        <v>843.59900000000005</v>
      </c>
      <c r="BK11" s="11">
        <v>799.94299999999998</v>
      </c>
      <c r="BL11" s="11">
        <v>674.61500000000001</v>
      </c>
      <c r="BM11" s="11">
        <v>807.85</v>
      </c>
      <c r="BN11" s="11">
        <v>775.27200000000005</v>
      </c>
      <c r="BO11" s="11">
        <v>747.38699999999994</v>
      </c>
      <c r="BP11" s="11">
        <v>1698.396</v>
      </c>
      <c r="BQ11" s="11">
        <v>1277.4639999999999</v>
      </c>
      <c r="BR11" s="11">
        <v>1806.8979999999999</v>
      </c>
      <c r="BS11" s="11">
        <v>1425.4929999999999</v>
      </c>
      <c r="BT11" s="11">
        <v>1133.7190000000001</v>
      </c>
    </row>
    <row r="12" spans="1:72" ht="15" customHeight="1" x14ac:dyDescent="0.25">
      <c r="A12" s="74">
        <v>12</v>
      </c>
      <c r="B12" s="14" t="s">
        <v>53</v>
      </c>
      <c r="C12" s="152"/>
      <c r="D12" s="88"/>
      <c r="E12" s="94"/>
      <c r="F12" s="270">
        <v>0</v>
      </c>
      <c r="G12" s="270">
        <v>0</v>
      </c>
      <c r="H12" s="270">
        <v>0</v>
      </c>
      <c r="I12" s="270">
        <v>0</v>
      </c>
      <c r="J12" s="270">
        <v>0</v>
      </c>
      <c r="K12" s="270">
        <v>0</v>
      </c>
      <c r="L12" s="270">
        <v>16520</v>
      </c>
      <c r="M12" s="270">
        <v>3119</v>
      </c>
      <c r="N12" s="270"/>
      <c r="O12" s="270"/>
      <c r="P12" s="270"/>
      <c r="Q12" s="270"/>
      <c r="R12" s="270"/>
      <c r="S12" s="270"/>
      <c r="T12" s="270"/>
      <c r="U12" s="400"/>
      <c r="V12" s="400"/>
      <c r="W12" s="400"/>
      <c r="X12" s="270"/>
      <c r="Y12" s="270"/>
      <c r="Z12" s="270"/>
      <c r="AA12" s="270"/>
      <c r="AB12" s="270"/>
      <c r="AC12" s="270"/>
      <c r="AD12" s="270"/>
      <c r="AE12" s="270">
        <v>7773.59</v>
      </c>
      <c r="AF12" s="22"/>
      <c r="AG12" s="22">
        <v>8024.3689999999997</v>
      </c>
      <c r="AH12" s="22"/>
      <c r="AI12" s="22">
        <v>3001.7139999999999</v>
      </c>
      <c r="AJ12" s="22"/>
      <c r="AK12" s="22"/>
      <c r="AL12" s="22">
        <v>7083.0360000000001</v>
      </c>
      <c r="AM12" s="22">
        <v>7020.7030000000004</v>
      </c>
      <c r="AN12" s="22"/>
      <c r="AO12" s="22">
        <v>3072.8739999999998</v>
      </c>
      <c r="AP12" s="22">
        <v>40.423999999999999</v>
      </c>
      <c r="AQ12" s="11">
        <v>4000.252</v>
      </c>
      <c r="AR12" s="22"/>
      <c r="AS12" s="11"/>
      <c r="AT12" s="11">
        <v>3900</v>
      </c>
      <c r="AU12" s="11"/>
      <c r="AV12" s="11"/>
      <c r="AW12" s="11">
        <v>6556.9059999999999</v>
      </c>
      <c r="AX12" s="11">
        <v>4714.0119999999997</v>
      </c>
      <c r="AY12" s="11">
        <v>3.6259999999999999</v>
      </c>
      <c r="AZ12" s="11">
        <v>200.11</v>
      </c>
      <c r="BA12" s="11">
        <v>1104.193</v>
      </c>
      <c r="BB12" s="11">
        <v>1003.354</v>
      </c>
      <c r="BC12" s="11">
        <v>5.1999999999999998E-2</v>
      </c>
      <c r="BD12" s="11">
        <v>5.7000000000000002E-2</v>
      </c>
      <c r="BE12" s="11">
        <v>4428.0730000000003</v>
      </c>
      <c r="BF12" s="11">
        <v>5219.799</v>
      </c>
      <c r="BG12" s="11">
        <v>3529.4270000000001</v>
      </c>
      <c r="BH12" s="11"/>
      <c r="BI12" s="11">
        <v>7263.8779999999997</v>
      </c>
      <c r="BJ12" s="11">
        <v>5308.6170000000002</v>
      </c>
      <c r="BK12" s="11">
        <v>5004.8029999999999</v>
      </c>
      <c r="BL12" s="11">
        <v>5092.5839999999998</v>
      </c>
      <c r="BM12" s="11">
        <v>10454.529</v>
      </c>
      <c r="BN12" s="11">
        <v>11542.46</v>
      </c>
      <c r="BO12" s="11">
        <v>10614.966</v>
      </c>
      <c r="BP12" s="11">
        <v>0</v>
      </c>
      <c r="BQ12" s="11">
        <v>4420.6989999999996</v>
      </c>
      <c r="BR12" s="11">
        <v>2906.8319999999999</v>
      </c>
      <c r="BS12" s="11">
        <v>4025.2060000000001</v>
      </c>
      <c r="BT12" s="11">
        <v>3013.377</v>
      </c>
    </row>
    <row r="13" spans="1:72" ht="15" customHeight="1" x14ac:dyDescent="0.25">
      <c r="A13" s="74">
        <v>13</v>
      </c>
      <c r="B13" s="17" t="s">
        <v>54</v>
      </c>
      <c r="C13" s="152"/>
      <c r="D13" s="88"/>
      <c r="E13" s="94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400"/>
      <c r="V13" s="400"/>
      <c r="W13" s="400"/>
      <c r="X13" s="270"/>
      <c r="Y13" s="270"/>
      <c r="Z13" s="270"/>
      <c r="AA13" s="270"/>
      <c r="AB13" s="270"/>
      <c r="AC13" s="270"/>
      <c r="AD13" s="270"/>
      <c r="AE13" s="270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11"/>
      <c r="AR13" s="22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</row>
    <row r="14" spans="1:72" ht="15" customHeight="1" x14ac:dyDescent="0.25">
      <c r="A14" s="74">
        <v>14</v>
      </c>
      <c r="B14" s="14" t="s">
        <v>52</v>
      </c>
      <c r="C14" s="93">
        <f ca="1">OFFSET($E$7,$A14-$A$7,1,1,1)/OFFSET($E$7,$A14-$A$7,2,1,1)-1</f>
        <v>6.1939312683609637E-2</v>
      </c>
      <c r="D14" s="88">
        <f ca="1">OFFSET($E$7,$A14-$A$7,1,1,1)/OFFSET($E$7,$A14-$A$7,5,1,1)-1</f>
        <v>-0.13976665628518725</v>
      </c>
      <c r="E14" s="94">
        <f ca="1">OFFSET($E$7,$A14-$A$7,1,1,1)/OFFSET($E$7,$A14-$A$7,IF(MONTH(MAX($7:$7))=3,2,IF(MONTH(MAX($7:$7))=6,3,IF(MONTH(MAX($7:$7))=9,4,5)))*1,1)-1</f>
        <v>-3.0633398733942441E-3</v>
      </c>
      <c r="F14" s="270">
        <v>107721</v>
      </c>
      <c r="G14" s="270">
        <v>101438</v>
      </c>
      <c r="H14" s="270">
        <v>108052</v>
      </c>
      <c r="I14" s="270">
        <v>115793</v>
      </c>
      <c r="J14" s="270">
        <v>125223</v>
      </c>
      <c r="K14" s="270">
        <v>123302</v>
      </c>
      <c r="L14" s="270">
        <v>90708</v>
      </c>
      <c r="M14" s="270">
        <v>132420</v>
      </c>
      <c r="N14" s="270">
        <v>139385</v>
      </c>
      <c r="O14" s="270">
        <v>129029</v>
      </c>
      <c r="P14" s="270">
        <v>123448</v>
      </c>
      <c r="Q14" s="270">
        <v>145768</v>
      </c>
      <c r="R14" s="270">
        <v>149196</v>
      </c>
      <c r="S14" s="270">
        <v>167236</v>
      </c>
      <c r="T14" s="270">
        <v>177365</v>
      </c>
      <c r="U14" s="400"/>
      <c r="V14" s="400"/>
      <c r="W14" s="400"/>
      <c r="X14" s="270">
        <v>100721</v>
      </c>
      <c r="Y14" s="270">
        <v>126352.815</v>
      </c>
      <c r="Z14" s="270">
        <v>127603.166</v>
      </c>
      <c r="AA14" s="270">
        <v>127261.041</v>
      </c>
      <c r="AB14" s="270">
        <v>97030.951000000001</v>
      </c>
      <c r="AC14" s="270">
        <v>131141.26800000001</v>
      </c>
      <c r="AD14" s="270">
        <v>91617.26</v>
      </c>
      <c r="AE14" s="270">
        <v>89810.535000000003</v>
      </c>
      <c r="AF14" s="22">
        <v>72545.081999999995</v>
      </c>
      <c r="AG14" s="22">
        <v>90924.150999999998</v>
      </c>
      <c r="AH14" s="22">
        <v>73912.888999999996</v>
      </c>
      <c r="AI14" s="22">
        <v>72764.032999999996</v>
      </c>
      <c r="AJ14" s="22">
        <v>61527.231</v>
      </c>
      <c r="AK14" s="22">
        <v>72264.08</v>
      </c>
      <c r="AL14" s="22">
        <v>64718.955999999998</v>
      </c>
      <c r="AM14" s="22">
        <v>59377.396000000001</v>
      </c>
      <c r="AN14" s="22">
        <v>56902.163999999997</v>
      </c>
      <c r="AO14" s="22">
        <v>63563.353999999999</v>
      </c>
      <c r="AP14" s="22">
        <v>59490.43</v>
      </c>
      <c r="AQ14" s="11">
        <v>63544.88</v>
      </c>
      <c r="AR14" s="22">
        <v>58527.163</v>
      </c>
      <c r="AS14" s="127">
        <v>63681.203999999998</v>
      </c>
      <c r="AT14" s="127">
        <v>65364.298999999999</v>
      </c>
      <c r="AU14" s="127">
        <v>63488.341999999997</v>
      </c>
      <c r="AV14" s="11">
        <v>57858.300999999999</v>
      </c>
      <c r="AW14" s="11">
        <v>61170.622000000003</v>
      </c>
      <c r="AX14" s="11">
        <v>59647.292000000001</v>
      </c>
      <c r="AY14" s="11">
        <v>73891.664999999994</v>
      </c>
      <c r="AZ14" s="11">
        <v>69137.524000000005</v>
      </c>
      <c r="BA14" s="11">
        <v>66845.172000000006</v>
      </c>
      <c r="BB14" s="11">
        <v>62201.724000000002</v>
      </c>
      <c r="BC14" s="11">
        <v>68112.289000000004</v>
      </c>
      <c r="BD14" s="11">
        <v>54979.453000000001</v>
      </c>
      <c r="BE14" s="11">
        <v>60785.298000000003</v>
      </c>
      <c r="BF14" s="11">
        <v>52091.777999999998</v>
      </c>
      <c r="BG14" s="11">
        <v>50172.014000000003</v>
      </c>
      <c r="BH14" s="11">
        <v>51466.052000000003</v>
      </c>
      <c r="BI14" s="11">
        <v>48040.93</v>
      </c>
      <c r="BJ14" s="11">
        <v>49325.173000000003</v>
      </c>
      <c r="BK14" s="11">
        <v>52728.923000000003</v>
      </c>
      <c r="BL14" s="11">
        <v>52355.915999999997</v>
      </c>
      <c r="BM14" s="11">
        <v>51022.650999999998</v>
      </c>
      <c r="BN14" s="11">
        <v>45525.597000000002</v>
      </c>
      <c r="BO14" s="11">
        <v>41995.082000000002</v>
      </c>
      <c r="BP14" s="11">
        <v>43019.597000000002</v>
      </c>
      <c r="BQ14" s="11">
        <v>37820.428999999996</v>
      </c>
      <c r="BR14" s="11">
        <v>39204.428</v>
      </c>
      <c r="BS14" s="11">
        <v>32695.195</v>
      </c>
      <c r="BT14" s="11">
        <v>34111.267</v>
      </c>
    </row>
    <row r="15" spans="1:72" ht="15" customHeight="1" x14ac:dyDescent="0.25">
      <c r="A15" s="74">
        <v>15</v>
      </c>
      <c r="B15" s="14" t="s">
        <v>53</v>
      </c>
      <c r="C15" s="152">
        <f ca="1">OFFSET($E$7,$A15-$A$7,1,1,1)/OFFSET($E$7,$A15-$A$7,2,1,1)-1</f>
        <v>-0.10124366370846205</v>
      </c>
      <c r="D15" s="88">
        <f ca="1">OFFSET($E$7,$A15-$A$7,1,1,1)/OFFSET($E$7,$A15-$A$7,5,1,1)-1</f>
        <v>0.6723647127136767</v>
      </c>
      <c r="E15" s="94">
        <f ca="1">OFFSET($E$7,$A15-$A$7,1,1,1)/OFFSET($E$7,$A15-$A$7,IF(MONTH(MAX($7:$7))=3,2,IF(MONTH(MAX($7:$7))=6,3,IF(MONTH(MAX($7:$7))=9,4,5)))*1,1)-1</f>
        <v>-7.0493822787400795E-2</v>
      </c>
      <c r="F15" s="270">
        <v>236168</v>
      </c>
      <c r="G15" s="270">
        <v>262772</v>
      </c>
      <c r="H15" s="270">
        <v>254079</v>
      </c>
      <c r="I15" s="270">
        <v>244080</v>
      </c>
      <c r="J15" s="270">
        <v>141218</v>
      </c>
      <c r="K15" s="270">
        <v>135939</v>
      </c>
      <c r="L15" s="270">
        <v>167446</v>
      </c>
      <c r="M15" s="270">
        <v>104474</v>
      </c>
      <c r="N15" s="270">
        <v>116616</v>
      </c>
      <c r="O15" s="270">
        <v>114271</v>
      </c>
      <c r="P15" s="270">
        <v>127410</v>
      </c>
      <c r="Q15" s="270">
        <v>95423</v>
      </c>
      <c r="R15" s="270">
        <v>82882</v>
      </c>
      <c r="S15" s="270">
        <v>85457</v>
      </c>
      <c r="T15" s="270">
        <v>135608</v>
      </c>
      <c r="U15" s="400"/>
      <c r="V15" s="400"/>
      <c r="W15" s="400"/>
      <c r="X15" s="270">
        <v>103489</v>
      </c>
      <c r="Y15" s="270">
        <v>76935.808999999994</v>
      </c>
      <c r="Z15" s="270">
        <v>87553.476999999999</v>
      </c>
      <c r="AA15" s="270">
        <v>86644.31</v>
      </c>
      <c r="AB15" s="270">
        <v>97861.247000000003</v>
      </c>
      <c r="AC15" s="270">
        <v>68654.418000000005</v>
      </c>
      <c r="AD15" s="270">
        <v>81626.240999999995</v>
      </c>
      <c r="AE15" s="270">
        <v>72322.62</v>
      </c>
      <c r="AF15" s="22">
        <v>88798.834000000003</v>
      </c>
      <c r="AG15" s="22">
        <v>68208.578999999998</v>
      </c>
      <c r="AH15" s="22">
        <v>70930.660999999993</v>
      </c>
      <c r="AI15" s="22">
        <v>68900.013000000006</v>
      </c>
      <c r="AJ15" s="22">
        <v>86818.615000000005</v>
      </c>
      <c r="AK15" s="22">
        <v>61869.491000000002</v>
      </c>
      <c r="AL15" s="22">
        <v>67200.016000000003</v>
      </c>
      <c r="AM15" s="22">
        <v>73843.955000000002</v>
      </c>
      <c r="AN15" s="22">
        <v>90482.623000000007</v>
      </c>
      <c r="AO15" s="22">
        <v>69642.671000000002</v>
      </c>
      <c r="AP15" s="22">
        <v>57558.194000000003</v>
      </c>
      <c r="AQ15" s="11">
        <v>67078.171000000002</v>
      </c>
      <c r="AR15" s="22">
        <v>87481.282999999996</v>
      </c>
      <c r="AS15" s="127">
        <v>63660.47</v>
      </c>
      <c r="AT15" s="127">
        <v>74578.91</v>
      </c>
      <c r="AU15" s="127">
        <v>65780.184999999998</v>
      </c>
      <c r="AV15" s="11">
        <v>79487.385999999999</v>
      </c>
      <c r="AW15" s="11">
        <v>72959.388000000006</v>
      </c>
      <c r="AX15" s="11">
        <v>73759.767999999996</v>
      </c>
      <c r="AY15" s="11">
        <v>72432.993000000002</v>
      </c>
      <c r="AZ15" s="11">
        <v>82499.771999999997</v>
      </c>
      <c r="BA15" s="11">
        <v>61178.837</v>
      </c>
      <c r="BB15" s="11">
        <v>59665.809000000001</v>
      </c>
      <c r="BC15" s="11">
        <v>61102.764999999999</v>
      </c>
      <c r="BD15" s="11">
        <v>71936.160000000003</v>
      </c>
      <c r="BE15" s="11">
        <v>64501.858999999997</v>
      </c>
      <c r="BF15" s="11">
        <v>66611.452999999994</v>
      </c>
      <c r="BG15" s="11">
        <v>72472.758000000002</v>
      </c>
      <c r="BH15" s="11">
        <v>68966.816999999995</v>
      </c>
      <c r="BI15" s="11">
        <v>65992.775999999998</v>
      </c>
      <c r="BJ15" s="11">
        <v>65510.86</v>
      </c>
      <c r="BK15" s="11">
        <v>68407.464000000007</v>
      </c>
      <c r="BL15" s="11">
        <v>81179.316999999995</v>
      </c>
      <c r="BM15" s="11">
        <v>65020.305999999997</v>
      </c>
      <c r="BN15" s="11">
        <v>68164.565000000002</v>
      </c>
      <c r="BO15" s="11">
        <v>62352.402000000002</v>
      </c>
      <c r="BP15" s="11">
        <v>74237.327999999994</v>
      </c>
      <c r="BQ15" s="11">
        <v>57063.029000000002</v>
      </c>
      <c r="BR15" s="11">
        <v>53517.569000000003</v>
      </c>
      <c r="BS15" s="11">
        <v>65782.684999999998</v>
      </c>
      <c r="BT15" s="11">
        <v>75896.998000000007</v>
      </c>
    </row>
    <row r="16" spans="1:72" ht="15" customHeight="1" x14ac:dyDescent="0.25">
      <c r="A16" s="74">
        <v>16</v>
      </c>
      <c r="B16" s="14" t="s">
        <v>55</v>
      </c>
      <c r="C16" s="152"/>
      <c r="D16" s="88"/>
      <c r="E16" s="94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400"/>
      <c r="V16" s="400"/>
      <c r="W16" s="400"/>
      <c r="X16" s="270"/>
      <c r="Y16" s="270"/>
      <c r="Z16" s="270"/>
      <c r="AA16" s="270">
        <v>201.15299999999999</v>
      </c>
      <c r="AB16" s="270"/>
      <c r="AC16" s="270">
        <v>10.108000000000001</v>
      </c>
      <c r="AD16" s="270"/>
      <c r="AE16" s="270"/>
      <c r="AF16" s="22"/>
      <c r="AG16" s="22"/>
      <c r="AH16" s="22"/>
      <c r="AI16" s="22">
        <v>10544.603999999999</v>
      </c>
      <c r="AJ16" s="22">
        <v>9345.9689999999991</v>
      </c>
      <c r="AK16" s="22">
        <v>13194.06</v>
      </c>
      <c r="AL16" s="22"/>
      <c r="AM16" s="22"/>
      <c r="AN16" s="22"/>
      <c r="AO16" s="22"/>
      <c r="AP16" s="22">
        <v>9.8610000000000007</v>
      </c>
      <c r="AQ16" s="11">
        <v>2101.5970000000002</v>
      </c>
      <c r="AR16" s="22">
        <v>16508.702000000001</v>
      </c>
      <c r="AS16" s="127"/>
      <c r="AT16" s="127"/>
      <c r="AU16" s="127"/>
      <c r="AV16" s="11">
        <v>51.790999999999997</v>
      </c>
      <c r="AW16" s="11"/>
      <c r="AX16" s="11">
        <v>21.623999999999999</v>
      </c>
      <c r="AY16" s="11">
        <v>132.86099999999999</v>
      </c>
      <c r="AZ16" s="11"/>
      <c r="BA16" s="11">
        <v>444.46899999999999</v>
      </c>
      <c r="BB16" s="11">
        <v>421.12299999999999</v>
      </c>
      <c r="BC16" s="11">
        <v>869.53</v>
      </c>
      <c r="BD16" s="11">
        <v>1.8839999999999999</v>
      </c>
      <c r="BE16" s="11">
        <v>1783.4880000000001</v>
      </c>
      <c r="BF16" s="11">
        <v>144.91499999999999</v>
      </c>
      <c r="BG16" s="11"/>
      <c r="BH16" s="11">
        <v>308.25900000000001</v>
      </c>
      <c r="BI16" s="11">
        <v>8.9999999999999993E-3</v>
      </c>
      <c r="BJ16" s="11">
        <v>51.704000000000001</v>
      </c>
      <c r="BK16" s="11">
        <v>924.16700000000003</v>
      </c>
      <c r="BL16" s="11">
        <v>8.4990000000000006</v>
      </c>
      <c r="BM16" s="11">
        <v>1212.0930000000001</v>
      </c>
      <c r="BN16" s="11">
        <v>1324.855</v>
      </c>
      <c r="BO16" s="11">
        <v>1103.146</v>
      </c>
      <c r="BP16" s="11">
        <v>426.73500000000001</v>
      </c>
      <c r="BQ16" s="11">
        <v>2480.3580000000002</v>
      </c>
      <c r="BR16" s="11">
        <v>2893.7429999999999</v>
      </c>
      <c r="BS16" s="11">
        <v>1046.932</v>
      </c>
      <c r="BT16" s="11">
        <v>1104.665</v>
      </c>
    </row>
    <row r="17" spans="1:72" ht="15" customHeight="1" x14ac:dyDescent="0.25">
      <c r="A17" s="74">
        <v>17</v>
      </c>
      <c r="B17" s="17" t="s">
        <v>56</v>
      </c>
      <c r="C17" s="152"/>
      <c r="D17" s="88"/>
      <c r="E17" s="94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400"/>
      <c r="V17" s="400"/>
      <c r="W17" s="400"/>
      <c r="X17" s="270"/>
      <c r="Y17" s="270"/>
      <c r="Z17" s="270"/>
      <c r="AA17" s="270"/>
      <c r="AB17" s="270"/>
      <c r="AC17" s="270"/>
      <c r="AD17" s="270"/>
      <c r="AE17" s="270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11"/>
      <c r="AR17" s="22"/>
      <c r="AS17" s="127"/>
      <c r="AT17" s="127"/>
      <c r="AU17" s="127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</row>
    <row r="18" spans="1:72" ht="15" customHeight="1" x14ac:dyDescent="0.25">
      <c r="A18" s="74">
        <v>18</v>
      </c>
      <c r="B18" s="14" t="s">
        <v>225</v>
      </c>
      <c r="C18" s="152">
        <f ca="1">OFFSET($E$7,$A18-$A$7,1,1,1)/OFFSET($E$7,$A18-$A$7,2,1,1)-1</f>
        <v>0.12668055893459695</v>
      </c>
      <c r="D18" s="88">
        <f ca="1">OFFSET($E$7,$A18-$A$7,1,1,1)/OFFSET($E$7,$A18-$A$7,5,1,1)-1</f>
        <v>-4.1373413734137388E-2</v>
      </c>
      <c r="E18" s="94">
        <f ca="1">OFFSET($E$7,$A18-$A$7,1,1,1)/OFFSET($E$7,$A18-$A$7,IF(MONTH(MAX($7:$7))=3,2,IF(MONTH(MAX($7:$7))=6,3,IF(MONTH(MAX($7:$7))=9,4,5)))*1,1)-1</f>
        <v>7.2692481998086533E-2</v>
      </c>
      <c r="F18" s="270">
        <v>106513</v>
      </c>
      <c r="G18" s="270">
        <v>94537</v>
      </c>
      <c r="H18" s="270">
        <v>99295</v>
      </c>
      <c r="I18" s="270">
        <v>92449</v>
      </c>
      <c r="J18" s="270">
        <v>111110</v>
      </c>
      <c r="K18" s="270">
        <v>113120</v>
      </c>
      <c r="L18" s="270">
        <v>103527</v>
      </c>
      <c r="M18" s="270">
        <v>99666.295201050001</v>
      </c>
      <c r="N18" s="270">
        <v>131056.56419552</v>
      </c>
      <c r="O18" s="270">
        <v>136728.39956701</v>
      </c>
      <c r="P18" s="270">
        <v>141505</v>
      </c>
      <c r="Q18" s="270">
        <v>131563.64146249995</v>
      </c>
      <c r="R18" s="270">
        <v>117823.27784141999</v>
      </c>
      <c r="S18" s="270">
        <v>111516.41135545992</v>
      </c>
      <c r="T18" s="270">
        <v>114554.88809314997</v>
      </c>
      <c r="U18" s="400"/>
      <c r="V18" s="400"/>
      <c r="W18" s="400"/>
      <c r="X18" s="270">
        <v>114014.89821092</v>
      </c>
      <c r="Y18" s="270">
        <v>103559.05620262999</v>
      </c>
      <c r="Z18" s="270">
        <v>97419.03534912999</v>
      </c>
      <c r="AA18" s="270">
        <v>86151.029870810002</v>
      </c>
      <c r="AB18" s="270">
        <v>97844.092561969999</v>
      </c>
      <c r="AC18" s="270">
        <v>85523.416252759998</v>
      </c>
      <c r="AD18" s="270">
        <v>75929.083327369997</v>
      </c>
      <c r="AE18" s="270">
        <v>74018.743674780009</v>
      </c>
      <c r="AF18" s="22">
        <v>73138.926328460002</v>
      </c>
      <c r="AG18" s="22">
        <v>60380.483572160003</v>
      </c>
      <c r="AH18" s="22">
        <v>64166.816945930004</v>
      </c>
      <c r="AI18" s="22">
        <v>59515.125999999997</v>
      </c>
      <c r="AJ18" s="22">
        <v>65669.585999999996</v>
      </c>
      <c r="AK18" s="22">
        <v>59204.875999999997</v>
      </c>
      <c r="AL18" s="22">
        <v>55718.898000000001</v>
      </c>
      <c r="AM18" s="22">
        <v>50122.116999999998</v>
      </c>
      <c r="AN18" s="22">
        <v>52331.101000000002</v>
      </c>
      <c r="AO18" s="22">
        <v>44427.92</v>
      </c>
      <c r="AP18" s="22">
        <v>47135.811000000002</v>
      </c>
      <c r="AQ18" s="11">
        <v>41599.860999999997</v>
      </c>
      <c r="AR18" s="22">
        <v>45663.538999999997</v>
      </c>
      <c r="AS18" s="127">
        <v>41863.485000000001</v>
      </c>
      <c r="AT18" s="127">
        <v>43879.633000000002</v>
      </c>
      <c r="AU18" s="127">
        <v>41492.652999999998</v>
      </c>
      <c r="AV18" s="11">
        <v>41787.504999999997</v>
      </c>
      <c r="AW18" s="11">
        <v>36099.591</v>
      </c>
      <c r="AX18" s="11">
        <v>35852.714999999997</v>
      </c>
      <c r="AY18" s="11">
        <v>35471.152000000002</v>
      </c>
      <c r="AZ18" s="11">
        <v>39946.167000000001</v>
      </c>
      <c r="BA18" s="11">
        <v>33989.256000000001</v>
      </c>
      <c r="BB18" s="11">
        <v>34845.955999999998</v>
      </c>
      <c r="BC18" s="11">
        <v>33227.521999999997</v>
      </c>
      <c r="BD18" s="11">
        <v>30461.432000000001</v>
      </c>
      <c r="BE18" s="11">
        <v>27281.923999999999</v>
      </c>
      <c r="BF18" s="11">
        <v>25678.217000000001</v>
      </c>
      <c r="BG18" s="11">
        <v>23510.807000000001</v>
      </c>
      <c r="BH18" s="11">
        <v>23381.94</v>
      </c>
      <c r="BI18" s="11">
        <v>20179.582999999999</v>
      </c>
      <c r="BJ18" s="11">
        <v>19899.3</v>
      </c>
      <c r="BK18" s="11">
        <v>17494.452000000001</v>
      </c>
      <c r="BL18" s="11">
        <v>17918.256000000001</v>
      </c>
      <c r="BM18" s="11">
        <v>15426.697</v>
      </c>
      <c r="BN18" s="11">
        <v>15357.269</v>
      </c>
      <c r="BO18" s="11">
        <v>13957.922</v>
      </c>
      <c r="BP18" s="11">
        <v>14086.23</v>
      </c>
      <c r="BQ18" s="11">
        <v>12702.296</v>
      </c>
      <c r="BR18" s="11">
        <v>12349.878000000001</v>
      </c>
      <c r="BS18" s="11">
        <v>11105.035</v>
      </c>
      <c r="BT18" s="11">
        <v>11318.855</v>
      </c>
    </row>
    <row r="19" spans="1:72" ht="15" customHeight="1" x14ac:dyDescent="0.25">
      <c r="A19" s="74">
        <v>19</v>
      </c>
      <c r="B19" s="14" t="s">
        <v>53</v>
      </c>
      <c r="C19" s="152">
        <f ca="1">OFFSET($E$7,$A19-$A$7,1,1,1)/OFFSET($E$7,$A19-$A$7,2,1,1)-1</f>
        <v>3.3539991126986468E-2</v>
      </c>
      <c r="D19" s="88">
        <f ca="1">OFFSET($E$7,$A19-$A$7,1,1,1)/OFFSET($E$7,$A19-$A$7,5,1,1)-1</f>
        <v>0.20949594240558911</v>
      </c>
      <c r="E19" s="94">
        <f ca="1">OFFSET($E$7,$A19-$A$7,1,1,1)/OFFSET($E$7,$A19-$A$7,IF(MONTH(MAX($7:$7))=3,2,IF(MONTH(MAX($7:$7))=6,3,IF(MONTH(MAX($7:$7))=9,4,5)))*1,1)-1</f>
        <v>7.6381204669688563E-2</v>
      </c>
      <c r="F19" s="270">
        <v>454277</v>
      </c>
      <c r="G19" s="270">
        <v>439535</v>
      </c>
      <c r="H19" s="270">
        <v>422041</v>
      </c>
      <c r="I19" s="270">
        <v>399612</v>
      </c>
      <c r="J19" s="270">
        <v>375592</v>
      </c>
      <c r="K19" s="270">
        <v>349009</v>
      </c>
      <c r="L19" s="270">
        <v>332903</v>
      </c>
      <c r="M19" s="270">
        <v>275171.70479895</v>
      </c>
      <c r="N19" s="270">
        <v>263274.43580447999</v>
      </c>
      <c r="O19" s="270">
        <v>263696.60043299</v>
      </c>
      <c r="P19" s="270">
        <v>254084</v>
      </c>
      <c r="Q19" s="270">
        <v>234738.35853750005</v>
      </c>
      <c r="R19" s="270">
        <v>224388.72215858003</v>
      </c>
      <c r="S19" s="270">
        <v>218763.58864454008</v>
      </c>
      <c r="T19" s="270">
        <v>213697.11190685001</v>
      </c>
      <c r="U19" s="400"/>
      <c r="V19" s="400"/>
      <c r="W19" s="400"/>
      <c r="X19" s="270">
        <v>181098.10178908001</v>
      </c>
      <c r="Y19" s="270">
        <v>179707.37079737001</v>
      </c>
      <c r="Z19" s="270">
        <v>173968.89565086999</v>
      </c>
      <c r="AA19" s="270">
        <v>177396.03712918999</v>
      </c>
      <c r="AB19" s="270">
        <v>178184.60643802999</v>
      </c>
      <c r="AC19" s="270">
        <v>181021.18174723999</v>
      </c>
      <c r="AD19" s="270">
        <v>174062.28967263</v>
      </c>
      <c r="AE19" s="270">
        <v>181949.39332522001</v>
      </c>
      <c r="AF19" s="22">
        <v>175828.49667153999</v>
      </c>
      <c r="AG19" s="22">
        <v>182033.98142784002</v>
      </c>
      <c r="AH19" s="22">
        <v>184210.39105407</v>
      </c>
      <c r="AI19" s="22">
        <v>182288.25399999999</v>
      </c>
      <c r="AJ19" s="22">
        <v>183427.41699999999</v>
      </c>
      <c r="AK19" s="22">
        <v>166428.29</v>
      </c>
      <c r="AL19" s="22">
        <v>159929.64600000001</v>
      </c>
      <c r="AM19" s="22">
        <v>155995.61600000001</v>
      </c>
      <c r="AN19" s="22">
        <v>153256.08900000001</v>
      </c>
      <c r="AO19" s="22">
        <v>148435.614</v>
      </c>
      <c r="AP19" s="22">
        <v>151151.26199999999</v>
      </c>
      <c r="AQ19" s="11">
        <v>142887.43</v>
      </c>
      <c r="AR19" s="22">
        <v>141755.80900000001</v>
      </c>
      <c r="AS19" s="127">
        <v>147084.092</v>
      </c>
      <c r="AT19" s="127">
        <v>143946.10699999999</v>
      </c>
      <c r="AU19" s="127">
        <v>142995.38399999999</v>
      </c>
      <c r="AV19" s="11">
        <v>146279.90299999999</v>
      </c>
      <c r="AW19" s="11">
        <v>135252.63699999999</v>
      </c>
      <c r="AX19" s="11">
        <v>124161.129</v>
      </c>
      <c r="AY19" s="11">
        <v>117323.815</v>
      </c>
      <c r="AZ19" s="11">
        <v>116062.19100000001</v>
      </c>
      <c r="BA19" s="11">
        <v>107819.749</v>
      </c>
      <c r="BB19" s="11">
        <v>99798.615000000005</v>
      </c>
      <c r="BC19" s="11">
        <v>98234.907000000007</v>
      </c>
      <c r="BD19" s="11">
        <v>94842.701000000001</v>
      </c>
      <c r="BE19" s="11">
        <v>93024.107000000004</v>
      </c>
      <c r="BF19" s="11">
        <v>91488.334000000003</v>
      </c>
      <c r="BG19" s="11">
        <v>81094.322</v>
      </c>
      <c r="BH19" s="11">
        <v>77838.203999999998</v>
      </c>
      <c r="BI19" s="11">
        <v>75181.210999999996</v>
      </c>
      <c r="BJ19" s="11">
        <v>76926.510999999999</v>
      </c>
      <c r="BK19" s="11">
        <v>70791.019</v>
      </c>
      <c r="BL19" s="11">
        <v>69473.702999999994</v>
      </c>
      <c r="BM19" s="11">
        <v>65288.317000000003</v>
      </c>
      <c r="BN19" s="11">
        <v>59252.118000000002</v>
      </c>
      <c r="BO19" s="11">
        <v>57478.067999999999</v>
      </c>
      <c r="BP19" s="11">
        <v>58339.39</v>
      </c>
      <c r="BQ19" s="11">
        <v>53709.828999999998</v>
      </c>
      <c r="BR19" s="11">
        <v>53496.192000000003</v>
      </c>
      <c r="BS19" s="11">
        <v>51539.821000000004</v>
      </c>
      <c r="BT19" s="11">
        <v>49411.402999999998</v>
      </c>
    </row>
    <row r="20" spans="1:72" s="36" customFormat="1" ht="26.1" customHeight="1" x14ac:dyDescent="0.25">
      <c r="A20" s="74">
        <v>20</v>
      </c>
      <c r="B20" s="19" t="s">
        <v>115</v>
      </c>
      <c r="C20" s="188">
        <f ca="1">OFFSET($E$7,$A20-$A$7,1,1,1)/OFFSET($E$7,$A20-$A$7,2,1,1)-1</f>
        <v>7.1022324187977048E-3</v>
      </c>
      <c r="D20" s="125">
        <f ca="1">OFFSET($E$7,$A20-$A$7,1,1,1)/OFFSET($E$7,$A20-$A$7,5,1,1)-1</f>
        <v>0.20121797407921749</v>
      </c>
      <c r="E20" s="96">
        <f ca="1">OFFSET($E$7,$A20-$A$7,1,1,1)/OFFSET($E$7,$A20-$A$7,IF(MONTH(MAX($7:$7))=3,2,IF(MONTH(MAX($7:$7))=6,3,IF(MONTH(MAX($7:$7))=9,4,5)))*1,1)-1</f>
        <v>2.412314212075839E-2</v>
      </c>
      <c r="F20" s="271">
        <f>SUM(F11:F19)</f>
        <v>904779</v>
      </c>
      <c r="G20" s="271">
        <f>SUM(G11:G19)</f>
        <v>898398.36599999992</v>
      </c>
      <c r="H20" s="66">
        <f t="shared" ref="H20" si="0">SUM(H11:H19)</f>
        <v>883467</v>
      </c>
      <c r="I20" s="66">
        <f t="shared" ref="I20" si="1">SUM(I11:I19)</f>
        <v>852013</v>
      </c>
      <c r="J20" s="66">
        <f t="shared" ref="J20:K20" si="2">SUM(J11:J19)</f>
        <v>753218</v>
      </c>
      <c r="K20" s="66">
        <f t="shared" si="2"/>
        <v>721420</v>
      </c>
      <c r="L20" s="66">
        <f t="shared" ref="L20:X20" si="3">SUM(L11:L19)</f>
        <v>711104</v>
      </c>
      <c r="M20" s="66">
        <f t="shared" si="3"/>
        <v>614943</v>
      </c>
      <c r="N20" s="66">
        <f t="shared" si="3"/>
        <v>650375</v>
      </c>
      <c r="O20" s="66">
        <f t="shared" si="3"/>
        <v>643804</v>
      </c>
      <c r="P20" s="66">
        <f t="shared" si="3"/>
        <v>646447</v>
      </c>
      <c r="Q20" s="66">
        <f t="shared" si="3"/>
        <v>607559</v>
      </c>
      <c r="R20" s="66">
        <f t="shared" si="3"/>
        <v>574351</v>
      </c>
      <c r="S20" s="66">
        <f t="shared" si="3"/>
        <v>583039</v>
      </c>
      <c r="T20" s="66">
        <f t="shared" si="3"/>
        <v>641226</v>
      </c>
      <c r="U20" s="412"/>
      <c r="V20" s="412"/>
      <c r="W20" s="412"/>
      <c r="X20" s="66">
        <f t="shared" si="3"/>
        <v>499368</v>
      </c>
      <c r="Y20" s="66">
        <f t="shared" ref="Y20:AD20" si="4">SUM(Y11:Y19)</f>
        <v>486568.42700000003</v>
      </c>
      <c r="Z20" s="66">
        <f t="shared" si="4"/>
        <v>486558.58799999999</v>
      </c>
      <c r="AA20" s="66">
        <f t="shared" si="4"/>
        <v>477669.11799999996</v>
      </c>
      <c r="AB20" s="66">
        <f t="shared" si="4"/>
        <v>470921.75100000005</v>
      </c>
      <c r="AC20" s="66">
        <f t="shared" si="4"/>
        <v>466372.70999999996</v>
      </c>
      <c r="AD20" s="66">
        <f t="shared" si="4"/>
        <v>423249.62</v>
      </c>
      <c r="AE20" s="66">
        <f t="shared" ref="AE20:BB20" si="5">SUM(AE11:AE19)</f>
        <v>425884.47100000002</v>
      </c>
      <c r="AF20" s="66">
        <f t="shared" si="5"/>
        <v>410343.348</v>
      </c>
      <c r="AG20" s="66">
        <f t="shared" si="5"/>
        <v>409591.81800000003</v>
      </c>
      <c r="AH20" s="66">
        <f t="shared" si="5"/>
        <v>393252.52500000002</v>
      </c>
      <c r="AI20" s="66">
        <f t="shared" si="5"/>
        <v>397036.01899999997</v>
      </c>
      <c r="AJ20" s="66">
        <f t="shared" si="5"/>
        <v>406788.83299999998</v>
      </c>
      <c r="AK20" s="66">
        <f t="shared" si="5"/>
        <v>372979.23499999999</v>
      </c>
      <c r="AL20" s="66">
        <f t="shared" si="5"/>
        <v>354668.81599999999</v>
      </c>
      <c r="AM20" s="66">
        <f t="shared" si="5"/>
        <v>346393.30099999998</v>
      </c>
      <c r="AN20" s="66">
        <f t="shared" si="5"/>
        <v>352972.14800000004</v>
      </c>
      <c r="AO20" s="66">
        <f t="shared" si="5"/>
        <v>329156.56799999997</v>
      </c>
      <c r="AP20" s="66">
        <f t="shared" si="5"/>
        <v>315405.97600000002</v>
      </c>
      <c r="AQ20" s="20">
        <f t="shared" si="5"/>
        <v>321233.65899999999</v>
      </c>
      <c r="AR20" s="66">
        <f t="shared" si="5"/>
        <v>349944.86800000002</v>
      </c>
      <c r="AS20" s="155">
        <f t="shared" si="5"/>
        <v>316391.364</v>
      </c>
      <c r="AT20" s="155">
        <f t="shared" si="5"/>
        <v>331833.50599999999</v>
      </c>
      <c r="AU20" s="155">
        <f t="shared" si="5"/>
        <v>313877.13199999998</v>
      </c>
      <c r="AV20" s="20">
        <f t="shared" si="5"/>
        <v>325583.94999999995</v>
      </c>
      <c r="AW20" s="20">
        <f t="shared" si="5"/>
        <v>312390.98599999998</v>
      </c>
      <c r="AX20" s="20">
        <f t="shared" si="5"/>
        <v>298506.152</v>
      </c>
      <c r="AY20" s="20">
        <f t="shared" si="5"/>
        <v>299762.45799999998</v>
      </c>
      <c r="AZ20" s="20">
        <f t="shared" si="5"/>
        <v>308481.73100000003</v>
      </c>
      <c r="BA20" s="20">
        <f t="shared" si="5"/>
        <v>272355.83799999999</v>
      </c>
      <c r="BB20" s="20">
        <f t="shared" si="5"/>
        <v>259403.14600000001</v>
      </c>
      <c r="BC20" s="20">
        <f t="shared" ref="BC20:BH20" si="6">SUM(BC11:BC19)</f>
        <v>262549.59000000003</v>
      </c>
      <c r="BD20" s="20">
        <f t="shared" si="6"/>
        <v>253127.29100000003</v>
      </c>
      <c r="BE20" s="20">
        <f t="shared" si="6"/>
        <v>252859.45600000001</v>
      </c>
      <c r="BF20" s="20">
        <f t="shared" si="6"/>
        <v>242238.30899999998</v>
      </c>
      <c r="BG20" s="20">
        <f t="shared" si="6"/>
        <v>231828.65299999999</v>
      </c>
      <c r="BH20" s="20">
        <f t="shared" si="6"/>
        <v>222796.734</v>
      </c>
      <c r="BI20" s="20">
        <f t="shared" ref="BI20:BT20" si="7">SUM(BI11:BI19)</f>
        <v>217576.83100000001</v>
      </c>
      <c r="BJ20" s="20">
        <f t="shared" si="7"/>
        <v>217865.764</v>
      </c>
      <c r="BK20" s="20">
        <f t="shared" si="7"/>
        <v>216150.77100000001</v>
      </c>
      <c r="BL20" s="20">
        <f t="shared" si="7"/>
        <v>226702.89</v>
      </c>
      <c r="BM20" s="20">
        <f t="shared" si="7"/>
        <v>209232.443</v>
      </c>
      <c r="BN20" s="20">
        <f t="shared" si="7"/>
        <v>201942.136</v>
      </c>
      <c r="BO20" s="20">
        <f t="shared" si="7"/>
        <v>188248.973</v>
      </c>
      <c r="BP20" s="20">
        <f t="shared" si="7"/>
        <v>191807.67599999998</v>
      </c>
      <c r="BQ20" s="20">
        <f t="shared" si="7"/>
        <v>169474.10399999999</v>
      </c>
      <c r="BR20" s="20">
        <f t="shared" si="7"/>
        <v>166175.54</v>
      </c>
      <c r="BS20" s="20">
        <f t="shared" si="7"/>
        <v>167620.367</v>
      </c>
      <c r="BT20" s="20">
        <f t="shared" si="7"/>
        <v>175990.28399999999</v>
      </c>
    </row>
    <row r="21" spans="1:72" ht="26.1" customHeight="1" x14ac:dyDescent="0.25">
      <c r="A21" s="74">
        <v>21</v>
      </c>
      <c r="B21" s="5" t="s">
        <v>278</v>
      </c>
      <c r="C21" s="152">
        <f ca="1">OFFSET($E$7,$A21-$A$7,1,1,1)/OFFSET($E$7,$A21-$A$7,2,1,1)-1</f>
        <v>-3.799873337555415E-2</v>
      </c>
      <c r="D21" s="88">
        <f ca="1">OFFSET($E$7,$A21-$A$7,1,1,1)/OFFSET($E$7,$A21-$A$7,5,1,1)-1</f>
        <v>0.14988644965934905</v>
      </c>
      <c r="E21" s="94">
        <f ca="1">OFFSET($E$7,$A21-$A$7,1,1,1)/OFFSET($E$7,$A21-$A$7,IF(MONTH(MAX($7:$7))=3,2,IF(MONTH(MAX($7:$7))=6,3,IF(MONTH(MAX($7:$7))=9,4,5)))*1,1)-1</f>
        <v>9.5259193619849913E-3</v>
      </c>
      <c r="F21" s="384">
        <f>'Assets and Liabili-s structure'!F43</f>
        <v>4557</v>
      </c>
      <c r="G21" s="384">
        <f>'Assets and Liabili-s structure'!G43</f>
        <v>4737</v>
      </c>
      <c r="H21" s="217">
        <f>'Assets and Liabili-s structure'!H43</f>
        <v>4514</v>
      </c>
      <c r="I21" s="217">
        <f>'Assets and Liabili-s structure'!I43</f>
        <v>4375</v>
      </c>
      <c r="J21" s="217">
        <f>'Assets and Liabili-s structure'!J43</f>
        <v>3963</v>
      </c>
      <c r="K21" s="217">
        <f>'Assets and Liabili-s structure'!K43</f>
        <v>6913</v>
      </c>
      <c r="L21" s="217">
        <f>'Assets and Liabili-s structure'!L43</f>
        <v>4612</v>
      </c>
      <c r="M21" s="217">
        <f>'Assets and Liabili-s structure'!M43</f>
        <v>4481</v>
      </c>
      <c r="N21" s="217">
        <f>'Assets and Liabili-s structure'!N43</f>
        <v>4056</v>
      </c>
      <c r="O21" s="217">
        <f>'Assets and Liabili-s structure'!O43</f>
        <v>4622</v>
      </c>
      <c r="P21" s="217">
        <f>'Assets and Liabili-s structure'!P43</f>
        <v>4651</v>
      </c>
      <c r="Q21" s="217">
        <f>'Assets and Liabili-s structure'!Q43</f>
        <v>4716</v>
      </c>
      <c r="R21" s="217">
        <f>'Assets and Liabili-s structure'!R43</f>
        <v>5107</v>
      </c>
      <c r="S21" s="217">
        <f>'Assets and Liabili-s structure'!S43</f>
        <v>4821</v>
      </c>
      <c r="T21" s="217">
        <f>'Assets and Liabili-s structure'!T43</f>
        <v>5337</v>
      </c>
      <c r="U21" s="424"/>
      <c r="V21" s="424"/>
      <c r="W21" s="424"/>
      <c r="X21" s="217">
        <f>'Assets and Liabili-s structure'!X43</f>
        <v>5798</v>
      </c>
      <c r="Y21" s="217">
        <f>'Assets and Liabili-s structure'!Y43</f>
        <v>5956.9269999999997</v>
      </c>
      <c r="Z21" s="217">
        <f>'Assets and Liabili-s structure'!Z43</f>
        <v>6074.4279999999999</v>
      </c>
      <c r="AA21" s="217">
        <f>'Assets and Liabili-s structure'!AA43</f>
        <v>7739.91</v>
      </c>
      <c r="AB21" s="217">
        <f>'Assets and Liabili-s structure'!AB43</f>
        <v>8150</v>
      </c>
      <c r="AC21" s="217">
        <f>'Assets and Liabili-s structure'!AC43</f>
        <v>8465.2029999999995</v>
      </c>
      <c r="AD21" s="217">
        <f>'Assets and Liabili-s structure'!AD43</f>
        <v>8997.8680000000004</v>
      </c>
      <c r="AE21" s="217">
        <f>'Assets and Liabili-s structure'!AE43</f>
        <v>8812.3459999999995</v>
      </c>
      <c r="AF21" s="217">
        <f>'Assets and Liabili-s structure'!AF43</f>
        <v>7231.2330000000002</v>
      </c>
      <c r="AG21" s="217">
        <f>'Assets and Liabili-s structure'!AG43</f>
        <v>7403.1180000000004</v>
      </c>
      <c r="AH21" s="217">
        <f>'Assets and Liabili-s structure'!AH43</f>
        <v>6559.7150000000001</v>
      </c>
      <c r="AI21" s="217">
        <f>'Assets and Liabili-s structure'!AI43</f>
        <v>8290.8240000000005</v>
      </c>
      <c r="AJ21" s="217">
        <f>'Assets and Liabili-s structure'!AJ43</f>
        <v>7977.0649999999996</v>
      </c>
      <c r="AK21" s="217">
        <f>'Assets and Liabili-s structure'!AK43</f>
        <v>7137.4830000000002</v>
      </c>
      <c r="AL21" s="217">
        <f>'Assets and Liabili-s structure'!AL43</f>
        <v>7257.7950000000001</v>
      </c>
      <c r="AM21" s="217">
        <f>'Assets and Liabili-s structure'!AM43</f>
        <v>7022.2879999999996</v>
      </c>
      <c r="AN21" s="217">
        <f>'Assets and Liabili-s structure'!AN43</f>
        <v>7253.3450000000003</v>
      </c>
      <c r="AO21" s="217">
        <f>'Assets and Liabili-s structure'!AO43</f>
        <v>6530.0129999999999</v>
      </c>
      <c r="AP21" s="217">
        <f>'Assets and Liabili-s structure'!AP43</f>
        <v>7350.8760000000002</v>
      </c>
      <c r="AQ21" s="132">
        <f>'Assets and Liabili-s structure'!AQ43</f>
        <v>6966.8119999999999</v>
      </c>
      <c r="AR21" s="217">
        <f>'Assets and Liabili-s structure'!AR43</f>
        <v>7882.2839999999997</v>
      </c>
      <c r="AS21" s="184">
        <f>'Assets and Liabili-s structure'!AS43</f>
        <v>17335.918000000001</v>
      </c>
      <c r="AT21" s="184">
        <f>'Assets and Liabili-s structure'!AT43</f>
        <v>7397.8119999999999</v>
      </c>
      <c r="AU21" s="184">
        <f>'Assets and Liabili-s structure'!AU43</f>
        <v>16193.317999999999</v>
      </c>
      <c r="AV21" s="132">
        <f>'Assets and Liabili-s structure'!AV43</f>
        <v>17441.146000000001</v>
      </c>
      <c r="AW21" s="132">
        <f>'Assets and Liabili-s structure'!AW43</f>
        <v>16001.814</v>
      </c>
      <c r="AX21" s="132">
        <f>'Assets and Liabili-s structure'!AX43</f>
        <v>15768.761</v>
      </c>
      <c r="AY21" s="132">
        <f>'Assets and Liabili-s structure'!AY43</f>
        <v>17598.036</v>
      </c>
      <c r="AZ21" s="132">
        <f>'Assets and Liabili-s structure'!AZ43</f>
        <v>16405.964</v>
      </c>
      <c r="BA21" s="132">
        <f>'Assets and Liabili-s structure'!BA43</f>
        <v>12087.833000000001</v>
      </c>
      <c r="BB21" s="132">
        <f>'Assets and Liabili-s structure'!BB43</f>
        <v>8054.23</v>
      </c>
      <c r="BC21" s="132">
        <f>'Assets and Liabili-s structure'!BC43</f>
        <v>10458.544</v>
      </c>
      <c r="BD21" s="132">
        <f>'Assets and Liabili-s structure'!BD43</f>
        <v>8507.34</v>
      </c>
      <c r="BE21" s="132">
        <f>'Assets and Liabili-s structure'!BE43</f>
        <v>9505.7839999999997</v>
      </c>
      <c r="BF21" s="132">
        <f>'Assets and Liabili-s structure'!BF43</f>
        <v>6366.915</v>
      </c>
      <c r="BG21" s="132">
        <f>'Assets and Liabili-s structure'!BG43</f>
        <v>4309.4579999999996</v>
      </c>
      <c r="BH21" s="132">
        <f>'Assets and Liabili-s structure'!BH43</f>
        <v>5244.3339999999998</v>
      </c>
      <c r="BI21" s="132">
        <f>'Assets and Liabili-s structure'!BI43</f>
        <v>7133.741</v>
      </c>
      <c r="BJ21" s="132">
        <f>'Assets and Liabili-s structure'!BJ43</f>
        <v>8995.6489999999994</v>
      </c>
      <c r="BK21" s="132">
        <f>'Assets and Liabili-s structure'!BK43</f>
        <v>8318.5669999999991</v>
      </c>
      <c r="BL21" s="132">
        <f>'Assets and Liabili-s structure'!BL43</f>
        <v>9356.4439999999995</v>
      </c>
      <c r="BM21" s="132">
        <f>'Assets and Liabili-s structure'!BM43</f>
        <v>12719.817999999999</v>
      </c>
      <c r="BN21" s="132">
        <f>'Assets and Liabili-s structure'!BN43</f>
        <v>10286.663</v>
      </c>
      <c r="BO21" s="132">
        <f>'Assets and Liabili-s structure'!BO43</f>
        <v>11760.227999999999</v>
      </c>
      <c r="BP21" s="132">
        <f>'Assets and Liabili-s structure'!BP43</f>
        <v>10365.23</v>
      </c>
      <c r="BQ21" s="132">
        <f>'Assets and Liabili-s structure'!BQ43</f>
        <v>9568.9920000000002</v>
      </c>
      <c r="BR21" s="132">
        <f>'Assets and Liabili-s structure'!BR43</f>
        <v>9052.5789999999997</v>
      </c>
      <c r="BS21" s="132">
        <f>'Assets and Liabili-s structure'!BS43</f>
        <v>5326.326</v>
      </c>
      <c r="BT21" s="132">
        <f>'Assets and Liabili-s structure'!BT43</f>
        <v>5150.7740000000003</v>
      </c>
    </row>
    <row r="22" spans="1:72" s="19" customFormat="1" ht="26.1" customHeight="1" x14ac:dyDescent="0.25">
      <c r="A22" s="74">
        <v>22</v>
      </c>
      <c r="B22" s="19" t="s">
        <v>57</v>
      </c>
      <c r="C22" s="188">
        <f ca="1">OFFSET($E$7,$A22-$A$7,1,1,1)/OFFSET($E$7,$A22-$A$7,2,1,1)-1</f>
        <v>6.8656751063385091E-3</v>
      </c>
      <c r="D22" s="125">
        <f ca="1">OFFSET($E$7,$A22-$A$7,1,1,1)/OFFSET($E$7,$A22-$A$7,5,1,1)-1</f>
        <v>0.20094931066680233</v>
      </c>
      <c r="E22" s="96">
        <f ca="1">OFFSET($E$7,$A22-$A$7,1,1,1)/OFFSET($E$7,$A22-$A$7,IF(MONTH(MAX($7:$7))=3,2,IF(MONTH(MAX($7:$7))=6,3,IF(MONTH(MAX($7:$7))=9,4,5)))*1,1)-1</f>
        <v>2.4048937984033403E-2</v>
      </c>
      <c r="F22" s="271">
        <f>F20+F21</f>
        <v>909336</v>
      </c>
      <c r="G22" s="271">
        <f t="shared" ref="G22" si="8">G20+G21</f>
        <v>903135.36599999992</v>
      </c>
      <c r="H22" s="66">
        <f t="shared" ref="H22" si="9">H20+H21</f>
        <v>887981</v>
      </c>
      <c r="I22" s="66">
        <f t="shared" ref="I22" si="10">I20+I21</f>
        <v>856388</v>
      </c>
      <c r="J22" s="66">
        <f t="shared" ref="J22:K22" si="11">J20+J21</f>
        <v>757181</v>
      </c>
      <c r="K22" s="66">
        <f t="shared" si="11"/>
        <v>728333</v>
      </c>
      <c r="L22" s="66">
        <f t="shared" ref="L22:X22" si="12">L20+L21</f>
        <v>715716</v>
      </c>
      <c r="M22" s="66">
        <f t="shared" si="12"/>
        <v>619424</v>
      </c>
      <c r="N22" s="66">
        <f t="shared" si="12"/>
        <v>654431</v>
      </c>
      <c r="O22" s="66">
        <f t="shared" si="12"/>
        <v>648426</v>
      </c>
      <c r="P22" s="66">
        <f t="shared" si="12"/>
        <v>651098</v>
      </c>
      <c r="Q22" s="66">
        <f t="shared" si="12"/>
        <v>612275</v>
      </c>
      <c r="R22" s="66">
        <f t="shared" si="12"/>
        <v>579458</v>
      </c>
      <c r="S22" s="66">
        <f t="shared" si="12"/>
        <v>587860</v>
      </c>
      <c r="T22" s="66">
        <f t="shared" si="12"/>
        <v>646563</v>
      </c>
      <c r="U22" s="412"/>
      <c r="V22" s="412"/>
      <c r="W22" s="412"/>
      <c r="X22" s="66">
        <f t="shared" si="12"/>
        <v>505166</v>
      </c>
      <c r="Y22" s="66">
        <f t="shared" ref="Y22:AD22" si="13">Y20+Y21</f>
        <v>492525.35400000005</v>
      </c>
      <c r="Z22" s="66">
        <f t="shared" si="13"/>
        <v>492633.016</v>
      </c>
      <c r="AA22" s="66">
        <f t="shared" si="13"/>
        <v>485409.02799999993</v>
      </c>
      <c r="AB22" s="66">
        <f t="shared" si="13"/>
        <v>479071.75100000005</v>
      </c>
      <c r="AC22" s="66">
        <f t="shared" si="13"/>
        <v>474837.91299999994</v>
      </c>
      <c r="AD22" s="66">
        <f t="shared" si="13"/>
        <v>432247.48800000001</v>
      </c>
      <c r="AE22" s="66">
        <f t="shared" ref="AE22:BB22" si="14">AE20+AE21</f>
        <v>434696.81700000004</v>
      </c>
      <c r="AF22" s="66">
        <f t="shared" si="14"/>
        <v>417574.58100000001</v>
      </c>
      <c r="AG22" s="66">
        <f t="shared" si="14"/>
        <v>416994.93600000005</v>
      </c>
      <c r="AH22" s="66">
        <f t="shared" si="14"/>
        <v>399812.24000000005</v>
      </c>
      <c r="AI22" s="66">
        <f t="shared" si="14"/>
        <v>405326.84299999999</v>
      </c>
      <c r="AJ22" s="66">
        <f t="shared" si="14"/>
        <v>414765.89799999999</v>
      </c>
      <c r="AK22" s="66">
        <f t="shared" si="14"/>
        <v>380116.71799999999</v>
      </c>
      <c r="AL22" s="66">
        <f t="shared" si="14"/>
        <v>361926.61099999998</v>
      </c>
      <c r="AM22" s="66">
        <f t="shared" si="14"/>
        <v>353415.58899999998</v>
      </c>
      <c r="AN22" s="66">
        <f t="shared" si="14"/>
        <v>360225.49300000002</v>
      </c>
      <c r="AO22" s="66">
        <f t="shared" si="14"/>
        <v>335686.58099999995</v>
      </c>
      <c r="AP22" s="66">
        <f t="shared" si="14"/>
        <v>322756.85200000001</v>
      </c>
      <c r="AQ22" s="20">
        <f t="shared" si="14"/>
        <v>328200.47099999996</v>
      </c>
      <c r="AR22" s="66">
        <f t="shared" si="14"/>
        <v>357827.152</v>
      </c>
      <c r="AS22" s="155">
        <f t="shared" si="14"/>
        <v>333727.28200000001</v>
      </c>
      <c r="AT22" s="155">
        <f t="shared" si="14"/>
        <v>339231.31799999997</v>
      </c>
      <c r="AU22" s="155">
        <f t="shared" si="14"/>
        <v>330070.44999999995</v>
      </c>
      <c r="AV22" s="20">
        <f t="shared" si="14"/>
        <v>343025.09599999996</v>
      </c>
      <c r="AW22" s="20">
        <f t="shared" si="14"/>
        <v>328392.8</v>
      </c>
      <c r="AX22" s="20">
        <f t="shared" si="14"/>
        <v>314274.913</v>
      </c>
      <c r="AY22" s="20">
        <f t="shared" si="14"/>
        <v>317360.49400000001</v>
      </c>
      <c r="AZ22" s="20">
        <f t="shared" si="14"/>
        <v>324887.69500000001</v>
      </c>
      <c r="BA22" s="20">
        <f t="shared" si="14"/>
        <v>284443.67099999997</v>
      </c>
      <c r="BB22" s="20">
        <f t="shared" si="14"/>
        <v>267457.37599999999</v>
      </c>
      <c r="BC22" s="20">
        <f t="shared" ref="BC22:BH22" si="15">BC20+BC21</f>
        <v>273008.13400000002</v>
      </c>
      <c r="BD22" s="20">
        <f t="shared" si="15"/>
        <v>261634.63100000002</v>
      </c>
      <c r="BE22" s="20">
        <f t="shared" si="15"/>
        <v>262365.24</v>
      </c>
      <c r="BF22" s="20">
        <f t="shared" si="15"/>
        <v>248605.22399999999</v>
      </c>
      <c r="BG22" s="20">
        <f t="shared" si="15"/>
        <v>236138.111</v>
      </c>
      <c r="BH22" s="20">
        <f t="shared" si="15"/>
        <v>228041.068</v>
      </c>
      <c r="BI22" s="20">
        <f t="shared" ref="BI22:BT22" si="16">BI20+BI21</f>
        <v>224710.57200000001</v>
      </c>
      <c r="BJ22" s="20">
        <f t="shared" si="16"/>
        <v>226861.413</v>
      </c>
      <c r="BK22" s="20">
        <f t="shared" si="16"/>
        <v>224469.33800000002</v>
      </c>
      <c r="BL22" s="20">
        <f t="shared" si="16"/>
        <v>236059.334</v>
      </c>
      <c r="BM22" s="20">
        <f t="shared" si="16"/>
        <v>221952.261</v>
      </c>
      <c r="BN22" s="20">
        <f t="shared" si="16"/>
        <v>212228.799</v>
      </c>
      <c r="BO22" s="20">
        <f t="shared" si="16"/>
        <v>200009.201</v>
      </c>
      <c r="BP22" s="20">
        <f t="shared" si="16"/>
        <v>202172.90599999999</v>
      </c>
      <c r="BQ22" s="20">
        <f t="shared" si="16"/>
        <v>179043.09599999999</v>
      </c>
      <c r="BR22" s="20">
        <f t="shared" si="16"/>
        <v>175228.11900000001</v>
      </c>
      <c r="BS22" s="20">
        <f t="shared" si="16"/>
        <v>172946.693</v>
      </c>
      <c r="BT22" s="20">
        <f t="shared" si="16"/>
        <v>181141.05799999999</v>
      </c>
    </row>
    <row r="23" spans="1:72" ht="6" customHeight="1" x14ac:dyDescent="0.25">
      <c r="A23" s="74">
        <v>23</v>
      </c>
      <c r="C23" s="188"/>
      <c r="D23" s="125"/>
      <c r="E23" s="96"/>
      <c r="F23" s="385"/>
      <c r="G23" s="38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85"/>
      <c r="AT23" s="185"/>
      <c r="AU23" s="18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H23" s="32"/>
      <c r="BJ23" s="32"/>
      <c r="BK23" s="32"/>
      <c r="BL23" s="32"/>
      <c r="BM23" s="32"/>
    </row>
    <row r="24" spans="1:72" x14ac:dyDescent="0.25">
      <c r="A24" s="74">
        <v>24</v>
      </c>
      <c r="B24" s="131"/>
      <c r="C24" s="185"/>
      <c r="D24" s="125"/>
      <c r="F24" s="301"/>
      <c r="G24" s="301"/>
      <c r="AC24" s="130"/>
      <c r="AD24" s="130"/>
      <c r="AE24" s="130"/>
      <c r="AF24" s="130"/>
      <c r="AG24" s="125"/>
      <c r="AH24" s="125"/>
      <c r="AI24" s="125"/>
      <c r="AJ24" s="125"/>
      <c r="AK24" s="125"/>
      <c r="AL24" s="125"/>
      <c r="AM24" s="125"/>
      <c r="AN24" s="125"/>
      <c r="AO24" s="125"/>
      <c r="AP24" s="145"/>
      <c r="AQ24" s="145"/>
      <c r="AR24" s="145"/>
      <c r="AS24" s="186"/>
      <c r="AT24" s="186"/>
      <c r="AU24" s="186"/>
      <c r="AV24" s="145"/>
      <c r="AW24" s="145"/>
      <c r="AX24" s="145"/>
      <c r="AY24" s="145"/>
      <c r="AZ24" s="145"/>
      <c r="BA24" s="145"/>
      <c r="BB24" s="145"/>
      <c r="BC24" s="145"/>
      <c r="BD24" s="125"/>
      <c r="BE24" s="125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</row>
    <row r="25" spans="1:72" x14ac:dyDescent="0.25">
      <c r="A25" s="74">
        <v>25</v>
      </c>
      <c r="C25" s="61"/>
      <c r="F25" s="301"/>
      <c r="G25" s="301"/>
      <c r="AP25" s="81"/>
      <c r="AQ25" s="81"/>
      <c r="AR25" s="81"/>
      <c r="AS25" s="187"/>
      <c r="AT25" s="187"/>
      <c r="AU25" s="187"/>
      <c r="AV25" s="81"/>
      <c r="AW25" s="81"/>
      <c r="AX25" s="81"/>
      <c r="AY25" s="81"/>
      <c r="AZ25" s="81"/>
      <c r="BA25" s="81"/>
      <c r="BB25" s="81"/>
      <c r="BC25" s="81"/>
      <c r="BH25" s="32"/>
      <c r="BJ25" s="32"/>
      <c r="BK25" s="32"/>
      <c r="BL25" s="32"/>
      <c r="BM25" s="32"/>
    </row>
    <row r="26" spans="1:72" x14ac:dyDescent="0.25">
      <c r="A26" s="74">
        <v>26</v>
      </c>
      <c r="C26" s="61"/>
      <c r="F26" s="301"/>
      <c r="G26" s="301"/>
      <c r="AS26" s="61"/>
      <c r="AT26" s="61"/>
      <c r="AU26" s="61"/>
      <c r="BG26" s="27"/>
    </row>
    <row r="27" spans="1:72" ht="15.75" customHeight="1" x14ac:dyDescent="0.25">
      <c r="A27" s="74">
        <v>27</v>
      </c>
      <c r="B27" s="453" t="s">
        <v>57</v>
      </c>
      <c r="C27" s="494" t="s">
        <v>201</v>
      </c>
      <c r="D27" s="472" t="s">
        <v>202</v>
      </c>
      <c r="E27" s="468" t="s">
        <v>297</v>
      </c>
      <c r="F27" s="479">
        <v>46203</v>
      </c>
      <c r="G27" s="479">
        <v>46112</v>
      </c>
      <c r="H27" s="446">
        <v>46022</v>
      </c>
      <c r="I27" s="446">
        <v>45930</v>
      </c>
      <c r="J27" s="446">
        <v>45838</v>
      </c>
      <c r="K27" s="446">
        <v>45747</v>
      </c>
      <c r="L27" s="446">
        <v>45657</v>
      </c>
      <c r="M27" s="446">
        <v>45565</v>
      </c>
      <c r="N27" s="446">
        <v>45473</v>
      </c>
      <c r="O27" s="446">
        <v>45382</v>
      </c>
      <c r="P27" s="446">
        <v>45291</v>
      </c>
      <c r="Q27" s="446">
        <v>45199</v>
      </c>
      <c r="R27" s="446">
        <v>45107</v>
      </c>
      <c r="S27" s="446">
        <v>45016</v>
      </c>
      <c r="T27" s="446">
        <v>44926</v>
      </c>
      <c r="U27" s="446">
        <v>44834</v>
      </c>
      <c r="V27" s="446">
        <v>44742</v>
      </c>
      <c r="W27" s="446">
        <v>44651</v>
      </c>
      <c r="X27" s="446">
        <v>44561</v>
      </c>
      <c r="Y27" s="446">
        <v>44469</v>
      </c>
      <c r="Z27" s="446">
        <v>44377</v>
      </c>
      <c r="AA27" s="446">
        <v>44286</v>
      </c>
      <c r="AB27" s="446">
        <v>44196</v>
      </c>
      <c r="AC27" s="446">
        <v>44104</v>
      </c>
      <c r="AD27" s="446">
        <v>44012</v>
      </c>
      <c r="AE27" s="446">
        <v>43921</v>
      </c>
      <c r="AF27" s="446">
        <v>43830</v>
      </c>
      <c r="AG27" s="446">
        <v>43738</v>
      </c>
      <c r="AH27" s="446">
        <v>43646</v>
      </c>
      <c r="AI27" s="446">
        <v>43555</v>
      </c>
      <c r="AJ27" s="446">
        <v>43465</v>
      </c>
      <c r="AK27" s="446">
        <v>43373</v>
      </c>
      <c r="AL27" s="446">
        <v>43281</v>
      </c>
      <c r="AM27" s="446">
        <v>43190</v>
      </c>
      <c r="AN27" s="446">
        <v>43100</v>
      </c>
      <c r="AO27" s="446">
        <v>43008</v>
      </c>
      <c r="AP27" s="446">
        <v>42916</v>
      </c>
      <c r="AQ27" s="446">
        <v>42825</v>
      </c>
      <c r="AR27" s="446">
        <v>42735</v>
      </c>
      <c r="AS27" s="451">
        <v>42643</v>
      </c>
      <c r="AT27" s="451">
        <v>42551</v>
      </c>
      <c r="AU27" s="451">
        <v>42460</v>
      </c>
      <c r="AV27" s="446">
        <v>42369</v>
      </c>
      <c r="AW27" s="446">
        <v>42277</v>
      </c>
      <c r="AX27" s="446">
        <v>42185</v>
      </c>
      <c r="AY27" s="446">
        <v>42094</v>
      </c>
      <c r="AZ27" s="446">
        <v>42004</v>
      </c>
      <c r="BA27" s="446">
        <v>41912</v>
      </c>
      <c r="BB27" s="446">
        <v>41820</v>
      </c>
      <c r="BC27" s="446">
        <v>41729</v>
      </c>
      <c r="BD27" s="446">
        <v>41639</v>
      </c>
      <c r="BE27" s="446">
        <v>41547</v>
      </c>
      <c r="BF27" s="446">
        <v>41455</v>
      </c>
      <c r="BG27" s="446">
        <v>41364</v>
      </c>
      <c r="BH27" s="446">
        <v>41274</v>
      </c>
      <c r="BI27" s="446">
        <v>41182</v>
      </c>
      <c r="BJ27" s="446">
        <v>41090</v>
      </c>
      <c r="BK27" s="446">
        <v>40999</v>
      </c>
      <c r="BL27" s="446">
        <v>40908</v>
      </c>
      <c r="BM27" s="446">
        <v>40816</v>
      </c>
      <c r="BN27" s="446">
        <v>40724</v>
      </c>
      <c r="BO27" s="446">
        <v>40633</v>
      </c>
      <c r="BP27" s="446">
        <v>40543</v>
      </c>
      <c r="BQ27" s="446">
        <v>40451</v>
      </c>
      <c r="BR27" s="446">
        <v>40359</v>
      </c>
      <c r="BS27" s="446">
        <v>40268</v>
      </c>
      <c r="BT27" s="446">
        <v>40178</v>
      </c>
    </row>
    <row r="28" spans="1:72" x14ac:dyDescent="0.25">
      <c r="A28" s="74">
        <v>28</v>
      </c>
      <c r="B28" s="454"/>
      <c r="C28" s="495"/>
      <c r="D28" s="473"/>
      <c r="E28" s="478"/>
      <c r="F28" s="493"/>
      <c r="G28" s="493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8"/>
      <c r="AD28" s="448"/>
      <c r="AE28" s="448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52"/>
      <c r="AT28" s="452"/>
      <c r="AU28" s="452"/>
      <c r="AV28" s="447"/>
      <c r="AW28" s="447"/>
      <c r="AX28" s="447"/>
      <c r="AY28" s="447"/>
      <c r="AZ28" s="447"/>
      <c r="BA28" s="448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  <c r="BN28" s="447"/>
      <c r="BO28" s="447"/>
      <c r="BP28" s="447"/>
      <c r="BQ28" s="447"/>
      <c r="BR28" s="447"/>
      <c r="BS28" s="447"/>
      <c r="BT28" s="447"/>
    </row>
    <row r="29" spans="1:72" ht="9.75" customHeight="1" x14ac:dyDescent="0.25">
      <c r="A29" s="74">
        <v>29</v>
      </c>
      <c r="B29" s="8" t="s">
        <v>8</v>
      </c>
      <c r="C29" s="196"/>
      <c r="D29" s="57"/>
      <c r="E29" s="144"/>
      <c r="F29" s="303"/>
      <c r="G29" s="303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174"/>
      <c r="AT29" s="174"/>
      <c r="AU29" s="174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8"/>
    </row>
    <row r="30" spans="1:72" s="77" customFormat="1" ht="25.5" customHeight="1" x14ac:dyDescent="0.25">
      <c r="A30" s="74">
        <v>30</v>
      </c>
      <c r="B30" s="133" t="s">
        <v>304</v>
      </c>
      <c r="C30" s="197">
        <f ca="1">OFFSET($E$7,$A30-$A$7,1,1,1)/OFFSET($E$7,$A30-$A$7,2,1,1)-1</f>
        <v>5.0026962656720464E-2</v>
      </c>
      <c r="D30" s="125">
        <f ca="1">OFFSET($E$7,$A30-$A$7,1,1,1)/OFFSET($E$7,$A30-$A$7,5,1,1)-1</f>
        <v>0.15222456451791855</v>
      </c>
      <c r="E30" s="198">
        <f ca="1">OFFSET($E$7,$A30-$A$7,1,1,1)/OFFSET($E$7,$A30-$A$7,IF(MONTH(MAX($7:$7))=3,2,IF(MONTH(MAX($7:$7))=6,3,IF(MONTH(MAX($7:$7))=9,4,5)))*1,1)-1</f>
        <v>7.567864102996924E-2</v>
      </c>
      <c r="F30" s="332">
        <f>F18+F19</f>
        <v>560790</v>
      </c>
      <c r="G30" s="332">
        <f t="shared" ref="G30" si="17">G18+G19</f>
        <v>534072</v>
      </c>
      <c r="H30" s="218">
        <f t="shared" ref="H30" si="18">H18+H19</f>
        <v>521336</v>
      </c>
      <c r="I30" s="218">
        <f t="shared" ref="I30" si="19">I18+I19</f>
        <v>492061</v>
      </c>
      <c r="J30" s="218">
        <f t="shared" ref="J30:K30" si="20">J18+J19</f>
        <v>486702</v>
      </c>
      <c r="K30" s="218">
        <f t="shared" si="20"/>
        <v>462129</v>
      </c>
      <c r="L30" s="218">
        <f t="shared" ref="L30:X30" si="21">L18+L19</f>
        <v>436430</v>
      </c>
      <c r="M30" s="218">
        <f t="shared" si="21"/>
        <v>374838</v>
      </c>
      <c r="N30" s="218">
        <f t="shared" si="21"/>
        <v>394331</v>
      </c>
      <c r="O30" s="218">
        <f t="shared" si="21"/>
        <v>400425</v>
      </c>
      <c r="P30" s="218">
        <f t="shared" si="21"/>
        <v>395589</v>
      </c>
      <c r="Q30" s="218">
        <f t="shared" si="21"/>
        <v>366302</v>
      </c>
      <c r="R30" s="218">
        <f t="shared" si="21"/>
        <v>342212</v>
      </c>
      <c r="S30" s="218">
        <f t="shared" si="21"/>
        <v>330280</v>
      </c>
      <c r="T30" s="218">
        <f t="shared" si="21"/>
        <v>328252</v>
      </c>
      <c r="U30" s="425"/>
      <c r="V30" s="425"/>
      <c r="W30" s="425"/>
      <c r="X30" s="218">
        <f t="shared" si="21"/>
        <v>295113</v>
      </c>
      <c r="Y30" s="218">
        <f t="shared" ref="Y30:AD30" si="22">Y18+Y19</f>
        <v>283266.42700000003</v>
      </c>
      <c r="Z30" s="218">
        <f t="shared" si="22"/>
        <v>271387.93099999998</v>
      </c>
      <c r="AA30" s="218">
        <f t="shared" si="22"/>
        <v>263547.06699999998</v>
      </c>
      <c r="AB30" s="218">
        <f t="shared" si="22"/>
        <v>276028.69900000002</v>
      </c>
      <c r="AC30" s="218">
        <f t="shared" si="22"/>
        <v>266544.598</v>
      </c>
      <c r="AD30" s="218">
        <f t="shared" si="22"/>
        <v>249991.37299999999</v>
      </c>
      <c r="AE30" s="218">
        <f t="shared" ref="AE30:AO30" si="23">AE18+AE19</f>
        <v>255968.13700000002</v>
      </c>
      <c r="AF30" s="218">
        <f t="shared" si="23"/>
        <v>248967.42300000001</v>
      </c>
      <c r="AG30" s="218">
        <f t="shared" si="23"/>
        <v>242414.46500000003</v>
      </c>
      <c r="AH30" s="218">
        <f t="shared" si="23"/>
        <v>248377.20800000001</v>
      </c>
      <c r="AI30" s="218">
        <f t="shared" si="23"/>
        <v>241803.37999999998</v>
      </c>
      <c r="AJ30" s="218">
        <f t="shared" si="23"/>
        <v>249097.00299999997</v>
      </c>
      <c r="AK30" s="218">
        <f t="shared" si="23"/>
        <v>225633.166</v>
      </c>
      <c r="AL30" s="218">
        <f t="shared" si="23"/>
        <v>215648.54399999999</v>
      </c>
      <c r="AM30" s="218">
        <f t="shared" si="23"/>
        <v>206117.73300000001</v>
      </c>
      <c r="AN30" s="218">
        <f t="shared" si="23"/>
        <v>205587.19</v>
      </c>
      <c r="AO30" s="218">
        <f t="shared" si="23"/>
        <v>192863.53399999999</v>
      </c>
      <c r="AP30" s="218">
        <f t="shared" ref="AP30:AU30" si="24">AP18+AP19</f>
        <v>198287.07299999997</v>
      </c>
      <c r="AQ30" s="78">
        <f t="shared" si="24"/>
        <v>184487.291</v>
      </c>
      <c r="AR30" s="218">
        <f t="shared" si="24"/>
        <v>187419.348</v>
      </c>
      <c r="AS30" s="126">
        <f t="shared" si="24"/>
        <v>188947.57699999999</v>
      </c>
      <c r="AT30" s="126">
        <f t="shared" si="24"/>
        <v>187825.74</v>
      </c>
      <c r="AU30" s="126">
        <f t="shared" si="24"/>
        <v>184488.03699999998</v>
      </c>
      <c r="AV30" s="78">
        <f t="shared" ref="AV30:BE30" si="25">AV18+AV19</f>
        <v>188067.408</v>
      </c>
      <c r="AW30" s="78">
        <f t="shared" si="25"/>
        <v>171352.228</v>
      </c>
      <c r="AX30" s="78">
        <f t="shared" si="25"/>
        <v>160013.84399999998</v>
      </c>
      <c r="AY30" s="78">
        <f t="shared" si="25"/>
        <v>152794.967</v>
      </c>
      <c r="AZ30" s="78">
        <f t="shared" si="25"/>
        <v>156008.35800000001</v>
      </c>
      <c r="BA30" s="78">
        <f t="shared" si="25"/>
        <v>141809.005</v>
      </c>
      <c r="BB30" s="78">
        <f t="shared" si="25"/>
        <v>134644.571</v>
      </c>
      <c r="BC30" s="78">
        <f t="shared" si="25"/>
        <v>131462.429</v>
      </c>
      <c r="BD30" s="78">
        <f t="shared" si="25"/>
        <v>125304.133</v>
      </c>
      <c r="BE30" s="78">
        <f t="shared" si="25"/>
        <v>120306.031</v>
      </c>
      <c r="BF30" s="78">
        <f t="shared" ref="BF30:BT30" si="26">BF18+BF19</f>
        <v>117166.55100000001</v>
      </c>
      <c r="BG30" s="78">
        <f t="shared" si="26"/>
        <v>104605.129</v>
      </c>
      <c r="BH30" s="78">
        <f t="shared" si="26"/>
        <v>101220.144</v>
      </c>
      <c r="BI30" s="78">
        <f t="shared" si="26"/>
        <v>95360.793999999994</v>
      </c>
      <c r="BJ30" s="78">
        <f t="shared" si="26"/>
        <v>96825.811000000002</v>
      </c>
      <c r="BK30" s="78">
        <f t="shared" si="26"/>
        <v>88285.471000000005</v>
      </c>
      <c r="BL30" s="78">
        <f t="shared" si="26"/>
        <v>87391.959000000003</v>
      </c>
      <c r="BM30" s="78">
        <f t="shared" si="26"/>
        <v>80715.013999999996</v>
      </c>
      <c r="BN30" s="78">
        <f t="shared" si="26"/>
        <v>74609.387000000002</v>
      </c>
      <c r="BO30" s="78">
        <f t="shared" si="26"/>
        <v>71435.990000000005</v>
      </c>
      <c r="BP30" s="78">
        <f t="shared" si="26"/>
        <v>72425.62</v>
      </c>
      <c r="BQ30" s="78">
        <f t="shared" si="26"/>
        <v>66412.125</v>
      </c>
      <c r="BR30" s="78">
        <f t="shared" si="26"/>
        <v>65846.070000000007</v>
      </c>
      <c r="BS30" s="78">
        <f t="shared" si="26"/>
        <v>62644.856</v>
      </c>
      <c r="BT30" s="78">
        <f t="shared" si="26"/>
        <v>60730.258000000002</v>
      </c>
    </row>
    <row r="31" spans="1:72" s="77" customFormat="1" ht="25.5" customHeight="1" x14ac:dyDescent="0.25">
      <c r="A31" s="74">
        <v>31</v>
      </c>
      <c r="B31" s="133" t="s">
        <v>305</v>
      </c>
      <c r="C31" s="197">
        <f ca="1">OFFSET($E$7,$A31-$A$7,1,1,1)/OFFSET($E$7,$A31-$A$7,2,1,1)-1</f>
        <v>-5.5593071245115033E-2</v>
      </c>
      <c r="D31" s="125">
        <f ca="1">OFFSET($E$7,$A31-$A$7,1,1,1)/OFFSET($E$7,$A31-$A$7,5,1,1)-1</f>
        <v>0.28862499491642613</v>
      </c>
      <c r="E31" s="198">
        <f ca="1">OFFSET($E$7,$A31-$A$7,1,1,1)/OFFSET($E$7,$A31-$A$7,IF(MONTH(MAX($7:$7))=3,2,IF(MONTH(MAX($7:$7))=6,3,IF(MONTH(MAX($7:$7))=9,4,5)))*1,1)-1</f>
        <v>-4.9363826044266257E-2</v>
      </c>
      <c r="F31" s="332">
        <f>F11+F12+F14+F15+F16+F21</f>
        <v>348546</v>
      </c>
      <c r="G31" s="332">
        <f t="shared" ref="G31" si="27">G11+G12+G14+G15+G16+G21</f>
        <v>369063.36599999998</v>
      </c>
      <c r="H31" s="218">
        <f>H11+H12+H14+H15+H16+H21</f>
        <v>366645</v>
      </c>
      <c r="I31" s="218">
        <f t="shared" ref="I31" si="28">I11+I12+I14+I15+I16+I21</f>
        <v>364327</v>
      </c>
      <c r="J31" s="218">
        <f t="shared" ref="J31:K31" si="29">J11+J12+J14+J15+J16+J21</f>
        <v>270479</v>
      </c>
      <c r="K31" s="218">
        <f t="shared" si="29"/>
        <v>266204</v>
      </c>
      <c r="L31" s="218">
        <f t="shared" ref="L31:X31" si="30">L11+L12+L14+L15+L16+L21</f>
        <v>279286</v>
      </c>
      <c r="M31" s="218">
        <f t="shared" si="30"/>
        <v>244586</v>
      </c>
      <c r="N31" s="218">
        <f t="shared" si="30"/>
        <v>260100</v>
      </c>
      <c r="O31" s="218">
        <f t="shared" si="30"/>
        <v>248001</v>
      </c>
      <c r="P31" s="218">
        <f t="shared" si="30"/>
        <v>255509</v>
      </c>
      <c r="Q31" s="218">
        <f t="shared" si="30"/>
        <v>245973</v>
      </c>
      <c r="R31" s="218">
        <f t="shared" si="30"/>
        <v>237246</v>
      </c>
      <c r="S31" s="218">
        <f t="shared" si="30"/>
        <v>257580</v>
      </c>
      <c r="T31" s="218">
        <f t="shared" si="30"/>
        <v>318311</v>
      </c>
      <c r="U31" s="425"/>
      <c r="V31" s="425"/>
      <c r="W31" s="425"/>
      <c r="X31" s="218">
        <f t="shared" si="30"/>
        <v>210053</v>
      </c>
      <c r="Y31" s="218">
        <f t="shared" ref="Y31:AD31" si="31">Y11+Y12+Y14+Y15+Y16+Y21</f>
        <v>209258.927</v>
      </c>
      <c r="Z31" s="218">
        <f t="shared" si="31"/>
        <v>221245.08500000002</v>
      </c>
      <c r="AA31" s="218">
        <f t="shared" si="31"/>
        <v>221861.96099999998</v>
      </c>
      <c r="AB31" s="218">
        <f t="shared" si="31"/>
        <v>203043.05200000003</v>
      </c>
      <c r="AC31" s="218">
        <f t="shared" si="31"/>
        <v>208293.31500000003</v>
      </c>
      <c r="AD31" s="218">
        <f t="shared" si="31"/>
        <v>182256.11499999996</v>
      </c>
      <c r="AE31" s="218">
        <f t="shared" ref="AE31:AM31" si="32">AE11+AE12+AE14+AE15+AE16+AE21</f>
        <v>178728.68</v>
      </c>
      <c r="AF31" s="218">
        <f t="shared" si="32"/>
        <v>168607.158</v>
      </c>
      <c r="AG31" s="218">
        <f t="shared" si="32"/>
        <v>174580.47099999999</v>
      </c>
      <c r="AH31" s="218">
        <f t="shared" si="32"/>
        <v>151435.03199999998</v>
      </c>
      <c r="AI31" s="218">
        <f t="shared" si="32"/>
        <v>163523.46299999999</v>
      </c>
      <c r="AJ31" s="218">
        <f t="shared" si="32"/>
        <v>165668.89500000002</v>
      </c>
      <c r="AK31" s="218">
        <f t="shared" si="32"/>
        <v>154483.552</v>
      </c>
      <c r="AL31" s="218">
        <f t="shared" si="32"/>
        <v>146278.06700000001</v>
      </c>
      <c r="AM31" s="218">
        <f t="shared" si="32"/>
        <v>147297.856</v>
      </c>
      <c r="AN31" s="218">
        <f t="shared" ref="AN31:AS31" si="33">AN11+AN12+AN14+AN15+AN16+AN21</f>
        <v>154638.30300000001</v>
      </c>
      <c r="AO31" s="218">
        <f t="shared" si="33"/>
        <v>142823.04699999999</v>
      </c>
      <c r="AP31" s="218">
        <f t="shared" si="33"/>
        <v>124469.77900000001</v>
      </c>
      <c r="AQ31" s="78">
        <f t="shared" si="33"/>
        <v>143713.18000000002</v>
      </c>
      <c r="AR31" s="218">
        <f t="shared" si="33"/>
        <v>170407.804</v>
      </c>
      <c r="AS31" s="126">
        <f t="shared" si="33"/>
        <v>144779.70499999999</v>
      </c>
      <c r="AT31" s="126">
        <f>AT11+AT12+AT14+AT15+AT16+AT21</f>
        <v>151405.57800000001</v>
      </c>
      <c r="AU31" s="126">
        <f t="shared" ref="AU31:AZ31" si="34">AU11+AU12+AU14+AU15+AU16+AU21</f>
        <v>145582.413</v>
      </c>
      <c r="AV31" s="78">
        <f t="shared" si="34"/>
        <v>154957.68799999999</v>
      </c>
      <c r="AW31" s="78">
        <f t="shared" si="34"/>
        <v>157040.57200000001</v>
      </c>
      <c r="AX31" s="78">
        <f t="shared" si="34"/>
        <v>154261.06900000002</v>
      </c>
      <c r="AY31" s="78">
        <f t="shared" si="34"/>
        <v>164565.527</v>
      </c>
      <c r="AZ31" s="78">
        <f t="shared" si="34"/>
        <v>168879.33700000003</v>
      </c>
      <c r="BA31" s="78">
        <f t="shared" ref="BA31:BF31" si="35">BA11+BA12+BA14+BA15+BA16+BA21</f>
        <v>142634.666</v>
      </c>
      <c r="BB31" s="78">
        <f t="shared" si="35"/>
        <v>132812.80500000002</v>
      </c>
      <c r="BC31" s="78">
        <f t="shared" si="35"/>
        <v>141545.70500000002</v>
      </c>
      <c r="BD31" s="78">
        <f t="shared" si="35"/>
        <v>136330.49800000002</v>
      </c>
      <c r="BE31" s="78">
        <f t="shared" si="35"/>
        <v>142059.20900000003</v>
      </c>
      <c r="BF31" s="78">
        <f t="shared" si="35"/>
        <v>131438.67299999998</v>
      </c>
      <c r="BG31" s="78">
        <f t="shared" ref="BG31:BT31" si="36">BG11+BG12+BG14+BG15+BG16+BG21</f>
        <v>131532.98200000002</v>
      </c>
      <c r="BH31" s="78">
        <f t="shared" si="36"/>
        <v>126820.92400000001</v>
      </c>
      <c r="BI31" s="78">
        <f t="shared" si="36"/>
        <v>129349.77799999999</v>
      </c>
      <c r="BJ31" s="78">
        <f t="shared" si="36"/>
        <v>130035.60200000001</v>
      </c>
      <c r="BK31" s="78">
        <f t="shared" si="36"/>
        <v>136183.867</v>
      </c>
      <c r="BL31" s="78">
        <f t="shared" si="36"/>
        <v>148667.375</v>
      </c>
      <c r="BM31" s="78">
        <f t="shared" si="36"/>
        <v>141237.24699999997</v>
      </c>
      <c r="BN31" s="78">
        <f t="shared" si="36"/>
        <v>137619.41200000001</v>
      </c>
      <c r="BO31" s="78">
        <f t="shared" si="36"/>
        <v>128573.211</v>
      </c>
      <c r="BP31" s="78">
        <f t="shared" si="36"/>
        <v>129747.28599999999</v>
      </c>
      <c r="BQ31" s="78">
        <f t="shared" si="36"/>
        <v>112630.97099999999</v>
      </c>
      <c r="BR31" s="78">
        <f t="shared" si="36"/>
        <v>109382.049</v>
      </c>
      <c r="BS31" s="78">
        <f t="shared" si="36"/>
        <v>110301.837</v>
      </c>
      <c r="BT31" s="78">
        <f t="shared" si="36"/>
        <v>120410.8</v>
      </c>
    </row>
    <row r="32" spans="1:72" ht="9.75" customHeight="1" x14ac:dyDescent="0.25">
      <c r="A32" s="74">
        <v>32</v>
      </c>
      <c r="B32" s="8" t="s">
        <v>214</v>
      </c>
      <c r="C32" s="199"/>
      <c r="D32" s="57"/>
      <c r="E32" s="200"/>
      <c r="F32" s="303"/>
      <c r="G32" s="303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426"/>
      <c r="V32" s="426"/>
      <c r="W32" s="426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174"/>
      <c r="AT32" s="174"/>
      <c r="AU32" s="174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8"/>
    </row>
    <row r="33" spans="1:72" ht="25.5" customHeight="1" x14ac:dyDescent="0.25">
      <c r="A33" s="74">
        <v>33</v>
      </c>
      <c r="B33" s="76" t="s">
        <v>304</v>
      </c>
      <c r="C33" s="206"/>
      <c r="D33" s="88"/>
      <c r="E33" s="205"/>
      <c r="F33" s="386">
        <f t="shared" ref="F33:G33" si="37">F30/F22</f>
        <v>0.61670273694212041</v>
      </c>
      <c r="G33" s="386">
        <f t="shared" si="37"/>
        <v>0.59135321249284356</v>
      </c>
      <c r="H33" s="134">
        <f t="shared" ref="H33" si="38">H30/H22</f>
        <v>0.58710265197115707</v>
      </c>
      <c r="I33" s="134">
        <f t="shared" ref="I33" si="39">I30/I22</f>
        <v>0.57457717763443672</v>
      </c>
      <c r="J33" s="134">
        <f t="shared" ref="J33:K33" si="40">J30/J22</f>
        <v>0.64278158062603263</v>
      </c>
      <c r="K33" s="134">
        <f t="shared" si="40"/>
        <v>0.63450234988665899</v>
      </c>
      <c r="L33" s="134">
        <f t="shared" ref="L33:X33" si="41">L30/L22</f>
        <v>0.60978097457650804</v>
      </c>
      <c r="M33" s="134">
        <f t="shared" si="41"/>
        <v>0.60513961357648394</v>
      </c>
      <c r="N33" s="134">
        <f t="shared" si="41"/>
        <v>0.60255550241354705</v>
      </c>
      <c r="O33" s="134">
        <f t="shared" si="41"/>
        <v>0.61753384349177853</v>
      </c>
      <c r="P33" s="134">
        <f t="shared" si="41"/>
        <v>0.60757213199856241</v>
      </c>
      <c r="Q33" s="134">
        <f t="shared" si="41"/>
        <v>0.59826385202727528</v>
      </c>
      <c r="R33" s="134">
        <f t="shared" si="41"/>
        <v>0.59057256953912107</v>
      </c>
      <c r="S33" s="134">
        <f t="shared" si="41"/>
        <v>0.56183445037934199</v>
      </c>
      <c r="T33" s="134">
        <f t="shared" si="41"/>
        <v>0.50768757259540065</v>
      </c>
      <c r="U33" s="427"/>
      <c r="V33" s="427"/>
      <c r="W33" s="427"/>
      <c r="X33" s="134">
        <f t="shared" si="41"/>
        <v>0.58419014739709318</v>
      </c>
      <c r="Y33" s="134">
        <f t="shared" ref="Y33:AD33" si="42">Y30/Y22</f>
        <v>0.57513065002537922</v>
      </c>
      <c r="Z33" s="134">
        <f t="shared" si="42"/>
        <v>0.55089269737455027</v>
      </c>
      <c r="AA33" s="134">
        <f t="shared" si="42"/>
        <v>0.54293812392792995</v>
      </c>
      <c r="AB33" s="134">
        <f t="shared" si="42"/>
        <v>0.57617402492179093</v>
      </c>
      <c r="AC33" s="134">
        <f t="shared" si="42"/>
        <v>0.56133807074499553</v>
      </c>
      <c r="AD33" s="134">
        <f t="shared" si="42"/>
        <v>0.57835240213125305</v>
      </c>
      <c r="AE33" s="134">
        <f t="shared" ref="AE33:AK33" si="43">AE30/AE22</f>
        <v>0.5888429061121927</v>
      </c>
      <c r="AF33" s="134">
        <f t="shared" si="43"/>
        <v>0.59622264938583514</v>
      </c>
      <c r="AG33" s="134">
        <f t="shared" si="43"/>
        <v>0.58133671196429104</v>
      </c>
      <c r="AH33" s="134">
        <f t="shared" si="43"/>
        <v>0.62123462753416447</v>
      </c>
      <c r="AI33" s="134">
        <f t="shared" si="43"/>
        <v>0.59656394382939992</v>
      </c>
      <c r="AJ33" s="134">
        <f t="shared" si="43"/>
        <v>0.60057252585409027</v>
      </c>
      <c r="AK33" s="134">
        <f t="shared" si="43"/>
        <v>0.59358916699896369</v>
      </c>
      <c r="AL33" s="134">
        <f t="shared" ref="AL33:AQ33" si="44">AL30/AL22</f>
        <v>0.59583500479327844</v>
      </c>
      <c r="AM33" s="134">
        <f t="shared" si="44"/>
        <v>0.58321630232332511</v>
      </c>
      <c r="AN33" s="134">
        <f t="shared" si="44"/>
        <v>0.5707180474314737</v>
      </c>
      <c r="AO33" s="134">
        <f t="shared" si="44"/>
        <v>0.574534535832399</v>
      </c>
      <c r="AP33" s="134">
        <f t="shared" si="44"/>
        <v>0.61435434064773931</v>
      </c>
      <c r="AQ33" s="134">
        <f t="shared" si="44"/>
        <v>0.56211769117174737</v>
      </c>
      <c r="AR33" s="134">
        <f t="shared" ref="AR33:BF33" si="45">AR30/AR22</f>
        <v>0.52377061649027679</v>
      </c>
      <c r="AS33" s="134">
        <f t="shared" si="45"/>
        <v>0.56617360099435921</v>
      </c>
      <c r="AT33" s="134">
        <f t="shared" si="45"/>
        <v>0.55368042404622564</v>
      </c>
      <c r="AU33" s="134">
        <f t="shared" si="45"/>
        <v>0.55893533335080436</v>
      </c>
      <c r="AV33" s="134">
        <f t="shared" si="45"/>
        <v>0.5482613668592925</v>
      </c>
      <c r="AW33" s="134">
        <f t="shared" si="45"/>
        <v>0.52179045338387442</v>
      </c>
      <c r="AX33" s="134">
        <f t="shared" si="45"/>
        <v>0.50915245659458663</v>
      </c>
      <c r="AY33" s="134">
        <f t="shared" si="45"/>
        <v>0.48145553680667008</v>
      </c>
      <c r="AZ33" s="134">
        <f t="shared" si="45"/>
        <v>0.48019164899427785</v>
      </c>
      <c r="BA33" s="134">
        <f t="shared" si="45"/>
        <v>0.49854863882698242</v>
      </c>
      <c r="BB33" s="134">
        <f t="shared" si="45"/>
        <v>0.50342440733434846</v>
      </c>
      <c r="BC33" s="134">
        <f t="shared" si="45"/>
        <v>0.48153301176000857</v>
      </c>
      <c r="BD33" s="134">
        <f t="shared" si="45"/>
        <v>0.47892793290044233</v>
      </c>
      <c r="BE33" s="134">
        <f t="shared" si="45"/>
        <v>0.45854409295987536</v>
      </c>
      <c r="BF33" s="134">
        <f t="shared" si="45"/>
        <v>0.47129561122979463</v>
      </c>
      <c r="BG33" s="134">
        <f t="shared" ref="BG33:BT33" si="46">BG30/BG22</f>
        <v>0.44298283134821892</v>
      </c>
      <c r="BH33" s="134">
        <f t="shared" si="46"/>
        <v>0.4438680492410253</v>
      </c>
      <c r="BI33" s="134">
        <f t="shared" si="46"/>
        <v>0.42437164015585338</v>
      </c>
      <c r="BJ33" s="134">
        <f t="shared" si="46"/>
        <v>0.42680599454786966</v>
      </c>
      <c r="BK33" s="134">
        <f t="shared" si="46"/>
        <v>0.39330748594269033</v>
      </c>
      <c r="BL33" s="134">
        <f t="shared" si="46"/>
        <v>0.37021183411455361</v>
      </c>
      <c r="BM33" s="134">
        <f t="shared" si="46"/>
        <v>0.36365934564640456</v>
      </c>
      <c r="BN33" s="134">
        <f t="shared" si="46"/>
        <v>0.35155166194009324</v>
      </c>
      <c r="BO33" s="134">
        <f t="shared" si="46"/>
        <v>0.3571635186923226</v>
      </c>
      <c r="BP33" s="134">
        <f t="shared" si="46"/>
        <v>0.35823603386301428</v>
      </c>
      <c r="BQ33" s="134">
        <f t="shared" si="46"/>
        <v>0.37092815352120589</v>
      </c>
      <c r="BR33" s="134">
        <f t="shared" si="46"/>
        <v>0.37577342252929169</v>
      </c>
      <c r="BS33" s="134">
        <f t="shared" si="46"/>
        <v>0.36222060632289743</v>
      </c>
      <c r="BT33" s="134">
        <f t="shared" si="46"/>
        <v>0.33526500656742331</v>
      </c>
    </row>
    <row r="34" spans="1:72" ht="25.5" customHeight="1" x14ac:dyDescent="0.25">
      <c r="A34" s="74">
        <v>34</v>
      </c>
      <c r="B34" s="76" t="s">
        <v>305</v>
      </c>
      <c r="C34" s="206"/>
      <c r="D34" s="88"/>
      <c r="E34" s="205"/>
      <c r="F34" s="386">
        <f t="shared" ref="F34:G34" si="47">F31/F22</f>
        <v>0.38329726305787959</v>
      </c>
      <c r="G34" s="386">
        <f t="shared" si="47"/>
        <v>0.40864678750715649</v>
      </c>
      <c r="H34" s="134">
        <f t="shared" ref="H34" si="48">H31/H22</f>
        <v>0.41289734802884298</v>
      </c>
      <c r="I34" s="134">
        <f t="shared" ref="I34" si="49">I31/I22</f>
        <v>0.42542282236556328</v>
      </c>
      <c r="J34" s="134">
        <f t="shared" ref="J34:K34" si="50">J31/J22</f>
        <v>0.35721841937396737</v>
      </c>
      <c r="K34" s="134">
        <f t="shared" si="50"/>
        <v>0.36549765011334101</v>
      </c>
      <c r="L34" s="134">
        <f t="shared" ref="L34:X34" si="51">L31/L22</f>
        <v>0.39021902542349202</v>
      </c>
      <c r="M34" s="134">
        <f t="shared" si="51"/>
        <v>0.39486038642351606</v>
      </c>
      <c r="N34" s="134">
        <f t="shared" si="51"/>
        <v>0.39744449758645295</v>
      </c>
      <c r="O34" s="134">
        <f t="shared" si="51"/>
        <v>0.38246615650822147</v>
      </c>
      <c r="P34" s="134">
        <f t="shared" si="51"/>
        <v>0.39242786800143759</v>
      </c>
      <c r="Q34" s="134">
        <f t="shared" si="51"/>
        <v>0.40173614797272467</v>
      </c>
      <c r="R34" s="134">
        <f t="shared" si="51"/>
        <v>0.40942743046087898</v>
      </c>
      <c r="S34" s="134">
        <f t="shared" si="51"/>
        <v>0.43816554962065796</v>
      </c>
      <c r="T34" s="134">
        <f t="shared" si="51"/>
        <v>0.49231242740459941</v>
      </c>
      <c r="U34" s="427"/>
      <c r="V34" s="427"/>
      <c r="W34" s="427"/>
      <c r="X34" s="134">
        <f t="shared" si="51"/>
        <v>0.41580985260290676</v>
      </c>
      <c r="Y34" s="134">
        <f t="shared" ref="Y34:AD34" si="52">Y31/Y22</f>
        <v>0.42486934997462072</v>
      </c>
      <c r="Z34" s="134">
        <f t="shared" si="52"/>
        <v>0.44910730262544973</v>
      </c>
      <c r="AA34" s="134">
        <f t="shared" si="52"/>
        <v>0.45706187607207011</v>
      </c>
      <c r="AB34" s="134">
        <f t="shared" si="52"/>
        <v>0.42382597507820913</v>
      </c>
      <c r="AC34" s="134">
        <f t="shared" si="52"/>
        <v>0.43866192925500463</v>
      </c>
      <c r="AD34" s="134">
        <f t="shared" si="52"/>
        <v>0.42164759786874678</v>
      </c>
      <c r="AE34" s="134">
        <f t="shared" ref="AE34:BF34" si="53">AE31/AE22</f>
        <v>0.4111570938878073</v>
      </c>
      <c r="AF34" s="134">
        <f t="shared" si="53"/>
        <v>0.40377735061416486</v>
      </c>
      <c r="AG34" s="134">
        <f t="shared" si="53"/>
        <v>0.41866328803570885</v>
      </c>
      <c r="AH34" s="134">
        <f t="shared" si="53"/>
        <v>0.37876537246583536</v>
      </c>
      <c r="AI34" s="134">
        <f t="shared" si="53"/>
        <v>0.40343605617060008</v>
      </c>
      <c r="AJ34" s="134">
        <f t="shared" si="53"/>
        <v>0.39942747414590973</v>
      </c>
      <c r="AK34" s="134">
        <f t="shared" si="53"/>
        <v>0.40641083300103625</v>
      </c>
      <c r="AL34" s="134">
        <f t="shared" si="53"/>
        <v>0.40416499520672167</v>
      </c>
      <c r="AM34" s="134">
        <f t="shared" si="53"/>
        <v>0.41678369767667495</v>
      </c>
      <c r="AN34" s="134">
        <f t="shared" si="53"/>
        <v>0.4292819525685263</v>
      </c>
      <c r="AO34" s="134">
        <f t="shared" si="53"/>
        <v>0.42546546416760106</v>
      </c>
      <c r="AP34" s="134">
        <f t="shared" si="53"/>
        <v>0.38564565935226064</v>
      </c>
      <c r="AQ34" s="134">
        <f t="shared" si="53"/>
        <v>0.43788230882825285</v>
      </c>
      <c r="AR34" s="134">
        <f t="shared" si="53"/>
        <v>0.47622938350972316</v>
      </c>
      <c r="AS34" s="134">
        <f t="shared" si="53"/>
        <v>0.43382639900564074</v>
      </c>
      <c r="AT34" s="134">
        <f t="shared" si="53"/>
        <v>0.44631957595377447</v>
      </c>
      <c r="AU34" s="134">
        <f t="shared" si="53"/>
        <v>0.44106466664919569</v>
      </c>
      <c r="AV34" s="134">
        <f t="shared" si="53"/>
        <v>0.45173863314070761</v>
      </c>
      <c r="AW34" s="134">
        <f t="shared" si="53"/>
        <v>0.47820954661612564</v>
      </c>
      <c r="AX34" s="134">
        <f t="shared" si="53"/>
        <v>0.49084754340541337</v>
      </c>
      <c r="AY34" s="134">
        <f t="shared" si="53"/>
        <v>0.51854446319332992</v>
      </c>
      <c r="AZ34" s="134">
        <f t="shared" si="53"/>
        <v>0.5198083510057222</v>
      </c>
      <c r="BA34" s="134">
        <f t="shared" si="53"/>
        <v>0.5014513611730177</v>
      </c>
      <c r="BB34" s="134">
        <f t="shared" si="53"/>
        <v>0.4965755926656516</v>
      </c>
      <c r="BC34" s="134">
        <f t="shared" si="53"/>
        <v>0.51846698823999149</v>
      </c>
      <c r="BD34" s="134">
        <f t="shared" si="53"/>
        <v>0.52107206709955767</v>
      </c>
      <c r="BE34" s="134">
        <f t="shared" si="53"/>
        <v>0.54145590704012481</v>
      </c>
      <c r="BF34" s="134">
        <f t="shared" si="53"/>
        <v>0.52870438877020531</v>
      </c>
      <c r="BG34" s="134">
        <f t="shared" ref="BG34:BT34" si="54">BG31/BG22</f>
        <v>0.55701716865178119</v>
      </c>
      <c r="BH34" s="134">
        <f t="shared" si="54"/>
        <v>0.5561319507589747</v>
      </c>
      <c r="BI34" s="134">
        <f t="shared" si="54"/>
        <v>0.57562835984414651</v>
      </c>
      <c r="BJ34" s="134">
        <f t="shared" si="54"/>
        <v>0.5731940054521304</v>
      </c>
      <c r="BK34" s="134">
        <f t="shared" si="54"/>
        <v>0.60669251405730962</v>
      </c>
      <c r="BL34" s="134">
        <f t="shared" si="54"/>
        <v>0.62978816588544639</v>
      </c>
      <c r="BM34" s="134">
        <f t="shared" si="54"/>
        <v>0.63634065435359533</v>
      </c>
      <c r="BN34" s="134">
        <f t="shared" si="54"/>
        <v>0.64844833805990676</v>
      </c>
      <c r="BO34" s="134">
        <f t="shared" si="54"/>
        <v>0.64283648130767745</v>
      </c>
      <c r="BP34" s="134">
        <f t="shared" si="54"/>
        <v>0.64176396613698572</v>
      </c>
      <c r="BQ34" s="134">
        <f t="shared" si="54"/>
        <v>0.62907184647879411</v>
      </c>
      <c r="BR34" s="134">
        <f t="shared" si="54"/>
        <v>0.62422657747070831</v>
      </c>
      <c r="BS34" s="134">
        <f t="shared" si="54"/>
        <v>0.63777939367710257</v>
      </c>
      <c r="BT34" s="134">
        <f t="shared" si="54"/>
        <v>0.6647349934325768</v>
      </c>
    </row>
    <row r="35" spans="1:72" ht="9.75" customHeight="1" x14ac:dyDescent="0.25">
      <c r="A35" s="74">
        <v>35</v>
      </c>
      <c r="B35" s="8" t="s">
        <v>8</v>
      </c>
      <c r="C35" s="203"/>
      <c r="D35" s="279"/>
      <c r="E35" s="204"/>
      <c r="F35" s="301"/>
      <c r="G35" s="301"/>
      <c r="U35" s="405"/>
      <c r="V35" s="405"/>
      <c r="W35" s="405"/>
    </row>
    <row r="36" spans="1:72" s="77" customFormat="1" ht="25.5" customHeight="1" x14ac:dyDescent="0.25">
      <c r="A36" s="74">
        <v>36</v>
      </c>
      <c r="B36" s="75" t="s">
        <v>303</v>
      </c>
      <c r="C36" s="197">
        <f ca="1">OFFSET($E$7,$A36-$A$7,1,1,1)/OFFSET($E$7,$A36-$A$7,2,1,1)-1</f>
        <v>9.3031296441680178E-2</v>
      </c>
      <c r="D36" s="125">
        <f ca="1">OFFSET($E$7,$A36-$A$7,1,1,1)/OFFSET($E$7,$A36-$A$7,5,1,1)-1</f>
        <v>-9.3372474704747743E-2</v>
      </c>
      <c r="E36" s="198">
        <f ca="1">OFFSET($E$7,$A36-$A$7,1,1,1)/OFFSET($E$7,$A36-$A$7,IF(MONTH(MAX($7:$7))=3,2,IF(MONTH(MAX($7:$7))=6,3,IF(MONTH(MAX($7:$7))=9,4,5)))*1,1)-1</f>
        <v>3.3697135719349625E-2</v>
      </c>
      <c r="F36" s="332">
        <f t="shared" ref="F36:G36" si="55">F11+F14+F18</f>
        <v>214334</v>
      </c>
      <c r="G36" s="332">
        <f t="shared" si="55"/>
        <v>196091.36599999998</v>
      </c>
      <c r="H36" s="218">
        <f t="shared" ref="H36" si="56">H11+H14+H18</f>
        <v>207347</v>
      </c>
      <c r="I36" s="218">
        <f t="shared" ref="I36" si="57">I11+I14+I18</f>
        <v>208321</v>
      </c>
      <c r="J36" s="218">
        <f t="shared" ref="J36:K36" si="58">J11+J14+J18</f>
        <v>236408</v>
      </c>
      <c r="K36" s="218">
        <f t="shared" si="58"/>
        <v>236472</v>
      </c>
      <c r="L36" s="218">
        <f t="shared" ref="L36:X36" si="59">L11+L14+L18</f>
        <v>194235</v>
      </c>
      <c r="M36" s="218">
        <f t="shared" si="59"/>
        <v>232178.29520105</v>
      </c>
      <c r="N36" s="218">
        <f t="shared" si="59"/>
        <v>270484.56419552001</v>
      </c>
      <c r="O36" s="218">
        <f t="shared" si="59"/>
        <v>265836.39956701</v>
      </c>
      <c r="P36" s="218">
        <f t="shared" si="59"/>
        <v>264953</v>
      </c>
      <c r="Q36" s="218">
        <f t="shared" si="59"/>
        <v>277397.64146249997</v>
      </c>
      <c r="R36" s="218">
        <f t="shared" si="59"/>
        <v>267080.27784141997</v>
      </c>
      <c r="S36" s="218">
        <f t="shared" si="59"/>
        <v>278818.41135545995</v>
      </c>
      <c r="T36" s="218">
        <f t="shared" si="59"/>
        <v>291920.88809314999</v>
      </c>
      <c r="U36" s="425"/>
      <c r="V36" s="425"/>
      <c r="W36" s="425"/>
      <c r="X36" s="218">
        <f t="shared" si="59"/>
        <v>214780.89821091999</v>
      </c>
      <c r="Y36" s="218">
        <f t="shared" ref="Y36:AD36" si="60">Y11+Y14+Y18</f>
        <v>229925.24720262998</v>
      </c>
      <c r="Z36" s="218">
        <f t="shared" si="60"/>
        <v>225036.21534912998</v>
      </c>
      <c r="AA36" s="218">
        <f t="shared" si="60"/>
        <v>213427.61787081001</v>
      </c>
      <c r="AB36" s="218">
        <f t="shared" si="60"/>
        <v>194875.89756196999</v>
      </c>
      <c r="AC36" s="218">
        <f t="shared" si="60"/>
        <v>216687.00225275999</v>
      </c>
      <c r="AD36" s="218">
        <f t="shared" si="60"/>
        <v>167561.08932736999</v>
      </c>
      <c r="AE36" s="218">
        <f t="shared" ref="AE36:AJ36" si="61">AE11+AE14+AE18</f>
        <v>163838.86767478002</v>
      </c>
      <c r="AF36" s="218">
        <f t="shared" si="61"/>
        <v>145716.01732846</v>
      </c>
      <c r="AG36" s="218">
        <f t="shared" si="61"/>
        <v>151324.88857216001</v>
      </c>
      <c r="AH36" s="218">
        <f t="shared" si="61"/>
        <v>138111.47294593</v>
      </c>
      <c r="AI36" s="218">
        <f t="shared" si="61"/>
        <v>132301.43399999998</v>
      </c>
      <c r="AJ36" s="218">
        <f t="shared" si="61"/>
        <v>127196.83199999999</v>
      </c>
      <c r="AK36" s="218">
        <f t="shared" ref="AK36:AP36" si="62">AK11+AK14+AK18</f>
        <v>131487.394</v>
      </c>
      <c r="AL36" s="218">
        <f t="shared" si="62"/>
        <v>120456.118</v>
      </c>
      <c r="AM36" s="218">
        <f t="shared" si="62"/>
        <v>109533.027</v>
      </c>
      <c r="AN36" s="218">
        <f t="shared" si="62"/>
        <v>109233.436</v>
      </c>
      <c r="AO36" s="218">
        <f t="shared" si="62"/>
        <v>108005.409</v>
      </c>
      <c r="AP36" s="218">
        <f t="shared" si="62"/>
        <v>106646.235</v>
      </c>
      <c r="AQ36" s="78">
        <f t="shared" ref="AQ36:BT36" si="63">AQ11+AQ14+AQ18</f>
        <v>105166.209</v>
      </c>
      <c r="AR36" s="218">
        <f t="shared" si="63"/>
        <v>104199.07399999999</v>
      </c>
      <c r="AS36" s="78">
        <f t="shared" si="63"/>
        <v>105646.802</v>
      </c>
      <c r="AT36" s="78">
        <f t="shared" si="63"/>
        <v>109408.489</v>
      </c>
      <c r="AU36" s="78">
        <f t="shared" si="63"/>
        <v>105101.56299999999</v>
      </c>
      <c r="AV36" s="78">
        <f t="shared" si="63"/>
        <v>99764.87</v>
      </c>
      <c r="AW36" s="78">
        <f t="shared" si="63"/>
        <v>97622.054999999993</v>
      </c>
      <c r="AX36" s="78">
        <f t="shared" si="63"/>
        <v>95849.619000000006</v>
      </c>
      <c r="AY36" s="78">
        <f t="shared" si="63"/>
        <v>109869.163</v>
      </c>
      <c r="AZ36" s="78">
        <f t="shared" si="63"/>
        <v>109719.65800000001</v>
      </c>
      <c r="BA36" s="78">
        <f t="shared" si="63"/>
        <v>101808.59</v>
      </c>
      <c r="BB36" s="78">
        <f t="shared" si="63"/>
        <v>98514.244999999995</v>
      </c>
      <c r="BC36" s="78">
        <f t="shared" si="63"/>
        <v>102342.336</v>
      </c>
      <c r="BD36" s="78">
        <f t="shared" si="63"/>
        <v>86346.489000000001</v>
      </c>
      <c r="BE36" s="78">
        <f t="shared" si="63"/>
        <v>89121.929000000004</v>
      </c>
      <c r="BF36" s="78">
        <f t="shared" si="63"/>
        <v>78773.808000000005</v>
      </c>
      <c r="BG36" s="78">
        <f t="shared" si="63"/>
        <v>74732.146000000008</v>
      </c>
      <c r="BH36" s="78">
        <f t="shared" si="63"/>
        <v>75683.453999999998</v>
      </c>
      <c r="BI36" s="78">
        <f t="shared" si="63"/>
        <v>69138.956999999995</v>
      </c>
      <c r="BJ36" s="78">
        <f t="shared" si="63"/>
        <v>70068.072</v>
      </c>
      <c r="BK36" s="78">
        <f t="shared" si="63"/>
        <v>71023.317999999999</v>
      </c>
      <c r="BL36" s="78">
        <f t="shared" si="63"/>
        <v>70948.786999999997</v>
      </c>
      <c r="BM36" s="78">
        <f t="shared" si="63"/>
        <v>67257.198000000004</v>
      </c>
      <c r="BN36" s="78">
        <f t="shared" si="63"/>
        <v>61658.137999999999</v>
      </c>
      <c r="BO36" s="78">
        <f t="shared" si="63"/>
        <v>56700.391000000003</v>
      </c>
      <c r="BP36" s="78">
        <f t="shared" si="63"/>
        <v>58804.222999999998</v>
      </c>
      <c r="BQ36" s="78">
        <f t="shared" si="63"/>
        <v>51800.188999999998</v>
      </c>
      <c r="BR36" s="78">
        <f t="shared" si="63"/>
        <v>53361.203999999998</v>
      </c>
      <c r="BS36" s="78">
        <f t="shared" si="63"/>
        <v>45225.722999999998</v>
      </c>
      <c r="BT36" s="78">
        <f t="shared" si="63"/>
        <v>46563.841</v>
      </c>
    </row>
    <row r="37" spans="1:72" s="77" customFormat="1" ht="25.5" customHeight="1" x14ac:dyDescent="0.25">
      <c r="A37" s="74">
        <v>37</v>
      </c>
      <c r="B37" s="75" t="s">
        <v>53</v>
      </c>
      <c r="C37" s="197">
        <f ca="1">OFFSET($E$7,$A37-$A$7,1,1,1)/OFFSET($E$7,$A37-$A$7,2,1,1)-1</f>
        <v>-1.7031471874451976E-2</v>
      </c>
      <c r="D37" s="125">
        <f ca="1">OFFSET($E$7,$A37-$A$7,1,1,1)/OFFSET($E$7,$A37-$A$7,5,1,1)-1</f>
        <v>0.33455843524913931</v>
      </c>
      <c r="E37" s="198">
        <f ca="1">OFFSET($E$7,$A37-$A$7,1,1,1)/OFFSET($E$7,$A37-$A$7,IF(MONTH(MAX($7:$7))=3,2,IF(MONTH(MAX($7:$7))=6,3,IF(MONTH(MAX($7:$7))=9,4,5)))*1,1)-1</f>
        <v>2.1109730045810293E-2</v>
      </c>
      <c r="F37" s="332">
        <f t="shared" ref="F37:G37" si="64">F12+F15+F16+F19+F21</f>
        <v>695002</v>
      </c>
      <c r="G37" s="332">
        <f t="shared" si="64"/>
        <v>707044</v>
      </c>
      <c r="H37" s="218">
        <f t="shared" ref="H37" si="65">H12+H15+H16+H19+H21</f>
        <v>680634</v>
      </c>
      <c r="I37" s="218">
        <f t="shared" ref="I37" si="66">I12+I15+I16+I19+I21</f>
        <v>648067</v>
      </c>
      <c r="J37" s="218">
        <f t="shared" ref="J37:K37" si="67">J12+J15+J16+J19+J21</f>
        <v>520773</v>
      </c>
      <c r="K37" s="218">
        <f t="shared" si="67"/>
        <v>491861</v>
      </c>
      <c r="L37" s="218">
        <f t="shared" ref="L37:X37" si="68">L12+L15+L16+L19+L21</f>
        <v>521481</v>
      </c>
      <c r="M37" s="218">
        <f t="shared" si="68"/>
        <v>387245.70479895</v>
      </c>
      <c r="N37" s="218">
        <f t="shared" si="68"/>
        <v>383946.43580447999</v>
      </c>
      <c r="O37" s="218">
        <f t="shared" si="68"/>
        <v>382589.60043299</v>
      </c>
      <c r="P37" s="218">
        <f t="shared" si="68"/>
        <v>386145</v>
      </c>
      <c r="Q37" s="218">
        <f t="shared" si="68"/>
        <v>334877.35853750003</v>
      </c>
      <c r="R37" s="218">
        <f t="shared" si="68"/>
        <v>312377.72215858003</v>
      </c>
      <c r="S37" s="218">
        <f t="shared" si="68"/>
        <v>309041.58864454005</v>
      </c>
      <c r="T37" s="218">
        <f t="shared" si="68"/>
        <v>354642.11190685001</v>
      </c>
      <c r="U37" s="425"/>
      <c r="V37" s="425"/>
      <c r="W37" s="425"/>
      <c r="X37" s="218">
        <f t="shared" si="68"/>
        <v>290385.10178908001</v>
      </c>
      <c r="Y37" s="218">
        <f t="shared" ref="Y37:AD37" si="69">Y12+Y15+Y16+Y19+Y21</f>
        <v>262600.10679737001</v>
      </c>
      <c r="Z37" s="218">
        <f t="shared" si="69"/>
        <v>267596.80065087002</v>
      </c>
      <c r="AA37" s="218">
        <f t="shared" si="69"/>
        <v>271981.41012918996</v>
      </c>
      <c r="AB37" s="218">
        <f t="shared" si="69"/>
        <v>284195.85343803</v>
      </c>
      <c r="AC37" s="218">
        <f t="shared" si="69"/>
        <v>258150.91074723998</v>
      </c>
      <c r="AD37" s="218">
        <f t="shared" si="69"/>
        <v>264686.39867263002</v>
      </c>
      <c r="AE37" s="218">
        <f t="shared" ref="AE37:AJ37" si="70">AE12+AE15+AE16+AE19+AE21</f>
        <v>270857.94932522002</v>
      </c>
      <c r="AF37" s="218">
        <f t="shared" si="70"/>
        <v>271858.56367154</v>
      </c>
      <c r="AG37" s="218">
        <f t="shared" si="70"/>
        <v>265670.04742784001</v>
      </c>
      <c r="AH37" s="218">
        <f t="shared" si="70"/>
        <v>261700.76705406999</v>
      </c>
      <c r="AI37" s="218">
        <f t="shared" si="70"/>
        <v>273025.40899999999</v>
      </c>
      <c r="AJ37" s="218">
        <f t="shared" si="70"/>
        <v>287569.06599999999</v>
      </c>
      <c r="AK37" s="218">
        <f t="shared" ref="AK37:AP37" si="71">AK12+AK15+AK16+AK19+AK21</f>
        <v>248629.32400000002</v>
      </c>
      <c r="AL37" s="218">
        <f t="shared" si="71"/>
        <v>241470.49300000002</v>
      </c>
      <c r="AM37" s="218">
        <f t="shared" si="71"/>
        <v>243882.56200000001</v>
      </c>
      <c r="AN37" s="218">
        <f t="shared" si="71"/>
        <v>250992.057</v>
      </c>
      <c r="AO37" s="218">
        <f t="shared" si="71"/>
        <v>227681.17199999999</v>
      </c>
      <c r="AP37" s="218">
        <f t="shared" si="71"/>
        <v>216110.61699999997</v>
      </c>
      <c r="AQ37" s="78">
        <f t="shared" ref="AQ37:BT37" si="72">AQ12+AQ15+AQ16+AQ19+AQ21</f>
        <v>223034.26199999999</v>
      </c>
      <c r="AR37" s="218">
        <f t="shared" si="72"/>
        <v>253628.07799999998</v>
      </c>
      <c r="AS37" s="78">
        <f t="shared" si="72"/>
        <v>228080.48</v>
      </c>
      <c r="AT37" s="78">
        <f t="shared" si="72"/>
        <v>229822.829</v>
      </c>
      <c r="AU37" s="78">
        <f t="shared" si="72"/>
        <v>224968.88699999999</v>
      </c>
      <c r="AV37" s="78">
        <f t="shared" si="72"/>
        <v>243260.226</v>
      </c>
      <c r="AW37" s="78">
        <f t="shared" si="72"/>
        <v>230770.745</v>
      </c>
      <c r="AX37" s="78">
        <f t="shared" si="72"/>
        <v>218425.29399999999</v>
      </c>
      <c r="AY37" s="78">
        <f t="shared" si="72"/>
        <v>207491.33100000001</v>
      </c>
      <c r="AZ37" s="78">
        <f t="shared" si="72"/>
        <v>215168.03700000001</v>
      </c>
      <c r="BA37" s="78">
        <f t="shared" si="72"/>
        <v>182635.08100000001</v>
      </c>
      <c r="BB37" s="78">
        <f t="shared" si="72"/>
        <v>168943.13100000002</v>
      </c>
      <c r="BC37" s="78">
        <f t="shared" si="72"/>
        <v>170665.79800000001</v>
      </c>
      <c r="BD37" s="78">
        <f t="shared" si="72"/>
        <v>175288.14200000002</v>
      </c>
      <c r="BE37" s="78">
        <f t="shared" si="72"/>
        <v>173243.31099999999</v>
      </c>
      <c r="BF37" s="78">
        <f t="shared" si="72"/>
        <v>169831.416</v>
      </c>
      <c r="BG37" s="78">
        <f t="shared" si="72"/>
        <v>161405.965</v>
      </c>
      <c r="BH37" s="78">
        <f t="shared" si="72"/>
        <v>152357.614</v>
      </c>
      <c r="BI37" s="78">
        <f t="shared" si="72"/>
        <v>155571.61500000002</v>
      </c>
      <c r="BJ37" s="78">
        <f t="shared" si="72"/>
        <v>156793.34099999999</v>
      </c>
      <c r="BK37" s="78">
        <f t="shared" si="72"/>
        <v>153446.02000000002</v>
      </c>
      <c r="BL37" s="78">
        <f t="shared" si="72"/>
        <v>165110.54699999999</v>
      </c>
      <c r="BM37" s="78">
        <f t="shared" si="72"/>
        <v>154695.06299999999</v>
      </c>
      <c r="BN37" s="78">
        <f t="shared" si="72"/>
        <v>150570.66099999999</v>
      </c>
      <c r="BO37" s="78">
        <f t="shared" si="72"/>
        <v>143308.81</v>
      </c>
      <c r="BP37" s="78">
        <f t="shared" si="72"/>
        <v>143368.68299999999</v>
      </c>
      <c r="BQ37" s="78">
        <f t="shared" si="72"/>
        <v>127242.90700000001</v>
      </c>
      <c r="BR37" s="78">
        <f t="shared" si="72"/>
        <v>121866.91500000001</v>
      </c>
      <c r="BS37" s="78">
        <f t="shared" si="72"/>
        <v>127720.97</v>
      </c>
      <c r="BT37" s="78">
        <f t="shared" si="72"/>
        <v>134577.217</v>
      </c>
    </row>
    <row r="38" spans="1:72" ht="9.75" customHeight="1" x14ac:dyDescent="0.25">
      <c r="A38" s="74">
        <v>38</v>
      </c>
      <c r="B38" s="8" t="s">
        <v>214</v>
      </c>
      <c r="C38" s="201"/>
      <c r="D38" s="39"/>
      <c r="E38" s="202"/>
      <c r="F38" s="301"/>
      <c r="G38" s="301"/>
      <c r="U38" s="405"/>
      <c r="V38" s="405"/>
      <c r="W38" s="405"/>
    </row>
    <row r="39" spans="1:72" ht="25.5" customHeight="1" x14ac:dyDescent="0.25">
      <c r="A39" s="74">
        <v>39</v>
      </c>
      <c r="B39" s="62" t="s">
        <v>303</v>
      </c>
      <c r="C39" s="201"/>
      <c r="D39" s="39"/>
      <c r="E39" s="202"/>
      <c r="F39" s="386">
        <f t="shared" ref="F39:G39" si="73">F36/F22</f>
        <v>0.23570385424089665</v>
      </c>
      <c r="G39" s="386">
        <f t="shared" si="73"/>
        <v>0.21712289583840746</v>
      </c>
      <c r="H39" s="134">
        <f t="shared" ref="H39" si="74">H36/H22</f>
        <v>0.23350387001523681</v>
      </c>
      <c r="I39" s="134">
        <f t="shared" ref="I39" si="75">I36/I22</f>
        <v>0.24325539358328235</v>
      </c>
      <c r="J39" s="134">
        <f t="shared" ref="J39:K39" si="76">J36/J22</f>
        <v>0.31222125225012248</v>
      </c>
      <c r="K39" s="134">
        <f t="shared" si="76"/>
        <v>0.32467566346712284</v>
      </c>
      <c r="L39" s="134">
        <f t="shared" ref="L39:X39" si="77">L36/L22</f>
        <v>0.27138557751957482</v>
      </c>
      <c r="M39" s="134">
        <f t="shared" si="77"/>
        <v>0.3748293498492955</v>
      </c>
      <c r="N39" s="134">
        <f t="shared" si="77"/>
        <v>0.41331257870657107</v>
      </c>
      <c r="O39" s="134">
        <f t="shared" si="77"/>
        <v>0.40997183883281979</v>
      </c>
      <c r="P39" s="134">
        <f t="shared" si="77"/>
        <v>0.40693259693625228</v>
      </c>
      <c r="Q39" s="134">
        <f t="shared" si="77"/>
        <v>0.45306053891225345</v>
      </c>
      <c r="R39" s="134">
        <f t="shared" si="77"/>
        <v>0.46091395380065503</v>
      </c>
      <c r="S39" s="134">
        <f t="shared" si="77"/>
        <v>0.47429389881172379</v>
      </c>
      <c r="T39" s="134">
        <f t="shared" si="77"/>
        <v>0.45149643281961693</v>
      </c>
      <c r="U39" s="427"/>
      <c r="V39" s="427"/>
      <c r="W39" s="427"/>
      <c r="X39" s="134">
        <f t="shared" si="77"/>
        <v>0.42516895082194761</v>
      </c>
      <c r="Y39" s="134">
        <f t="shared" ref="Y39:AD39" si="78">Y36/Y22</f>
        <v>0.46682926134728481</v>
      </c>
      <c r="Z39" s="134">
        <f t="shared" si="78"/>
        <v>0.45680295075701949</v>
      </c>
      <c r="AA39" s="134">
        <f t="shared" si="78"/>
        <v>0.43968613181790683</v>
      </c>
      <c r="AB39" s="134">
        <f t="shared" si="78"/>
        <v>0.4067781019339835</v>
      </c>
      <c r="AC39" s="134">
        <f t="shared" si="78"/>
        <v>0.45633888179598669</v>
      </c>
      <c r="AD39" s="134">
        <f t="shared" si="78"/>
        <v>0.38765081111904576</v>
      </c>
      <c r="AE39" s="134">
        <f t="shared" ref="AE39:AJ39" si="79">AE36/AE22</f>
        <v>0.3769037666424413</v>
      </c>
      <c r="AF39" s="134">
        <f t="shared" si="79"/>
        <v>0.34895806392118489</v>
      </c>
      <c r="AG39" s="134">
        <f t="shared" si="79"/>
        <v>0.36289382797722991</v>
      </c>
      <c r="AH39" s="134">
        <f t="shared" si="79"/>
        <v>0.34544083229150258</v>
      </c>
      <c r="AI39" s="134">
        <f t="shared" si="79"/>
        <v>0.32640679067978723</v>
      </c>
      <c r="AJ39" s="134">
        <f t="shared" si="79"/>
        <v>0.30667138405867689</v>
      </c>
      <c r="AK39" s="134">
        <f t="shared" ref="AK39:AP39" si="80">AK36/AK22</f>
        <v>0.34591320974206663</v>
      </c>
      <c r="AL39" s="134">
        <f t="shared" si="80"/>
        <v>0.33281918029509028</v>
      </c>
      <c r="AM39" s="134">
        <f t="shared" si="80"/>
        <v>0.30992698230977017</v>
      </c>
      <c r="AN39" s="134">
        <f t="shared" si="80"/>
        <v>0.30323627317514695</v>
      </c>
      <c r="AO39" s="134">
        <f t="shared" si="80"/>
        <v>0.3217447914606989</v>
      </c>
      <c r="AP39" s="134">
        <f t="shared" si="80"/>
        <v>0.33042283793250032</v>
      </c>
      <c r="AQ39" s="134">
        <f t="shared" ref="AQ39:BT39" si="81">AQ36/AQ22</f>
        <v>0.32043283996384031</v>
      </c>
      <c r="AR39" s="134">
        <f t="shared" si="81"/>
        <v>0.2911994615769124</v>
      </c>
      <c r="AS39" s="134">
        <f t="shared" si="81"/>
        <v>0.31656627341602833</v>
      </c>
      <c r="AT39" s="134">
        <f t="shared" si="81"/>
        <v>0.32251883359424971</v>
      </c>
      <c r="AU39" s="134">
        <f t="shared" si="81"/>
        <v>0.31842160666003277</v>
      </c>
      <c r="AV39" s="134">
        <f t="shared" si="81"/>
        <v>0.29083839976536296</v>
      </c>
      <c r="AW39" s="134">
        <f t="shared" si="81"/>
        <v>0.29727221485976552</v>
      </c>
      <c r="AX39" s="134">
        <f t="shared" si="81"/>
        <v>0.30498654214884791</v>
      </c>
      <c r="AY39" s="134">
        <f t="shared" si="81"/>
        <v>0.34619672289771519</v>
      </c>
      <c r="AZ39" s="134">
        <f t="shared" si="81"/>
        <v>0.33771564663290804</v>
      </c>
      <c r="BA39" s="134">
        <f t="shared" si="81"/>
        <v>0.35792179745845004</v>
      </c>
      <c r="BB39" s="134">
        <f t="shared" si="81"/>
        <v>0.3683362428561327</v>
      </c>
      <c r="BC39" s="134">
        <f t="shared" si="81"/>
        <v>0.3748691824691201</v>
      </c>
      <c r="BD39" s="134">
        <f t="shared" si="81"/>
        <v>0.33002698713841133</v>
      </c>
      <c r="BE39" s="134">
        <f t="shared" si="81"/>
        <v>0.3396864958178149</v>
      </c>
      <c r="BF39" s="134">
        <f t="shared" si="81"/>
        <v>0.31686304387553821</v>
      </c>
      <c r="BG39" s="134">
        <f t="shared" si="81"/>
        <v>0.31647642849146024</v>
      </c>
      <c r="BH39" s="134">
        <f t="shared" si="81"/>
        <v>0.33188519359153323</v>
      </c>
      <c r="BI39" s="134">
        <f t="shared" si="81"/>
        <v>0.30768003652271414</v>
      </c>
      <c r="BJ39" s="134">
        <f t="shared" si="81"/>
        <v>0.30885848357120127</v>
      </c>
      <c r="BK39" s="134">
        <f t="shared" si="81"/>
        <v>0.3164054326208241</v>
      </c>
      <c r="BL39" s="134">
        <f t="shared" si="81"/>
        <v>0.30055488930592339</v>
      </c>
      <c r="BM39" s="134">
        <f t="shared" si="81"/>
        <v>0.3030255141217057</v>
      </c>
      <c r="BN39" s="134">
        <f t="shared" si="81"/>
        <v>0.29052672535738189</v>
      </c>
      <c r="BO39" s="134">
        <f t="shared" si="81"/>
        <v>0.2834889130925532</v>
      </c>
      <c r="BP39" s="134">
        <f t="shared" si="81"/>
        <v>0.29086104643517369</v>
      </c>
      <c r="BQ39" s="134">
        <f t="shared" si="81"/>
        <v>0.28931687486011748</v>
      </c>
      <c r="BR39" s="134">
        <f t="shared" si="81"/>
        <v>0.30452420709943245</v>
      </c>
      <c r="BS39" s="134">
        <f t="shared" si="81"/>
        <v>0.26150094121776585</v>
      </c>
      <c r="BT39" s="134">
        <f t="shared" si="81"/>
        <v>0.25705845772414559</v>
      </c>
    </row>
    <row r="40" spans="1:72" ht="25.5" customHeight="1" x14ac:dyDescent="0.25">
      <c r="A40" s="74">
        <v>40</v>
      </c>
      <c r="B40" s="62" t="s">
        <v>53</v>
      </c>
      <c r="C40" s="201"/>
      <c r="D40" s="39"/>
      <c r="E40" s="202"/>
      <c r="F40" s="386">
        <f t="shared" ref="F40:G40" si="82">F37/F22</f>
        <v>0.76429614575910332</v>
      </c>
      <c r="G40" s="386">
        <f t="shared" si="82"/>
        <v>0.78287710416159262</v>
      </c>
      <c r="H40" s="134">
        <f t="shared" ref="H40" si="83">H37/H22</f>
        <v>0.76649612998476324</v>
      </c>
      <c r="I40" s="134">
        <f t="shared" ref="I40" si="84">I37/I22</f>
        <v>0.7567446064167177</v>
      </c>
      <c r="J40" s="134">
        <f t="shared" ref="J40:K40" si="85">J37/J22</f>
        <v>0.68777874774987746</v>
      </c>
      <c r="K40" s="134">
        <f t="shared" si="85"/>
        <v>0.67532433653287716</v>
      </c>
      <c r="L40" s="134">
        <f t="shared" ref="L40:X40" si="86">L37/L22</f>
        <v>0.72861442248042518</v>
      </c>
      <c r="M40" s="134">
        <f t="shared" si="86"/>
        <v>0.6251706501507045</v>
      </c>
      <c r="N40" s="134">
        <f t="shared" si="86"/>
        <v>0.58668742129342888</v>
      </c>
      <c r="O40" s="134">
        <f t="shared" si="86"/>
        <v>0.59002816116718027</v>
      </c>
      <c r="P40" s="134">
        <f t="shared" si="86"/>
        <v>0.59306740306374772</v>
      </c>
      <c r="Q40" s="134">
        <f t="shared" si="86"/>
        <v>0.5469394610877466</v>
      </c>
      <c r="R40" s="134">
        <f t="shared" si="86"/>
        <v>0.53908604619934497</v>
      </c>
      <c r="S40" s="134">
        <f t="shared" si="86"/>
        <v>0.52570610118827621</v>
      </c>
      <c r="T40" s="134">
        <f t="shared" si="86"/>
        <v>0.54850356718038307</v>
      </c>
      <c r="U40" s="427"/>
      <c r="V40" s="427"/>
      <c r="W40" s="427"/>
      <c r="X40" s="134">
        <f t="shared" si="86"/>
        <v>0.57483104917805239</v>
      </c>
      <c r="Y40" s="134">
        <f t="shared" ref="Y40:AD40" si="87">Y37/Y22</f>
        <v>0.53317073865271514</v>
      </c>
      <c r="Z40" s="134">
        <f t="shared" si="87"/>
        <v>0.54319704924298051</v>
      </c>
      <c r="AA40" s="134">
        <f t="shared" si="87"/>
        <v>0.56031386818209317</v>
      </c>
      <c r="AB40" s="134">
        <f t="shared" si="87"/>
        <v>0.59322189806601633</v>
      </c>
      <c r="AC40" s="134">
        <f t="shared" si="87"/>
        <v>0.54366111820401331</v>
      </c>
      <c r="AD40" s="134">
        <f t="shared" si="87"/>
        <v>0.61234918888095424</v>
      </c>
      <c r="AE40" s="134">
        <f t="shared" ref="AE40:AJ40" si="88">AE37/AE22</f>
        <v>0.6230962333575587</v>
      </c>
      <c r="AF40" s="134">
        <f t="shared" si="88"/>
        <v>0.65104193607881511</v>
      </c>
      <c r="AG40" s="134">
        <f t="shared" si="88"/>
        <v>0.63710617202276998</v>
      </c>
      <c r="AH40" s="134">
        <f t="shared" si="88"/>
        <v>0.65455916770849731</v>
      </c>
      <c r="AI40" s="134">
        <f t="shared" si="88"/>
        <v>0.67359320932021272</v>
      </c>
      <c r="AJ40" s="134">
        <f t="shared" si="88"/>
        <v>0.69332861594132311</v>
      </c>
      <c r="AK40" s="134">
        <f t="shared" ref="AK40:AP40" si="89">AK37/AK22</f>
        <v>0.65408679025793337</v>
      </c>
      <c r="AL40" s="134">
        <f t="shared" si="89"/>
        <v>0.66718081970490983</v>
      </c>
      <c r="AM40" s="134">
        <f t="shared" si="89"/>
        <v>0.69007301769022988</v>
      </c>
      <c r="AN40" s="134">
        <f t="shared" si="89"/>
        <v>0.69676372682485299</v>
      </c>
      <c r="AO40" s="134">
        <f t="shared" si="89"/>
        <v>0.67825520853930121</v>
      </c>
      <c r="AP40" s="134">
        <f t="shared" si="89"/>
        <v>0.66957716206749951</v>
      </c>
      <c r="AQ40" s="134">
        <f t="shared" ref="AQ40:BT40" si="90">AQ37/AQ22</f>
        <v>0.6795671600361598</v>
      </c>
      <c r="AR40" s="134">
        <f t="shared" si="90"/>
        <v>0.70880053842308754</v>
      </c>
      <c r="AS40" s="134">
        <f t="shared" si="90"/>
        <v>0.68343372658397161</v>
      </c>
      <c r="AT40" s="134">
        <f t="shared" si="90"/>
        <v>0.6774811664057504</v>
      </c>
      <c r="AU40" s="134">
        <f t="shared" si="90"/>
        <v>0.68157839333996728</v>
      </c>
      <c r="AV40" s="134">
        <f t="shared" si="90"/>
        <v>0.70916160023463715</v>
      </c>
      <c r="AW40" s="134">
        <f t="shared" si="90"/>
        <v>0.70272778514023448</v>
      </c>
      <c r="AX40" s="134">
        <f t="shared" si="90"/>
        <v>0.69501345785115209</v>
      </c>
      <c r="AY40" s="134">
        <f t="shared" si="90"/>
        <v>0.65380327710228481</v>
      </c>
      <c r="AZ40" s="134">
        <f t="shared" si="90"/>
        <v>0.66228435336709202</v>
      </c>
      <c r="BA40" s="134">
        <f t="shared" si="90"/>
        <v>0.64207820254155001</v>
      </c>
      <c r="BB40" s="134">
        <f t="shared" si="90"/>
        <v>0.63166375714386735</v>
      </c>
      <c r="BC40" s="134">
        <f t="shared" si="90"/>
        <v>0.62513081753087985</v>
      </c>
      <c r="BD40" s="134">
        <f t="shared" si="90"/>
        <v>0.66997301286158872</v>
      </c>
      <c r="BE40" s="134">
        <f t="shared" si="90"/>
        <v>0.66031350418218504</v>
      </c>
      <c r="BF40" s="134">
        <f t="shared" si="90"/>
        <v>0.68313695612446179</v>
      </c>
      <c r="BG40" s="134">
        <f t="shared" si="90"/>
        <v>0.68352357150853971</v>
      </c>
      <c r="BH40" s="134">
        <f t="shared" si="90"/>
        <v>0.66811480640846677</v>
      </c>
      <c r="BI40" s="134">
        <f t="shared" si="90"/>
        <v>0.69231996347728586</v>
      </c>
      <c r="BJ40" s="134">
        <f t="shared" si="90"/>
        <v>0.69114151642879873</v>
      </c>
      <c r="BK40" s="134">
        <f t="shared" si="90"/>
        <v>0.6835945673791759</v>
      </c>
      <c r="BL40" s="134">
        <f t="shared" si="90"/>
        <v>0.69944511069407656</v>
      </c>
      <c r="BM40" s="134">
        <f t="shared" si="90"/>
        <v>0.69697448587829436</v>
      </c>
      <c r="BN40" s="134">
        <f t="shared" si="90"/>
        <v>0.70947327464261811</v>
      </c>
      <c r="BO40" s="134">
        <f t="shared" si="90"/>
        <v>0.7165110869074468</v>
      </c>
      <c r="BP40" s="134">
        <f t="shared" si="90"/>
        <v>0.70913895356482637</v>
      </c>
      <c r="BQ40" s="134">
        <f t="shared" si="90"/>
        <v>0.71068312513988263</v>
      </c>
      <c r="BR40" s="134">
        <f t="shared" si="90"/>
        <v>0.69547579290056749</v>
      </c>
      <c r="BS40" s="134">
        <f t="shared" si="90"/>
        <v>0.7384990587822341</v>
      </c>
      <c r="BT40" s="134">
        <f t="shared" si="90"/>
        <v>0.74294154227585452</v>
      </c>
    </row>
    <row r="41" spans="1:72" x14ac:dyDescent="0.25">
      <c r="A41" s="74">
        <v>41</v>
      </c>
      <c r="F41" s="301"/>
      <c r="G41" s="301"/>
    </row>
    <row r="42" spans="1:72" x14ac:dyDescent="0.25">
      <c r="A42" s="74">
        <v>42</v>
      </c>
      <c r="F42" s="301"/>
      <c r="G42" s="301"/>
      <c r="AP42" s="27"/>
    </row>
    <row r="43" spans="1:72" x14ac:dyDescent="0.25">
      <c r="A43" s="74">
        <v>43</v>
      </c>
      <c r="F43" s="301"/>
      <c r="G43" s="301"/>
    </row>
    <row r="44" spans="1:72" ht="15.75" customHeight="1" x14ac:dyDescent="0.25">
      <c r="A44" s="74">
        <v>44</v>
      </c>
      <c r="B44" s="453" t="s">
        <v>158</v>
      </c>
      <c r="C44" s="474"/>
      <c r="D44" s="222"/>
      <c r="E44" s="476"/>
      <c r="F44" s="479">
        <v>46203</v>
      </c>
      <c r="G44" s="479">
        <v>46112</v>
      </c>
      <c r="H44" s="446">
        <v>46022</v>
      </c>
      <c r="I44" s="446">
        <v>45930</v>
      </c>
      <c r="J44" s="446">
        <v>45838</v>
      </c>
      <c r="K44" s="446">
        <v>45747</v>
      </c>
      <c r="L44" s="446">
        <v>45657</v>
      </c>
      <c r="M44" s="446">
        <v>45565</v>
      </c>
      <c r="N44" s="446">
        <v>45473</v>
      </c>
      <c r="O44" s="446">
        <v>45382</v>
      </c>
      <c r="P44" s="446">
        <v>45291</v>
      </c>
      <c r="Q44" s="446">
        <v>45199</v>
      </c>
      <c r="R44" s="446">
        <v>45107</v>
      </c>
      <c r="S44" s="446">
        <v>45016</v>
      </c>
      <c r="T44" s="446">
        <v>44926</v>
      </c>
      <c r="U44" s="446">
        <v>44834</v>
      </c>
      <c r="V44" s="446">
        <v>44742</v>
      </c>
      <c r="W44" s="446">
        <v>44651</v>
      </c>
      <c r="X44" s="446">
        <v>44561</v>
      </c>
      <c r="Y44" s="446">
        <v>44469</v>
      </c>
      <c r="Z44" s="446">
        <v>44377</v>
      </c>
      <c r="AA44" s="446">
        <v>44286</v>
      </c>
      <c r="AB44" s="446">
        <v>44196</v>
      </c>
      <c r="AC44" s="446">
        <v>44104</v>
      </c>
      <c r="AD44" s="446">
        <v>44012</v>
      </c>
      <c r="AE44" s="446">
        <v>43921</v>
      </c>
      <c r="AF44" s="446">
        <v>43830</v>
      </c>
      <c r="AG44" s="446">
        <v>43738</v>
      </c>
      <c r="AH44" s="446">
        <v>43646</v>
      </c>
      <c r="AI44" s="446">
        <v>43555</v>
      </c>
      <c r="AJ44" s="446">
        <v>43465</v>
      </c>
      <c r="AK44" s="446">
        <v>43373</v>
      </c>
      <c r="AL44" s="446">
        <v>43281</v>
      </c>
      <c r="AM44" s="446">
        <v>43190</v>
      </c>
      <c r="AN44" s="446">
        <v>43100</v>
      </c>
      <c r="AO44" s="446">
        <v>43008</v>
      </c>
      <c r="AP44" s="446">
        <v>42916</v>
      </c>
      <c r="AQ44" s="446">
        <v>42825</v>
      </c>
      <c r="AR44" s="446">
        <v>42735</v>
      </c>
      <c r="AS44" s="446">
        <v>42643</v>
      </c>
      <c r="AT44" s="451">
        <v>42551</v>
      </c>
      <c r="AU44" s="446">
        <v>42460</v>
      </c>
      <c r="AV44" s="446">
        <v>42369</v>
      </c>
      <c r="AW44" s="446">
        <v>42277</v>
      </c>
      <c r="AX44" s="446">
        <v>42185</v>
      </c>
      <c r="AY44" s="446">
        <v>42094</v>
      </c>
      <c r="AZ44" s="446">
        <v>42004</v>
      </c>
      <c r="BA44" s="446">
        <v>41912</v>
      </c>
      <c r="BB44" s="446">
        <v>41820</v>
      </c>
      <c r="BC44" s="446">
        <v>41729</v>
      </c>
      <c r="BD44" s="446">
        <v>41639</v>
      </c>
      <c r="BE44" s="446">
        <v>41547</v>
      </c>
      <c r="BF44" s="446">
        <v>41455</v>
      </c>
      <c r="BG44" s="446">
        <v>41364</v>
      </c>
      <c r="BH44" s="446">
        <v>41274</v>
      </c>
      <c r="BI44" s="446">
        <v>41182</v>
      </c>
      <c r="BJ44" s="446">
        <v>41090</v>
      </c>
      <c r="BK44" s="446">
        <v>40999</v>
      </c>
      <c r="BL44" s="446">
        <v>40908</v>
      </c>
      <c r="BM44" s="446">
        <v>40816</v>
      </c>
      <c r="BN44" s="446">
        <v>40724</v>
      </c>
      <c r="BO44" s="446">
        <v>40633</v>
      </c>
      <c r="BP44" s="446">
        <v>40543</v>
      </c>
      <c r="BQ44" s="446">
        <v>40451</v>
      </c>
      <c r="BR44" s="446">
        <v>40359</v>
      </c>
      <c r="BS44" s="446">
        <v>40268</v>
      </c>
      <c r="BT44" s="446">
        <v>40178</v>
      </c>
    </row>
    <row r="45" spans="1:72" ht="15" customHeight="1" x14ac:dyDescent="0.25">
      <c r="A45" s="74">
        <v>45</v>
      </c>
      <c r="B45" s="454"/>
      <c r="C45" s="497"/>
      <c r="D45" s="280"/>
      <c r="E45" s="496"/>
      <c r="F45" s="493"/>
      <c r="G45" s="493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7"/>
      <c r="X45" s="447"/>
      <c r="Y45" s="447"/>
      <c r="Z45" s="447"/>
      <c r="AA45" s="447"/>
      <c r="AB45" s="447"/>
      <c r="AC45" s="448"/>
      <c r="AD45" s="448"/>
      <c r="AE45" s="448"/>
      <c r="AF45" s="447"/>
      <c r="AG45" s="447"/>
      <c r="AH45" s="447"/>
      <c r="AI45" s="447"/>
      <c r="AJ45" s="447"/>
      <c r="AK45" s="447"/>
      <c r="AL45" s="447"/>
      <c r="AM45" s="447"/>
      <c r="AN45" s="447"/>
      <c r="AO45" s="447"/>
      <c r="AP45" s="447"/>
      <c r="AQ45" s="447"/>
      <c r="AR45" s="447"/>
      <c r="AS45" s="447"/>
      <c r="AT45" s="452"/>
      <c r="AU45" s="447"/>
      <c r="AV45" s="447"/>
      <c r="AW45" s="447"/>
      <c r="AX45" s="447"/>
      <c r="AY45" s="447"/>
      <c r="AZ45" s="447"/>
      <c r="BA45" s="448"/>
      <c r="BB45" s="448"/>
      <c r="BC45" s="448"/>
      <c r="BD45" s="448"/>
      <c r="BE45" s="448"/>
      <c r="BF45" s="448"/>
      <c r="BG45" s="448"/>
      <c r="BH45" s="448"/>
      <c r="BI45" s="448"/>
      <c r="BJ45" s="448"/>
      <c r="BK45" s="448"/>
      <c r="BL45" s="448"/>
      <c r="BM45" s="448"/>
      <c r="BN45" s="448"/>
      <c r="BO45" s="448"/>
      <c r="BP45" s="448"/>
      <c r="BQ45" s="448"/>
      <c r="BR45" s="448"/>
      <c r="BS45" s="448"/>
      <c r="BT45" s="448"/>
    </row>
    <row r="46" spans="1:72" ht="9.75" customHeight="1" x14ac:dyDescent="0.25">
      <c r="A46" s="74">
        <v>46</v>
      </c>
      <c r="B46" s="8"/>
      <c r="C46" s="89"/>
      <c r="D46" s="57"/>
      <c r="E46" s="90"/>
      <c r="F46" s="303"/>
      <c r="G46" s="303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174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8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</row>
    <row r="47" spans="1:72" x14ac:dyDescent="0.25">
      <c r="A47" s="74">
        <v>47</v>
      </c>
      <c r="B47" s="377" t="s">
        <v>56</v>
      </c>
      <c r="C47" s="378"/>
      <c r="D47" s="310"/>
      <c r="E47" s="379"/>
      <c r="F47" s="307">
        <f>560791/$F$60</f>
        <v>0.61980992043360861</v>
      </c>
      <c r="G47" s="307">
        <f>534072/$G$60</f>
        <v>0.59447125040741677</v>
      </c>
      <c r="H47" s="307">
        <v>0.59099999999999997</v>
      </c>
      <c r="I47" s="307">
        <f>492060/I$60</f>
        <v>0.57752639924508198</v>
      </c>
      <c r="J47" s="307">
        <f>486702/J$60</f>
        <v>0.64616352769052254</v>
      </c>
      <c r="K47" s="307">
        <f>462129/$K$60</f>
        <v>0.64058246236588945</v>
      </c>
      <c r="L47" s="307">
        <f>436430/$L$60</f>
        <v>0.61373582485824862</v>
      </c>
      <c r="M47" s="307"/>
      <c r="N47" s="307"/>
      <c r="O47" s="307"/>
      <c r="P47" s="307">
        <f>395589/$P$60</f>
        <v>0.61194343851854827</v>
      </c>
      <c r="Q47" s="307"/>
      <c r="R47" s="307"/>
      <c r="S47" s="307"/>
      <c r="T47" s="307"/>
      <c r="U47" s="355"/>
      <c r="V47" s="355"/>
      <c r="W47" s="355"/>
      <c r="X47" s="129">
        <f>295113/$X$60</f>
        <v>0.59097298985918201</v>
      </c>
      <c r="Y47" s="129">
        <f>283266.427/$Y$60</f>
        <v>0.58217182061424633</v>
      </c>
      <c r="Z47" s="129">
        <f>271387.931/$Z$60</f>
        <v>0.55777030288488094</v>
      </c>
      <c r="AA47" s="129"/>
      <c r="AB47" s="129">
        <f>276028.699/$AB$60</f>
        <v>0.58614557177249604</v>
      </c>
      <c r="AC47" s="129"/>
      <c r="AD47" s="129">
        <f>249991.373/$AD$60</f>
        <v>0.59064760176276121</v>
      </c>
      <c r="AE47" s="129"/>
      <c r="AF47" s="129">
        <f>248967.423/$AF$60</f>
        <v>0.60672952105464617</v>
      </c>
      <c r="AG47" s="13"/>
      <c r="AH47" s="13">
        <f>248377.208/$AH$60</f>
        <v>0.63159723640681009</v>
      </c>
      <c r="AI47" s="13"/>
      <c r="AJ47" s="13">
        <f>249097.003/$AJ$60</f>
        <v>0.61234965857580459</v>
      </c>
      <c r="AK47" s="13"/>
      <c r="AL47" s="13">
        <f>215648.544/$AL$60</f>
        <v>0.60802792428190244</v>
      </c>
      <c r="AM47" s="13"/>
      <c r="AN47" s="13">
        <f>205587.19/$AN$60</f>
        <v>0.58244592715003674</v>
      </c>
      <c r="AO47" s="124"/>
      <c r="AP47" s="13">
        <f>198287.073/$AP$60</f>
        <v>0.62867253028839243</v>
      </c>
      <c r="AQ47" s="124"/>
      <c r="AR47" s="13">
        <f>187419.348/$AR$60</f>
        <v>0.53556821413366174</v>
      </c>
      <c r="AS47" s="13"/>
      <c r="AT47" s="129">
        <f>187825.74/$AT$60</f>
        <v>0.56602403495685571</v>
      </c>
      <c r="AU47" s="13"/>
      <c r="AV47" s="13">
        <f>188067.408/$AV$60</f>
        <v>0.57763107794472057</v>
      </c>
      <c r="AW47" s="13"/>
      <c r="AX47" s="13">
        <f>160013.844/$AX$60</f>
        <v>0.53604873108276851</v>
      </c>
      <c r="AY47" s="13"/>
      <c r="AZ47" s="13">
        <f>156008.358/$AZ$60</f>
        <v>0.50572965048617413</v>
      </c>
      <c r="BA47" s="13"/>
      <c r="BB47" s="129">
        <f>134644.571/$BB$60</f>
        <v>0.51905527390943818</v>
      </c>
      <c r="BC47" s="13"/>
      <c r="BD47" s="13">
        <f>125304.133/$BD$60</f>
        <v>0.49502419318349988</v>
      </c>
      <c r="BE47" s="13"/>
      <c r="BF47" s="13">
        <f>117166.551/$BF$60</f>
        <v>0.48368299582210184</v>
      </c>
      <c r="BG47" s="13"/>
      <c r="BH47" s="13">
        <f>101220.144/$BH$60</f>
        <v>0.45431610321540888</v>
      </c>
      <c r="BI47" s="13"/>
      <c r="BJ47" s="13">
        <f>96825.811/$BJ$60</f>
        <v>0.44442875843494162</v>
      </c>
      <c r="BK47" s="13"/>
      <c r="BL47" s="13">
        <f>87391.959/$BL$60</f>
        <v>0.38549115540609119</v>
      </c>
      <c r="BM47" s="13"/>
      <c r="BN47" s="13">
        <f>74609.387/$BN$60</f>
        <v>0.36945923459975683</v>
      </c>
      <c r="BP47" s="13">
        <f>72425.62/$BP$60</f>
        <v>0.37759500302792887</v>
      </c>
      <c r="BQ47" s="13"/>
      <c r="BR47" s="13">
        <f>65846.07/$BR$60</f>
        <v>0.39624405613485597</v>
      </c>
      <c r="BS47" s="13"/>
      <c r="BT47" s="13">
        <f>60730.258/$BT$60</f>
        <v>0.34507733392827533</v>
      </c>
    </row>
    <row r="48" spans="1:72" s="39" customFormat="1" x14ac:dyDescent="0.25">
      <c r="A48" s="74">
        <v>48</v>
      </c>
      <c r="B48" s="377" t="s">
        <v>110</v>
      </c>
      <c r="C48" s="365"/>
      <c r="D48" s="291"/>
      <c r="E48" s="286"/>
      <c r="F48" s="307">
        <f>136989/$F$60</f>
        <v>0.15140603395967414</v>
      </c>
      <c r="G48" s="307">
        <f>162448/$G$60</f>
        <v>0.18081956306674762</v>
      </c>
      <c r="H48" s="307">
        <f>160181/$H$60</f>
        <v>0.18130954523485315</v>
      </c>
      <c r="I48" s="307">
        <f>156023/I$60</f>
        <v>0.18312279272734103</v>
      </c>
      <c r="J48" s="307">
        <f>60868/J$60</f>
        <v>8.0810601977116855E-2</v>
      </c>
      <c r="K48" s="307">
        <f>53890/$K$60</f>
        <v>7.4699897424523862E-2</v>
      </c>
      <c r="L48" s="307">
        <f>52359/$L$60</f>
        <v>7.363058005580056E-2</v>
      </c>
      <c r="M48" s="307"/>
      <c r="N48" s="307"/>
      <c r="O48" s="307"/>
      <c r="P48" s="307">
        <f>20034/$P$60</f>
        <v>3.0990939705807283E-2</v>
      </c>
      <c r="Q48" s="307"/>
      <c r="R48" s="307"/>
      <c r="S48" s="307"/>
      <c r="T48" s="307"/>
      <c r="U48" s="355"/>
      <c r="V48" s="355"/>
      <c r="W48" s="355"/>
      <c r="X48" s="129">
        <f>22021/$X$60</f>
        <v>4.4097739542782073E-2</v>
      </c>
      <c r="Y48" s="129">
        <f>22788.96/$Y$60</f>
        <v>4.6836084578089562E-2</v>
      </c>
      <c r="Z48" s="129">
        <f>20070.874/$Z$60</f>
        <v>4.1250682846851731E-2</v>
      </c>
      <c r="AA48" s="129"/>
      <c r="AB48" s="129">
        <f>21711.867/$AB$60</f>
        <v>4.6105041769455235E-2</v>
      </c>
      <c r="AC48" s="129"/>
      <c r="AD48" s="129">
        <f>14376.948/$AD$60</f>
        <v>3.3968011595615848E-2</v>
      </c>
      <c r="AE48" s="129"/>
      <c r="AF48" s="129">
        <f>15421.132/$AF$60</f>
        <v>3.758104542247874E-2</v>
      </c>
      <c r="AG48" s="13"/>
      <c r="AH48" s="13">
        <f>17339.971/$AH$60</f>
        <v>4.409373086669946E-2</v>
      </c>
      <c r="AI48" s="13"/>
      <c r="AJ48" s="13">
        <f>18514.088/$AJ$60</f>
        <v>4.5512773454132655E-2</v>
      </c>
      <c r="AK48" s="13"/>
      <c r="AL48" s="13">
        <f>11065.488/$AL$60</f>
        <v>3.1199495136894132E-2</v>
      </c>
      <c r="AM48" s="13"/>
      <c r="AN48" s="13">
        <f>14293.036/$AN$60</f>
        <v>4.0493381931086522E-2</v>
      </c>
      <c r="AO48" s="88"/>
      <c r="AP48" s="13">
        <f>12082.191/$AP$60</f>
        <v>3.8306791625279793E-2</v>
      </c>
      <c r="AQ48" s="88"/>
      <c r="AR48" s="13">
        <f>31089.055/$AR$60</f>
        <v>8.883986548418249E-2</v>
      </c>
      <c r="AS48" s="13"/>
      <c r="AT48" s="129">
        <f>17773.671/$AT$60</f>
        <v>5.356201431931349E-2</v>
      </c>
      <c r="AU48" s="13"/>
      <c r="AV48" s="13">
        <f>14825.455/$AV$60</f>
        <v>4.5534968784548505E-2</v>
      </c>
      <c r="AW48" s="13"/>
      <c r="AX48" s="13">
        <f>22216.198/$AX$60</f>
        <v>7.4424590083490144E-2</v>
      </c>
      <c r="AY48" s="13"/>
      <c r="AZ48" s="13">
        <f>18082.935/$AZ$60</f>
        <v>5.8619143964800946E-2</v>
      </c>
      <c r="BA48" s="13"/>
      <c r="BB48" s="13">
        <f>23611.17/$BB$60</f>
        <v>9.1021139735907433E-2</v>
      </c>
      <c r="BC48" s="13"/>
      <c r="BD48" s="13">
        <f>24971.358/$BD$60</f>
        <v>9.8651385638224204E-2</v>
      </c>
      <c r="BE48" s="13"/>
      <c r="BF48" s="13">
        <f>24406.54/$BF$60</f>
        <v>0.10075425353138509</v>
      </c>
      <c r="BG48" s="13"/>
      <c r="BH48" s="13">
        <f>24000.909/$BH$60</f>
        <v>0.10772558721619321</v>
      </c>
      <c r="BI48" s="13"/>
      <c r="BJ48" s="13">
        <f>32722.812/$BJ$60</f>
        <v>0.15019712780572536</v>
      </c>
      <c r="BK48" s="13"/>
      <c r="BL48" s="13">
        <f>37218.067/$BL$60</f>
        <v>0.16417111841847273</v>
      </c>
      <c r="BM48" s="13"/>
      <c r="BN48" s="13">
        <f>43146.874/$BN$60</f>
        <v>0.21365959009168847</v>
      </c>
      <c r="BO48" s="1"/>
      <c r="BP48" s="13">
        <f>38088.76/$BP$60</f>
        <v>0.19857787130479598</v>
      </c>
      <c r="BQ48" s="13"/>
      <c r="BR48" s="13">
        <f>27331.151/$BR$60</f>
        <v>0.16447156422660039</v>
      </c>
      <c r="BS48" s="13"/>
      <c r="BT48" s="13">
        <f>32721.435/$BT$60</f>
        <v>0.18592750836176844</v>
      </c>
    </row>
    <row r="49" spans="1:72" s="39" customFormat="1" ht="15" customHeight="1" x14ac:dyDescent="0.25">
      <c r="A49" s="74">
        <v>49</v>
      </c>
      <c r="B49" s="250" t="s">
        <v>82</v>
      </c>
      <c r="C49" s="365"/>
      <c r="D49" s="291"/>
      <c r="E49" s="286"/>
      <c r="F49" s="307">
        <f>65165/$F$60</f>
        <v>7.2023112826447119E-2</v>
      </c>
      <c r="G49" s="307">
        <f>64424/$G$60</f>
        <v>7.1709836569315399E-2</v>
      </c>
      <c r="H49" s="307">
        <f>64156/$H$60</f>
        <v>7.2618445284317351E-2</v>
      </c>
      <c r="I49" s="307">
        <f>64845/I$60</f>
        <v>7.6107993657373779E-2</v>
      </c>
      <c r="J49" s="307">
        <f>71250/J$60</f>
        <v>9.4594128127580598E-2</v>
      </c>
      <c r="K49" s="307">
        <f>65232/$K$60</f>
        <v>9.0421668376257938E-2</v>
      </c>
      <c r="L49" s="307">
        <f>67309/$L$60</f>
        <v>9.4654227792277917E-2</v>
      </c>
      <c r="M49" s="307"/>
      <c r="N49" s="307"/>
      <c r="O49" s="307"/>
      <c r="P49" s="307">
        <f>70128/$P$60</f>
        <v>0.10848221122535955</v>
      </c>
      <c r="Q49" s="307"/>
      <c r="R49" s="307"/>
      <c r="S49" s="307"/>
      <c r="T49" s="307"/>
      <c r="U49" s="355"/>
      <c r="V49" s="355"/>
      <c r="W49" s="355"/>
      <c r="X49" s="129">
        <f>38009/$X$60</f>
        <v>7.6114208359366234E-2</v>
      </c>
      <c r="Y49" s="129">
        <f>38713.107/$Y$60</f>
        <v>7.9563541018661296E-2</v>
      </c>
      <c r="Z49" s="129">
        <f>36758.921/$Z$60</f>
        <v>7.5548807289781111E-2</v>
      </c>
      <c r="AA49" s="129"/>
      <c r="AB49" s="129">
        <f>37063.964/$AB$60</f>
        <v>7.8705143521816207E-2</v>
      </c>
      <c r="AC49" s="129"/>
      <c r="AD49" s="129">
        <f>34945.747/$AD$60</f>
        <v>8.256533579404042E-2</v>
      </c>
      <c r="AE49" s="129"/>
      <c r="AF49" s="129">
        <f>25192.458/$AF$60</f>
        <v>6.1393606409820486E-2</v>
      </c>
      <c r="AG49" s="13"/>
      <c r="AH49" s="13">
        <f>22967.452/$AH$60</f>
        <v>5.840382588770409E-2</v>
      </c>
      <c r="AI49" s="13"/>
      <c r="AJ49" s="13">
        <f>24806.905/$AJ$60</f>
        <v>6.0982266442894215E-2</v>
      </c>
      <c r="AK49" s="13"/>
      <c r="AL49" s="13">
        <f>25895.364/$AL$60</f>
        <v>7.3012801892343424E-2</v>
      </c>
      <c r="AM49" s="13"/>
      <c r="AN49" s="13">
        <f>29878.909/$AN$60</f>
        <v>8.4649480615677342E-2</v>
      </c>
      <c r="AO49" s="88"/>
      <c r="AP49" s="13">
        <f>23731.503/$AP$60</f>
        <v>7.5241133034207319E-2</v>
      </c>
      <c r="AQ49" s="88"/>
      <c r="AR49" s="13">
        <f>20691.669/$AR$60</f>
        <v>5.9128368186270992E-2</v>
      </c>
      <c r="AS49" s="13"/>
      <c r="AT49" s="129">
        <f>24420.086/$AT$60</f>
        <v>7.359138109459025E-2</v>
      </c>
      <c r="AU49" s="13"/>
      <c r="AV49" s="13">
        <f>24330.354/$AV$60</f>
        <v>7.4728358077847515E-2</v>
      </c>
      <c r="AW49" s="13"/>
      <c r="AX49" s="13">
        <f>24744.599/$AX$60</f>
        <v>8.2894770624358849E-2</v>
      </c>
      <c r="AY49" s="13"/>
      <c r="AZ49" s="13">
        <f>24526.548/$AZ$60</f>
        <v>7.9507295036541387E-2</v>
      </c>
      <c r="BA49" s="13"/>
      <c r="BB49" s="13">
        <f>21204.245/$BB$60</f>
        <v>8.1742435768300203E-2</v>
      </c>
      <c r="BC49" s="13"/>
      <c r="BD49" s="13">
        <f>18301.513/$BD$60</f>
        <v>7.2301619188110372E-2</v>
      </c>
      <c r="BE49" s="13"/>
      <c r="BF49" s="13">
        <f>16886.966/$BF$60</f>
        <v>6.9712202292495376E-2</v>
      </c>
      <c r="BG49" s="41"/>
      <c r="BH49" s="41">
        <f>12831.709/$BH$60</f>
        <v>5.759379309393288E-2</v>
      </c>
      <c r="BI49" s="41"/>
      <c r="BJ49" s="41">
        <f>12227.04/$BJ$60</f>
        <v>5.6121897151311946E-2</v>
      </c>
      <c r="BK49" s="41"/>
      <c r="BL49" s="41">
        <f>13323.867/$BL$60</f>
        <v>5.8772373832552377E-2</v>
      </c>
      <c r="BM49" s="41"/>
      <c r="BN49" s="41">
        <f>12917.135/$BN$60</f>
        <v>6.396453586090621E-2</v>
      </c>
      <c r="BP49" s="41">
        <f>14679.943/$BP$60</f>
        <v>7.6534700310951068E-2</v>
      </c>
      <c r="BQ49" s="41"/>
      <c r="BR49" s="41">
        <f>12702.568/$BR$60</f>
        <v>7.6440660280086947E-2</v>
      </c>
      <c r="BS49" s="41"/>
      <c r="BT49" s="41">
        <f>15717.421/$BT$60</f>
        <v>8.9308458641955496E-2</v>
      </c>
    </row>
    <row r="50" spans="1:72" s="39" customFormat="1" ht="15" customHeight="1" x14ac:dyDescent="0.25">
      <c r="A50" s="74">
        <v>50</v>
      </c>
      <c r="B50" s="250" t="s">
        <v>257</v>
      </c>
      <c r="C50" s="365"/>
      <c r="D50" s="291"/>
      <c r="E50" s="286"/>
      <c r="F50" s="307">
        <f>34646/$F$60</f>
        <v>3.8292223846928368E-2</v>
      </c>
      <c r="G50" s="307">
        <f>32657/$G$60</f>
        <v>3.6350244207812819E-2</v>
      </c>
      <c r="H50" s="307">
        <f>30411/$H$60</f>
        <v>3.4422338355592226E-2</v>
      </c>
      <c r="I50" s="307">
        <f>30251/I$60</f>
        <v>3.5505326796656855E-2</v>
      </c>
      <c r="J50" s="307">
        <f>34355/J$60</f>
        <v>4.5610965218568861E-2</v>
      </c>
      <c r="K50" s="307">
        <f>32884/$K$60</f>
        <v>4.5582323750381196E-2</v>
      </c>
      <c r="L50" s="307">
        <f>30034/$L$60</f>
        <v>4.2235734857348571E-2</v>
      </c>
      <c r="M50" s="307"/>
      <c r="N50" s="307"/>
      <c r="O50" s="307"/>
      <c r="P50" s="307">
        <f>35489/$P$60</f>
        <v>5.4898545433732383E-2</v>
      </c>
      <c r="Q50" s="307"/>
      <c r="R50" s="307"/>
      <c r="S50" s="307"/>
      <c r="T50" s="307"/>
      <c r="U50" s="355"/>
      <c r="V50" s="355"/>
      <c r="W50" s="355"/>
      <c r="X50" s="129">
        <f>22504/$X$60</f>
        <v>4.5064962112109704E-2</v>
      </c>
      <c r="Y50" s="129">
        <f>23265.193/$Y$60</f>
        <v>4.7814843111470523E-2</v>
      </c>
      <c r="Z50" s="129">
        <f>23066.735/$Z$60</f>
        <v>4.7407929011829511E-2</v>
      </c>
      <c r="AA50" s="129"/>
      <c r="AB50" s="129">
        <f>22881.478/$AB$60</f>
        <v>4.8588704920533597E-2</v>
      </c>
      <c r="AC50" s="129"/>
      <c r="AD50" s="129">
        <f>24617.184/$AD$60</f>
        <v>5.8162329832688334E-2</v>
      </c>
      <c r="AE50" s="129"/>
      <c r="AF50" s="129">
        <f>17929.568/$AF$60</f>
        <v>4.3694062758390322E-2</v>
      </c>
      <c r="AG50" s="13"/>
      <c r="AH50" s="13">
        <f>19207.728/$AH$60</f>
        <v>4.8843241375246094E-2</v>
      </c>
      <c r="AI50" s="13"/>
      <c r="AJ50" s="13">
        <f>19888.282/$AJ$60</f>
        <v>4.8890924200960056E-2</v>
      </c>
      <c r="AK50" s="13"/>
      <c r="AL50" s="13">
        <f>17843.692/$AL$60</f>
        <v>5.0310856762777814E-2</v>
      </c>
      <c r="AM50" s="13"/>
      <c r="AN50" s="13">
        <f>18857.713/$AN$60</f>
        <v>5.3425498603362882E-2</v>
      </c>
      <c r="AO50" s="88"/>
      <c r="AP50" s="13">
        <f>15536.404/$AP$60</f>
        <v>4.9258432566921306E-2</v>
      </c>
      <c r="AQ50" s="88"/>
      <c r="AR50" s="13">
        <f>20559.84/$AR$60</f>
        <v>5.8751654560626386E-2</v>
      </c>
      <c r="AS50" s="13"/>
      <c r="AT50" s="129">
        <f>11702.06/$AT$60</f>
        <v>3.5264853573888345E-2</v>
      </c>
      <c r="AU50" s="13"/>
      <c r="AV50" s="13">
        <f>17406.994/$AV$60</f>
        <v>5.3463919213462462E-2</v>
      </c>
      <c r="AW50" s="13"/>
      <c r="AX50" s="13">
        <f>20065.306/$AX$60</f>
        <v>6.7219070245493631E-2</v>
      </c>
      <c r="AY50" s="13"/>
      <c r="AZ50" s="13">
        <f>19957.688/$AZ$60</f>
        <v>6.4696498996240387E-2</v>
      </c>
      <c r="BA50" s="13"/>
      <c r="BB50" s="13">
        <f>10303.483/$BB$60</f>
        <v>3.9719961607558918E-2</v>
      </c>
      <c r="BC50" s="13"/>
      <c r="BD50" s="13">
        <f>11088.227/$BD$60</f>
        <v>4.380494476196168E-2</v>
      </c>
      <c r="BE50" s="13"/>
      <c r="BF50" s="13">
        <f>12809.866/$BF$60</f>
        <v>5.2881255871052177E-2</v>
      </c>
      <c r="BG50" s="41"/>
      <c r="BH50" s="41">
        <f>12433.943/$BH$60</f>
        <v>5.5808461716498947E-2</v>
      </c>
      <c r="BI50" s="41"/>
      <c r="BJ50" s="41">
        <f>14582.808/$BJ$60</f>
        <v>6.6934830568422865E-2</v>
      </c>
      <c r="BK50" s="41"/>
      <c r="BL50" s="41">
        <f>19070.446/$BL$60</f>
        <v>8.4120877329794952E-2</v>
      </c>
      <c r="BM50" s="41"/>
      <c r="BN50" s="41">
        <f>14206.596/$BN$60</f>
        <v>7.0349835261720714E-2</v>
      </c>
      <c r="BP50" s="41">
        <f>15063.676/$BP$60</f>
        <v>7.8535313675350521E-2</v>
      </c>
      <c r="BQ50" s="41"/>
      <c r="BR50" s="41">
        <f>10499.81/$BR$60</f>
        <v>6.3185051181419358E-2</v>
      </c>
      <c r="BS50" s="41"/>
      <c r="BT50" s="41">
        <f>16154.239/$BT$60</f>
        <v>9.1790516117355669E-2</v>
      </c>
    </row>
    <row r="51" spans="1:72" x14ac:dyDescent="0.25">
      <c r="A51" s="74">
        <v>51</v>
      </c>
      <c r="B51" s="250" t="s">
        <v>85</v>
      </c>
      <c r="C51" s="365"/>
      <c r="D51" s="291"/>
      <c r="E51" s="286"/>
      <c r="F51" s="307">
        <f>32805/$F$60</f>
        <v>3.625747281932936E-2</v>
      </c>
      <c r="G51" s="307">
        <f>31024/$G$60</f>
        <v>3.4532565033627859E-2</v>
      </c>
      <c r="H51" s="307">
        <f>28564/$H$60</f>
        <v>3.2331711314627483E-2</v>
      </c>
      <c r="I51" s="307">
        <f>29061/I$60</f>
        <v>3.4108634492666191E-2</v>
      </c>
      <c r="J51" s="307">
        <f>27547/J$60</f>
        <v>3.6572413298673161E-2</v>
      </c>
      <c r="K51" s="307">
        <f>28806/$K$60</f>
        <v>3.9929583321782043E-2</v>
      </c>
      <c r="L51" s="307">
        <f>27043/$L$60</f>
        <v>3.8029599045990459E-2</v>
      </c>
      <c r="M51" s="307"/>
      <c r="N51" s="307"/>
      <c r="O51" s="307"/>
      <c r="P51" s="307">
        <f>27201/$P$60</f>
        <v>4.2077695464593383E-2</v>
      </c>
      <c r="Q51" s="307"/>
      <c r="R51" s="307"/>
      <c r="S51" s="307"/>
      <c r="T51" s="307"/>
      <c r="U51" s="355"/>
      <c r="V51" s="355"/>
      <c r="W51" s="355"/>
      <c r="X51" s="129">
        <f>31309/$X$60</f>
        <v>6.2697249323144452E-2</v>
      </c>
      <c r="Y51" s="129">
        <f>30516.048/$Y$60</f>
        <v>6.2716868392284728E-2</v>
      </c>
      <c r="Z51" s="129">
        <f>35510.418/$Z$60</f>
        <v>7.2982820313511762E-2</v>
      </c>
      <c r="AA51" s="129"/>
      <c r="AB51" s="129">
        <f>25080.754/$AB$60</f>
        <v>5.3258856586558469E-2</v>
      </c>
      <c r="AC51" s="129"/>
      <c r="AD51" s="129">
        <f>24147.664/$AD$60</f>
        <v>5.7053008104295526E-2</v>
      </c>
      <c r="AE51" s="129"/>
      <c r="AF51" s="129">
        <f>21991.284/$AF$60</f>
        <v>5.3592397944757231E-2</v>
      </c>
      <c r="AG51" s="13"/>
      <c r="AH51" s="13">
        <f>19034.016/$AH$60</f>
        <v>4.8401509945803903E-2</v>
      </c>
      <c r="AI51" s="13"/>
      <c r="AJ51" s="13">
        <f>18510.774/$AJ$60</f>
        <v>4.5504626721156828E-2</v>
      </c>
      <c r="AK51" s="13"/>
      <c r="AL51" s="13">
        <f>17101.688/$AL$60</f>
        <v>4.8218752899888438E-2</v>
      </c>
      <c r="AM51" s="13"/>
      <c r="AN51" s="13">
        <f>18888.438/$AN$60</f>
        <v>5.3512545131464584E-2</v>
      </c>
      <c r="AO51" s="88"/>
      <c r="AP51" s="13">
        <f>14918.798/$AP$60</f>
        <v>4.7300302261869633E-2</v>
      </c>
      <c r="AQ51" s="88"/>
      <c r="AR51" s="13">
        <f>15099.719/$AR$60</f>
        <v>4.3148851092738409E-2</v>
      </c>
      <c r="AS51" s="13"/>
      <c r="AT51" s="129">
        <f>26289.597/$AT$60</f>
        <v>7.9225263647728209E-2</v>
      </c>
      <c r="AU51" s="13"/>
      <c r="AV51" s="13">
        <f>10138.196/$AV$60</f>
        <v>3.1138500531122621E-2</v>
      </c>
      <c r="AW51" s="13"/>
      <c r="AX51" s="13">
        <f>9196.883/$AX$60</f>
        <v>3.0809693329201471E-2</v>
      </c>
      <c r="AY51" s="13"/>
      <c r="AZ51" s="13">
        <f>11328.594/$AZ$60</f>
        <v>3.672371120090738E-2</v>
      </c>
      <c r="BA51" s="13"/>
      <c r="BB51" s="13">
        <f>8970.957/$BB$60</f>
        <v>3.458306939731564E-2</v>
      </c>
      <c r="BC51" s="13"/>
      <c r="BD51" s="13">
        <f>10782.393/$BD$60</f>
        <v>4.2596722610996535E-2</v>
      </c>
      <c r="BE51" s="13"/>
      <c r="BF51" s="13">
        <f>8791.122/$BF$60</f>
        <v>3.6291212716482432E-2</v>
      </c>
      <c r="BG51" s="41"/>
      <c r="BH51" s="41">
        <f>10521.306/$BH$60</f>
        <v>4.7223789196119907E-2</v>
      </c>
      <c r="BI51" s="41"/>
      <c r="BJ51" s="41">
        <f>8306.449/$BJ$60</f>
        <v>3.8126453865417791E-2</v>
      </c>
      <c r="BK51" s="41"/>
      <c r="BL51" s="41">
        <f>7002.598/$BL$60</f>
        <v>3.0888878390566612E-2</v>
      </c>
      <c r="BM51" s="41"/>
      <c r="BN51" s="41">
        <f>9539.658/$BN$60</f>
        <v>4.7239561732673754E-2</v>
      </c>
      <c r="BO51" s="39"/>
      <c r="BP51" s="41">
        <f>9528.065/$BP$60</f>
        <v>4.9675097465859505E-2</v>
      </c>
      <c r="BQ51" s="41"/>
      <c r="BR51" s="41">
        <f>7324.457/$BR$60</f>
        <v>4.4076625236180972E-2</v>
      </c>
      <c r="BS51" s="41"/>
      <c r="BT51" s="41">
        <f>6562.649/$BT$60</f>
        <v>3.7289836977591334E-2</v>
      </c>
    </row>
    <row r="52" spans="1:72" s="39" customFormat="1" x14ac:dyDescent="0.25">
      <c r="A52" s="74">
        <v>52</v>
      </c>
      <c r="B52" s="250" t="s">
        <v>81</v>
      </c>
      <c r="C52" s="365"/>
      <c r="D52" s="291"/>
      <c r="E52" s="286"/>
      <c r="F52" s="307">
        <f>23319/$F$60</f>
        <v>2.5773144602162516E-2</v>
      </c>
      <c r="G52" s="307">
        <f>26528/$G$60</f>
        <v>2.952810357181794E-2</v>
      </c>
      <c r="H52" s="307">
        <f>35324/$H$60</f>
        <v>3.9983383646474628E-2</v>
      </c>
      <c r="I52" s="307">
        <f>29404/I$60</f>
        <v>3.4511210509698798E-2</v>
      </c>
      <c r="J52" s="307">
        <f>27086/J$60</f>
        <v>3.5960372694226639E-2</v>
      </c>
      <c r="K52" s="307">
        <f>32028/$K$60</f>
        <v>4.4395774999306921E-2</v>
      </c>
      <c r="L52" s="307">
        <f>31162/$L$60</f>
        <v>4.38220007200072E-2</v>
      </c>
      <c r="M52" s="307"/>
      <c r="N52" s="307"/>
      <c r="O52" s="307"/>
      <c r="P52" s="307">
        <f>45551/$P$60</f>
        <v>7.0463626561806311E-2</v>
      </c>
      <c r="Q52" s="307"/>
      <c r="R52" s="307"/>
      <c r="S52" s="307"/>
      <c r="T52" s="307"/>
      <c r="U52" s="355"/>
      <c r="V52" s="355"/>
      <c r="W52" s="355"/>
      <c r="X52" s="129">
        <f>42425/$X$60</f>
        <v>8.4957386136075994E-2</v>
      </c>
      <c r="Y52" s="129">
        <f>35026.204/$Y$60</f>
        <v>7.1986183353405286E-2</v>
      </c>
      <c r="Z52" s="129">
        <f>48371.059/$Z$60</f>
        <v>9.9414664940617598E-2</v>
      </c>
      <c r="AA52" s="129"/>
      <c r="AB52" s="129">
        <f>43615.551/$AB$60</f>
        <v>9.2617405985989373E-2</v>
      </c>
      <c r="AC52" s="129"/>
      <c r="AD52" s="129">
        <f>35322.464/$AD$60</f>
        <v>8.3455394478558542E-2</v>
      </c>
      <c r="AE52" s="129"/>
      <c r="AF52" s="129">
        <f>40240.155/$AF$60</f>
        <v>9.8064596870228782E-2</v>
      </c>
      <c r="AG52" s="13"/>
      <c r="AH52" s="13">
        <f>31202.799/$AH$60</f>
        <v>7.9345451119481047E-2</v>
      </c>
      <c r="AI52" s="13"/>
      <c r="AJ52" s="13">
        <f>36519.581/$AJ$60</f>
        <v>8.9775279057377658E-2</v>
      </c>
      <c r="AK52" s="13"/>
      <c r="AL52" s="13">
        <f>24847.943/$AL$60</f>
        <v>7.0059565090154416E-2</v>
      </c>
      <c r="AM52" s="13"/>
      <c r="AN52" s="13">
        <f>28295.818/$AN$60</f>
        <v>8.0164449689101233E-2</v>
      </c>
      <c r="AO52" s="88"/>
      <c r="AP52" s="13">
        <f>18959.837/$AP$60</f>
        <v>6.0112484996162528E-2</v>
      </c>
      <c r="AQ52" s="88"/>
      <c r="AR52" s="13">
        <f>39974.147/$AR$60</f>
        <v>0.11422984205614924</v>
      </c>
      <c r="AS52" s="13"/>
      <c r="AT52" s="129">
        <f>28413.21/$AT$60</f>
        <v>8.5624897685889503E-2</v>
      </c>
      <c r="AU52" s="13"/>
      <c r="AV52" s="13">
        <f>33351.086/$AV$60</f>
        <v>0.10243467468221332</v>
      </c>
      <c r="AW52" s="13"/>
      <c r="AX52" s="13">
        <f>21347.512/$AX$60</f>
        <v>7.1514479205775291E-2</v>
      </c>
      <c r="AY52" s="13"/>
      <c r="AZ52" s="13">
        <f>41197.684/$AZ$60</f>
        <v>0.13354983410670759</v>
      </c>
      <c r="BA52" s="13"/>
      <c r="BB52" s="13">
        <f>29785.372/$BB$60</f>
        <v>0.11482270920492228</v>
      </c>
      <c r="BC52" s="13"/>
      <c r="BD52" s="13">
        <f>31815.454/$BD$60</f>
        <v>0.12568954487013412</v>
      </c>
      <c r="BE52" s="13"/>
      <c r="BF52" s="13">
        <f>28373.91/$BF$60</f>
        <v>0.11713221627550249</v>
      </c>
      <c r="BG52" s="41"/>
      <c r="BH52" s="41">
        <f>34034.534/$BH$60</f>
        <v>0.15276047089631037</v>
      </c>
      <c r="BI52" s="41"/>
      <c r="BJ52" s="41">
        <f>27695.079/$BJ$60</f>
        <v>0.12711992233896832</v>
      </c>
      <c r="BK52" s="41"/>
      <c r="BL52" s="41">
        <f>28197.337/$BL$60</f>
        <v>0.12438013913276534</v>
      </c>
      <c r="BM52" s="41"/>
      <c r="BN52" s="41">
        <f>14955.085/$BN$60</f>
        <v>7.405628808442434E-2</v>
      </c>
      <c r="BP52" s="41">
        <f>17867.846/$BP$60</f>
        <v>9.3155010125872142E-2</v>
      </c>
      <c r="BQ52" s="41"/>
      <c r="BR52" s="41">
        <f>16890.195/$BR$60</f>
        <v>0.10164068069223665</v>
      </c>
      <c r="BS52" s="41"/>
      <c r="BT52" s="41">
        <f>16631.12/$BT$60</f>
        <v>9.4500216841516091E-2</v>
      </c>
    </row>
    <row r="53" spans="1:72" s="39" customFormat="1" ht="15" customHeight="1" x14ac:dyDescent="0.25">
      <c r="A53" s="74">
        <v>53</v>
      </c>
      <c r="B53" s="250" t="s">
        <v>89</v>
      </c>
      <c r="C53" s="365"/>
      <c r="D53" s="291"/>
      <c r="E53" s="286"/>
      <c r="F53" s="307">
        <f>17578/$F$60</f>
        <v>1.942794870349555E-2</v>
      </c>
      <c r="G53" s="307">
        <f>12173/$G$60</f>
        <v>1.3549668455207321E-2</v>
      </c>
      <c r="H53" s="307">
        <f>12358/$H$60</f>
        <v>1.3988071993634171E-2</v>
      </c>
      <c r="I53" s="307">
        <f>13336/I$60</f>
        <v>1.5652343332789524E-2</v>
      </c>
      <c r="J53" s="307">
        <f>12748/J$60</f>
        <v>1.6924715022742419E-2</v>
      </c>
      <c r="K53" s="307">
        <f>11794/$K$60</f>
        <v>1.634831304926395E-2</v>
      </c>
      <c r="L53" s="307">
        <f>18324/$L$60</f>
        <v>2.5768382683826838E-2</v>
      </c>
      <c r="M53" s="307"/>
      <c r="N53" s="307"/>
      <c r="O53" s="307"/>
      <c r="P53" s="307">
        <f>17615/$P$60</f>
        <v>2.7248946936098396E-2</v>
      </c>
      <c r="Q53" s="307"/>
      <c r="R53" s="307"/>
      <c r="S53" s="307"/>
      <c r="T53" s="307"/>
      <c r="U53" s="355"/>
      <c r="V53" s="355"/>
      <c r="W53" s="355"/>
      <c r="X53" s="129">
        <f>10555/$X$60</f>
        <v>2.11367168100479E-2</v>
      </c>
      <c r="Y53" s="129">
        <f>12919.961/$Y$60</f>
        <v>2.6553225164361104E-2</v>
      </c>
      <c r="Z53" s="129">
        <f>12200.687/$Z$60</f>
        <v>2.5075473541944757E-2</v>
      </c>
      <c r="AA53" s="129"/>
      <c r="AB53" s="129">
        <f>8093.956/$AB$60</f>
        <v>1.7187475377411478E-2</v>
      </c>
      <c r="AC53" s="129"/>
      <c r="AD53" s="129">
        <f>10293.947/$AD$60</f>
        <v>2.4321219709541618E-2</v>
      </c>
      <c r="AE53" s="129"/>
      <c r="AF53" s="129">
        <f>7649.126/$AF$60</f>
        <v>1.8640794440269566E-2</v>
      </c>
      <c r="AG53" s="13"/>
      <c r="AH53" s="13">
        <f>10364.218/$AH$60</f>
        <v>2.6355121305324105E-2</v>
      </c>
      <c r="AI53" s="13"/>
      <c r="AJ53" s="13">
        <f>12368.428/$AJ$60</f>
        <v>3.0405033266977612E-2</v>
      </c>
      <c r="AK53" s="13"/>
      <c r="AL53" s="13">
        <f>10643.75/$AL$60</f>
        <v>3.0010391440785704E-2</v>
      </c>
      <c r="AM53" s="13"/>
      <c r="AN53" s="13">
        <f>8804.042/$AN$60</f>
        <v>2.4942596887276212E-2</v>
      </c>
      <c r="AO53" s="88"/>
      <c r="AP53" s="13">
        <f>7597.749/$AP$60</f>
        <v>2.4088792154020568E-2</v>
      </c>
      <c r="AQ53" s="88"/>
      <c r="AR53" s="13">
        <f>9828.63/$AR$60</f>
        <v>2.8086224142026849E-2</v>
      </c>
      <c r="AS53" s="13"/>
      <c r="AT53" s="129">
        <f>9512.299/$AT$60</f>
        <v>2.8665878604796469E-2</v>
      </c>
      <c r="AU53" s="13"/>
      <c r="AV53" s="13">
        <f>7382.19/$AV$60</f>
        <v>2.2673691378214438E-2</v>
      </c>
      <c r="AW53" s="13"/>
      <c r="AX53" s="13">
        <f>9859.693/$AX$60</f>
        <v>3.3030116578635874E-2</v>
      </c>
      <c r="AY53" s="13"/>
      <c r="AZ53" s="13">
        <f>6900.311/$AZ$60</f>
        <v>2.2368621239356307E-2</v>
      </c>
      <c r="BA53" s="13"/>
      <c r="BB53" s="13">
        <f>6696.369/$BB$60</f>
        <v>2.5814525009654275E-2</v>
      </c>
      <c r="BC53" s="13"/>
      <c r="BD53" s="13">
        <f>7188.33/$BD$60</f>
        <v>2.8398083713541578E-2</v>
      </c>
      <c r="BE53" s="13"/>
      <c r="BF53" s="13">
        <f>5866.746/$BF$60</f>
        <v>2.421890255186681E-2</v>
      </c>
      <c r="BG53" s="41"/>
      <c r="BH53" s="41">
        <f>5114.334/$BH$60</f>
        <v>2.2955156963835925E-2</v>
      </c>
      <c r="BI53" s="41"/>
      <c r="BJ53" s="41">
        <f>4789.422/$BJ$60</f>
        <v>2.1983362195448018E-2</v>
      </c>
      <c r="BK53" s="41"/>
      <c r="BL53" s="41">
        <f>8253.627/$BL$60</f>
        <v>3.6407242095590403E-2</v>
      </c>
      <c r="BM53" s="41"/>
      <c r="BN53" s="41">
        <f>6952.146/$BN$60</f>
        <v>3.4426425993632152E-2</v>
      </c>
      <c r="BP53" s="41">
        <f>6782.193/$BP$60</f>
        <v>3.5359340884772522E-2</v>
      </c>
      <c r="BQ53" s="41"/>
      <c r="BR53" s="41">
        <f>7858.793/$BR$60</f>
        <v>4.7292116517268425E-2</v>
      </c>
      <c r="BS53" s="41"/>
      <c r="BT53" s="41">
        <f>7075.844/$BT$60</f>
        <v>4.0205878638163918E-2</v>
      </c>
    </row>
    <row r="54" spans="1:72" s="39" customFormat="1" ht="15" customHeight="1" x14ac:dyDescent="0.25">
      <c r="A54" s="74">
        <v>54</v>
      </c>
      <c r="B54" s="250" t="s">
        <v>111</v>
      </c>
      <c r="C54" s="365"/>
      <c r="D54" s="291"/>
      <c r="E54" s="286"/>
      <c r="F54" s="307">
        <f>11241/$F$60</f>
        <v>1.2424028409147428E-2</v>
      </c>
      <c r="G54" s="307">
        <f>12920/$G$60</f>
        <v>1.4381148150930632E-2</v>
      </c>
      <c r="H54" s="307">
        <f>14002/$H$60</f>
        <v>1.5848922483805282E-2</v>
      </c>
      <c r="I54" s="307">
        <f>14007/I$60</f>
        <v>1.6439890001678378E-2</v>
      </c>
      <c r="J54" s="307">
        <f>12637/J$60</f>
        <v>1.6777347328396294E-2</v>
      </c>
      <c r="K54" s="307">
        <f>13062/$K$60</f>
        <v>1.8105957694546867E-2</v>
      </c>
      <c r="L54" s="307">
        <f>13786/$L$60</f>
        <v>1.9386756367563675E-2</v>
      </c>
      <c r="M54" s="307"/>
      <c r="N54" s="307"/>
      <c r="O54" s="307"/>
      <c r="P54" s="307">
        <f>15975/$P$60</f>
        <v>2.4712002685448306E-2</v>
      </c>
      <c r="Q54" s="307"/>
      <c r="R54" s="307"/>
      <c r="S54" s="307"/>
      <c r="T54" s="307"/>
      <c r="U54" s="355"/>
      <c r="V54" s="355"/>
      <c r="W54" s="355"/>
      <c r="X54" s="129">
        <f>17237/$X$60</f>
        <v>3.4517630284679836E-2</v>
      </c>
      <c r="Y54" s="129">
        <f>23004.072/$Y$60</f>
        <v>4.7278184780370054E-2</v>
      </c>
      <c r="Z54" s="129">
        <f>22631.711/$Z$60</f>
        <v>4.6513845522751313E-2</v>
      </c>
      <c r="AA54" s="129"/>
      <c r="AB54" s="129">
        <f>19955.435/$AB$60</f>
        <v>4.2375267138595171E-2</v>
      </c>
      <c r="AC54" s="129"/>
      <c r="AD54" s="129">
        <f>15002.208/$AD$60</f>
        <v>3.5445295851653687E-2</v>
      </c>
      <c r="AE54" s="129"/>
      <c r="AF54" s="129">
        <f>18384.841/$AF$60</f>
        <v>4.480355558243386E-2</v>
      </c>
      <c r="AG54" s="13"/>
      <c r="AH54" s="13">
        <f>12385.235/$AH$60</f>
        <v>3.1494355948509169E-2</v>
      </c>
      <c r="AI54" s="13"/>
      <c r="AJ54" s="13">
        <f>12415.707/$AJ$60</f>
        <v>3.0521258188028973E-2</v>
      </c>
      <c r="AK54" s="13"/>
      <c r="AL54" s="13">
        <f>11976.263/$AL$60</f>
        <v>3.376745419873621E-2</v>
      </c>
      <c r="AM54" s="13"/>
      <c r="AN54" s="13">
        <f>13114.256/$AN$60</f>
        <v>3.7153798321787126E-2</v>
      </c>
      <c r="AO54" s="88"/>
      <c r="AP54" s="13">
        <f>12556.454/$AP$60</f>
        <v>3.9810450516004167E-2</v>
      </c>
      <c r="AQ54" s="88"/>
      <c r="AR54" s="13">
        <f>13081.248/$AR$60</f>
        <v>3.7380882522329198E-2</v>
      </c>
      <c r="AS54" s="13"/>
      <c r="AT54" s="129">
        <f>14840.869/$AT$60</f>
        <v>4.472384111808167E-2</v>
      </c>
      <c r="AU54" s="13"/>
      <c r="AV54" s="13">
        <f>14658.073/$AV$60</f>
        <v>4.5020870961237504E-2</v>
      </c>
      <c r="AW54" s="13"/>
      <c r="AX54" s="13">
        <f>15608.707/$AX$60</f>
        <v>5.2289398042288923E-2</v>
      </c>
      <c r="AY54" s="13"/>
      <c r="AZ54" s="13">
        <f>12181.243/$AZ$60</f>
        <v>3.9487729015628477E-2</v>
      </c>
      <c r="BA54" s="13"/>
      <c r="BB54" s="13">
        <f>10853.911/$BB$60</f>
        <v>4.1841863398218E-2</v>
      </c>
      <c r="BC54" s="13"/>
      <c r="BD54" s="13">
        <f>10679.615/$BD$60</f>
        <v>4.2190689742735002E-2</v>
      </c>
      <c r="BE54" s="13"/>
      <c r="BF54" s="13">
        <f>8825.096/$BF$60</f>
        <v>3.6431463035023086E-2</v>
      </c>
      <c r="BG54" s="41"/>
      <c r="BH54" s="41">
        <f>7499.361/$BH$60</f>
        <v>3.3660102934902091E-2</v>
      </c>
      <c r="BI54" s="41"/>
      <c r="BJ54" s="41">
        <f>6309.406/$BJ$60</f>
        <v>2.8960061847991866E-2</v>
      </c>
      <c r="BK54" s="41"/>
      <c r="BL54" s="41">
        <f>6639.815/$BL$60</f>
        <v>2.9288620890540917E-2</v>
      </c>
      <c r="BM54" s="41"/>
      <c r="BN54" s="41">
        <f>5406.81/$BN$60</f>
        <v>2.6774055712672072E-2</v>
      </c>
      <c r="BP54" s="41">
        <f>6911.062/$BP$60</f>
        <v>3.6031206592587052E-2</v>
      </c>
      <c r="BQ54" s="41"/>
      <c r="BR54" s="41">
        <f>4637.1/$BR$60</f>
        <v>2.7904828833413151E-2</v>
      </c>
      <c r="BS54" s="41"/>
      <c r="BT54" s="41">
        <f>5330.379/$BT$60</f>
        <v>3.0287916348836624E-2</v>
      </c>
    </row>
    <row r="55" spans="1:72" s="39" customFormat="1" ht="15" customHeight="1" x14ac:dyDescent="0.25">
      <c r="A55" s="74">
        <v>55</v>
      </c>
      <c r="B55" s="377" t="s">
        <v>91</v>
      </c>
      <c r="C55" s="365"/>
      <c r="D55" s="291"/>
      <c r="E55" s="286"/>
      <c r="F55" s="307">
        <f>4531/$F$60</f>
        <v>5.0078527463612663E-3</v>
      </c>
      <c r="G55" s="307">
        <f>4622/$G$60</f>
        <v>5.1447110490403548E-3</v>
      </c>
      <c r="H55" s="307">
        <f>720/$H$60</f>
        <v>8.1497101759318684E-4</v>
      </c>
      <c r="I55" s="307">
        <f>688/I$60</f>
        <v>8.0749941608872168E-4</v>
      </c>
      <c r="J55" s="307">
        <f>1120/J$60</f>
        <v>1.4869533123212668E-3</v>
      </c>
      <c r="K55" s="307">
        <f>696/$K$60</f>
        <v>9.6476393778935983E-4</v>
      </c>
      <c r="L55" s="307">
        <f>729/$L$60</f>
        <v>1.0251665016650167E-3</v>
      </c>
      <c r="M55" s="307"/>
      <c r="N55" s="307"/>
      <c r="O55" s="307"/>
      <c r="P55" s="307">
        <f>530/$P$60</f>
        <v>8.1986612978326144E-4</v>
      </c>
      <c r="Q55" s="307"/>
      <c r="R55" s="307"/>
      <c r="S55" s="307"/>
      <c r="T55" s="307"/>
      <c r="U55" s="355"/>
      <c r="V55" s="355"/>
      <c r="W55" s="355"/>
      <c r="X55" s="129">
        <f>516/$X$60</f>
        <v>1.0333060989090211E-3</v>
      </c>
      <c r="Y55" s="129">
        <f>412.346/$Y$60</f>
        <v>8.4745737108832177E-4</v>
      </c>
      <c r="Z55" s="129">
        <f>435.592/$Z$60</f>
        <v>8.9525087161754094E-4</v>
      </c>
      <c r="AA55" s="129"/>
      <c r="AB55" s="129">
        <f>348.337/$AB$60</f>
        <v>7.3969188991654779E-4</v>
      </c>
      <c r="AC55" s="129"/>
      <c r="AD55" s="129">
        <f>711.816/$AD$60</f>
        <v>1.681787688314995E-3</v>
      </c>
      <c r="AE55" s="129"/>
      <c r="AF55" s="129">
        <f>580.938/$AF$60</f>
        <v>1.4157363652450385E-3</v>
      </c>
      <c r="AG55" s="13"/>
      <c r="AH55" s="13">
        <f>541.013/$AH$60</f>
        <v>1.3757394183292276E-3</v>
      </c>
      <c r="AI55" s="13"/>
      <c r="AJ55" s="13">
        <f>535.146/$AJ$60</f>
        <v>1.3155375875325466E-3</v>
      </c>
      <c r="AK55" s="13"/>
      <c r="AL55" s="13">
        <f>680.501/$AL$60</f>
        <v>1.9186941994922947E-3</v>
      </c>
      <c r="AM55" s="13"/>
      <c r="AN55" s="13">
        <f>1164.663/$AN$60</f>
        <v>3.2995889522705341E-3</v>
      </c>
      <c r="AO55" s="88"/>
      <c r="AP55" s="13">
        <f>743.299/$AP$60</f>
        <v>2.3566420948219445E-3</v>
      </c>
      <c r="AQ55" s="88"/>
      <c r="AR55" s="13">
        <f>430.757/$AR$60</f>
        <v>1.230928181521439E-3</v>
      </c>
      <c r="AS55" s="13"/>
      <c r="AT55" s="129">
        <f>449.329/$AT$60</f>
        <v>1.3540796570434331E-3</v>
      </c>
      <c r="AU55" s="13"/>
      <c r="AV55" s="13">
        <f>551.885/$AV$60</f>
        <v>1.6950620569595033E-3</v>
      </c>
      <c r="AW55" s="13"/>
      <c r="AX55" s="13">
        <f>263.526/$AX$60</f>
        <v>8.8281597626838862E-4</v>
      </c>
      <c r="AY55" s="13"/>
      <c r="AZ55" s="13">
        <f>718.038/$AZ$60</f>
        <v>2.3276516170742051E-3</v>
      </c>
      <c r="BA55" s="13"/>
      <c r="BB55" s="13">
        <f>461.351/$BB$60</f>
        <v>1.7785096561627669E-3</v>
      </c>
      <c r="BC55" s="13"/>
      <c r="BD55" s="13">
        <f>497.836/$BD$60</f>
        <v>1.9667417054607516E-3</v>
      </c>
      <c r="BE55" s="13"/>
      <c r="BF55" s="13">
        <f>794.954/$BF$60</f>
        <v>3.281702234802176E-3</v>
      </c>
      <c r="BG55" s="13"/>
      <c r="BH55" s="13">
        <f>777.445/$BH$60</f>
        <v>3.4894811339559405E-3</v>
      </c>
      <c r="BI55" s="13"/>
      <c r="BJ55" s="13">
        <f>652.321/$BJ$60</f>
        <v>2.9941418423135085E-3</v>
      </c>
      <c r="BK55" s="13"/>
      <c r="BL55" s="13">
        <f>1586.784/$BL$60</f>
        <v>6.9993990813262243E-3</v>
      </c>
      <c r="BM55" s="13"/>
      <c r="BN55" s="13">
        <f>584.059/$BN$60</f>
        <v>2.8922096773305399E-3</v>
      </c>
      <c r="BO55" s="1"/>
      <c r="BP55" s="13">
        <f>706.108/$BP$60</f>
        <v>3.6813333789623729E-3</v>
      </c>
      <c r="BQ55" s="13"/>
      <c r="BR55" s="13">
        <f>1715.46/$BR$60</f>
        <v>1.0323179933701434E-2</v>
      </c>
      <c r="BS55" s="13"/>
      <c r="BT55" s="13">
        <f>1047.464/$BT$60</f>
        <v>5.9518285679907197E-3</v>
      </c>
    </row>
    <row r="56" spans="1:72" s="39" customFormat="1" ht="15" customHeight="1" x14ac:dyDescent="0.25">
      <c r="A56" s="74">
        <v>56</v>
      </c>
      <c r="B56" s="250" t="s">
        <v>112</v>
      </c>
      <c r="C56" s="365"/>
      <c r="D56" s="291"/>
      <c r="E56" s="286"/>
      <c r="F56" s="307">
        <f>2777/$F$60</f>
        <v>3.0692577966553156E-3</v>
      </c>
      <c r="G56" s="307">
        <f>2625/$G$60</f>
        <v>2.9218664006341261E-3</v>
      </c>
      <c r="H56" s="307">
        <f>3074/$H$60</f>
        <v>3.4794734834464672E-3</v>
      </c>
      <c r="I56" s="307">
        <f>3983/I$60</f>
        <v>4.6748112998275847E-3</v>
      </c>
      <c r="J56" s="307">
        <f>4000/J$60</f>
        <v>5.3105475440045243E-3</v>
      </c>
      <c r="K56" s="307">
        <f>3908/$K$60</f>
        <v>5.4170940644839346E-3</v>
      </c>
      <c r="L56" s="307">
        <f>3528/$L$60</f>
        <v>4.9612996129961302E-3</v>
      </c>
      <c r="M56" s="307"/>
      <c r="N56" s="307"/>
      <c r="O56" s="307"/>
      <c r="P56" s="307">
        <f>3835/$P$60</f>
        <v>5.9324275617335994E-3</v>
      </c>
      <c r="Q56" s="307"/>
      <c r="R56" s="307"/>
      <c r="S56" s="307"/>
      <c r="T56" s="307"/>
      <c r="U56" s="355"/>
      <c r="V56" s="355"/>
      <c r="W56" s="355"/>
      <c r="X56" s="129">
        <f>3732/$X$60</f>
        <v>7.4734464362954771E-3</v>
      </c>
      <c r="Y56" s="129">
        <f>3182.921/$Y$60</f>
        <v>6.5415691265146552E-3</v>
      </c>
      <c r="Z56" s="129">
        <f>1151.843/$Z$60</f>
        <v>2.3673264194855811E-3</v>
      </c>
      <c r="AA56" s="129"/>
      <c r="AB56" s="129">
        <f>705.615/$AB$60</f>
        <v>1.4983699489387143E-3</v>
      </c>
      <c r="AC56" s="129"/>
      <c r="AD56" s="129">
        <f>1033.154/$AD$60</f>
        <v>2.44100396357119E-3</v>
      </c>
      <c r="AE56" s="129"/>
      <c r="AF56" s="129">
        <f>1295.133/$AF$60</f>
        <v>3.1562178510080295E-3</v>
      </c>
      <c r="AG56" s="13"/>
      <c r="AH56" s="13">
        <f>1627.326/$AH$60</f>
        <v>4.1381196471656475E-3</v>
      </c>
      <c r="AI56" s="13"/>
      <c r="AJ56" s="13">
        <f>2363.399/$AJ$60</f>
        <v>5.8098915414425845E-3</v>
      </c>
      <c r="AK56" s="13"/>
      <c r="AL56" s="13">
        <f>1337.45/$AL$60</f>
        <v>3.7709827863749942E-3</v>
      </c>
      <c r="AM56" s="13"/>
      <c r="AN56" s="13">
        <f>3106.988/$AN$60</f>
        <v>8.8023602360829886E-3</v>
      </c>
      <c r="AO56" s="88"/>
      <c r="AP56" s="13">
        <f>525.68/$AP$60</f>
        <v>1.6666773618772522E-3</v>
      </c>
      <c r="AQ56" s="88"/>
      <c r="AR56" s="13">
        <f>1323.272/$AR$60</f>
        <v>3.7813727846981882E-3</v>
      </c>
      <c r="AS56" s="13"/>
      <c r="AT56" s="129">
        <f>1615.015/$AT$60</f>
        <v>4.8669437256887499E-3</v>
      </c>
      <c r="AU56" s="13"/>
      <c r="AV56" s="13">
        <f>4396.606/$AV$60</f>
        <v>1.3503755329462649E-2</v>
      </c>
      <c r="AW56" s="13"/>
      <c r="AX56" s="13">
        <f>1404.679/$AX$60</f>
        <v>4.7056953117669753E-3</v>
      </c>
      <c r="AY56" s="13"/>
      <c r="AZ56" s="13">
        <f>1766.419/$AZ$60</f>
        <v>5.7261705394151844E-3</v>
      </c>
      <c r="BA56" s="13"/>
      <c r="BB56" s="13">
        <f>1181.905/$BB$60</f>
        <v>4.5562477488225988E-3</v>
      </c>
      <c r="BC56" s="13"/>
      <c r="BD56" s="13">
        <f>927.092/$BD$60</f>
        <v>3.6625525297467824E-3</v>
      </c>
      <c r="BE56" s="13"/>
      <c r="BF56" s="13">
        <f>1126.552/$BF$60</f>
        <v>4.6505938909935174E-3</v>
      </c>
      <c r="BG56" s="41"/>
      <c r="BH56" s="41">
        <f>2972.475/$BH$60</f>
        <v>1.3341645304369676E-2</v>
      </c>
      <c r="BI56" s="41"/>
      <c r="BJ56" s="41">
        <f>1756.886/$BJ$60</f>
        <v>8.0640756387956401E-3</v>
      </c>
      <c r="BK56" s="41"/>
      <c r="BL56" s="41">
        <f>3628.116/$BL$60</f>
        <v>1.6003836563353913E-2</v>
      </c>
      <c r="BM56" s="41"/>
      <c r="BN56" s="41">
        <f>2713.483/$BN$60</f>
        <v>1.3436933241114179E-2</v>
      </c>
      <c r="BP56" s="41">
        <f>3474.745/$BP$60</f>
        <v>1.8115776555261535E-2</v>
      </c>
      <c r="BQ56" s="41"/>
      <c r="BR56" s="41">
        <f>3215.533/$BR$60</f>
        <v>1.9350218449718893E-2</v>
      </c>
      <c r="BS56" s="41"/>
      <c r="BT56" s="41">
        <f>2659.522/$BT$60</f>
        <v>1.5111754692094253E-2</v>
      </c>
    </row>
    <row r="57" spans="1:72" ht="15" customHeight="1" x14ac:dyDescent="0.25">
      <c r="A57" s="74">
        <v>57</v>
      </c>
      <c r="B57" s="377" t="s">
        <v>114</v>
      </c>
      <c r="C57" s="365"/>
      <c r="D57" s="291"/>
      <c r="E57" s="286"/>
      <c r="F57" s="307">
        <f>2312/$F$60</f>
        <v>2.5553201389510588E-3</v>
      </c>
      <c r="G57" s="307">
        <f>2162/$G$60</f>
        <v>2.4065048221603735E-3</v>
      </c>
      <c r="H57" s="307">
        <f>1927/$H$60</f>
        <v>2.1811793762528766E-3</v>
      </c>
      <c r="I57" s="307">
        <f>2536/I$60</f>
        <v>2.9764804058154044E-3</v>
      </c>
      <c r="J57" s="307">
        <f>2301/J$60</f>
        <v>3.0548924746886027E-3</v>
      </c>
      <c r="K57" s="307">
        <f>2179/$K$60</f>
        <v>3.0204319259238724E-3</v>
      </c>
      <c r="L57" s="307">
        <f>1726/$L$60</f>
        <v>2.4272117721177212E-3</v>
      </c>
      <c r="M57" s="307"/>
      <c r="N57" s="307"/>
      <c r="O57" s="307"/>
      <c r="P57" s="307">
        <f>2291/$P$60</f>
        <v>3.5439873647800978E-3</v>
      </c>
      <c r="Q57" s="307"/>
      <c r="R57" s="307"/>
      <c r="S57" s="307"/>
      <c r="T57" s="307"/>
      <c r="U57" s="355"/>
      <c r="V57" s="355"/>
      <c r="W57" s="355"/>
      <c r="X57" s="129">
        <f>1450/$X$60</f>
        <v>2.9036702391823264E-3</v>
      </c>
      <c r="Y57" s="129">
        <f>1360.998/$Y$60</f>
        <v>2.7971358692371545E-3</v>
      </c>
      <c r="Z57" s="129">
        <f>1405.926/$Z$60</f>
        <v>2.8895307465007687E-3</v>
      </c>
      <c r="AA57" s="129"/>
      <c r="AB57" s="129">
        <f>1126.81/$AB$60</f>
        <v>2.3927754400964161E-3</v>
      </c>
      <c r="AC57" s="129"/>
      <c r="AD57" s="129">
        <f>1495.113/$AD$60</f>
        <v>3.5324615294397665E-3</v>
      </c>
      <c r="AE57" s="129"/>
      <c r="AF57" s="129">
        <f>889.88/$AF$60</f>
        <v>2.1686229454851548E-3</v>
      </c>
      <c r="AG57" s="13"/>
      <c r="AH57" s="13">
        <f>856.949/$AH$60</f>
        <v>2.179131589809881E-3</v>
      </c>
      <c r="AI57" s="13"/>
      <c r="AJ57" s="13">
        <f>752.213/$AJ$60</f>
        <v>1.8491485974493306E-3</v>
      </c>
      <c r="AK57" s="13"/>
      <c r="AL57" s="13">
        <f>722.23/$AL$60</f>
        <v>2.0363504413649946E-3</v>
      </c>
      <c r="AM57" s="13"/>
      <c r="AN57" s="13">
        <f>782.253/$AN$60</f>
        <v>2.2161890235033502E-3</v>
      </c>
      <c r="AO57" s="88"/>
      <c r="AP57" s="13">
        <f>722.91/$AP$60</f>
        <v>2.2919984242784287E-3</v>
      </c>
      <c r="AQ57" s="88"/>
      <c r="AR57" s="13">
        <f>575.241/$AR$60</f>
        <v>1.643804646393614E-3</v>
      </c>
      <c r="AS57" s="13"/>
      <c r="AT57" s="129">
        <f>501.2/$AT$60</f>
        <v>1.5103959996131313E-3</v>
      </c>
      <c r="AU57" s="13"/>
      <c r="AV57" s="13">
        <f>497.408/$AV$60</f>
        <v>1.5277411555452904E-3</v>
      </c>
      <c r="AW57" s="13"/>
      <c r="AX57" s="13">
        <f>545.401/$AX$60</f>
        <v>1.8271013724367059E-3</v>
      </c>
      <c r="AY57" s="13"/>
      <c r="AZ57" s="13">
        <f>468.075/$AZ$60</f>
        <v>1.5173507957267005E-3</v>
      </c>
      <c r="BA57" s="13"/>
      <c r="BB57" s="13">
        <f>748.64/$BB$60</f>
        <v>2.886009717091095E-3</v>
      </c>
      <c r="BC57" s="13"/>
      <c r="BD57" s="13">
        <f>774.258/$BD$60</f>
        <v>3.0587693525310155E-3</v>
      </c>
      <c r="BE57" s="13"/>
      <c r="BF57" s="13">
        <f>627.505/$BF$60</f>
        <v>2.5904449324735011E-3</v>
      </c>
      <c r="BG57" s="13"/>
      <c r="BH57" s="13">
        <f>525.956/$BH$60</f>
        <v>2.36069887810833E-3</v>
      </c>
      <c r="BI57" s="13"/>
      <c r="BJ57" s="13">
        <f>566.247/$BJ$60</f>
        <v>2.5990637060350611E-3</v>
      </c>
      <c r="BK57" s="13"/>
      <c r="BL57" s="13">
        <f>494.135/$BL$60</f>
        <v>2.1796590241968243E-3</v>
      </c>
      <c r="BM57" s="13"/>
      <c r="BN57" s="13">
        <f>453.785/$BN$60</f>
        <v>2.2471040912432462E-3</v>
      </c>
      <c r="BP57" s="13">
        <f>812.839/$BP$60</f>
        <v>4.2377813909804116E-3</v>
      </c>
      <c r="BQ57" s="13"/>
      <c r="BR57" s="13">
        <f>359.702/$BR$60</f>
        <v>2.164590528786607E-3</v>
      </c>
      <c r="BS57" s="13"/>
      <c r="BT57" s="13">
        <f>298.149/$BT$60</f>
        <v>1.6941219323221277E-3</v>
      </c>
    </row>
    <row r="58" spans="1:72" ht="15" customHeight="1" x14ac:dyDescent="0.25">
      <c r="A58" s="74">
        <v>58</v>
      </c>
      <c r="B58" s="250" t="s">
        <v>113</v>
      </c>
      <c r="C58" s="365"/>
      <c r="D58" s="291"/>
      <c r="E58" s="286"/>
      <c r="F58" s="307">
        <f>234/$F$60</f>
        <v>2.5862669226407774E-4</v>
      </c>
      <c r="G58" s="307">
        <f>195/$G$60</f>
        <v>2.1705293261853507E-4</v>
      </c>
      <c r="H58" s="307">
        <f>191/$H$60</f>
        <v>2.1619370050041483E-4</v>
      </c>
      <c r="I58" s="307">
        <f>241/I$60</f>
        <v>2.8285953383340396E-4</v>
      </c>
      <c r="J58" s="307">
        <f>610/J$60</f>
        <v>8.0985850046069003E-4</v>
      </c>
      <c r="K58" s="307">
        <f>499/$K$60</f>
        <v>6.9169138643231402E-4</v>
      </c>
      <c r="L58" s="307">
        <f>267/$L$60</f>
        <v>3.7547250472504725E-4</v>
      </c>
      <c r="M58" s="307"/>
      <c r="N58" s="307"/>
      <c r="O58" s="307"/>
      <c r="P58" s="307">
        <f>306/$P$60</f>
        <v>4.7335667115788304E-4</v>
      </c>
      <c r="Q58" s="307"/>
      <c r="R58" s="307"/>
      <c r="S58" s="307"/>
      <c r="T58" s="307"/>
      <c r="U58" s="355"/>
      <c r="V58" s="355"/>
      <c r="W58" s="355"/>
      <c r="X58" s="129">
        <f>2144/$X$60</f>
        <v>4.2934268915909707E-3</v>
      </c>
      <c r="Y58" s="129">
        <f>1837.612/$Y$60</f>
        <v>3.7766774373956657E-3</v>
      </c>
      <c r="Z58" s="129">
        <f>1999.956/$Z$60</f>
        <v>4.1104114680635337E-3</v>
      </c>
      <c r="AA58" s="129"/>
      <c r="AB58" s="129">
        <f>2479.993/$AB$60</f>
        <v>5.2662528216922385E-3</v>
      </c>
      <c r="AC58" s="129"/>
      <c r="AD58" s="129">
        <f>1571.334/$AD$60</f>
        <v>3.7125467472362999E-3</v>
      </c>
      <c r="AE58" s="129"/>
      <c r="AF58" s="129">
        <f>2816.966/$AF$60</f>
        <v>6.8648998789179834E-3</v>
      </c>
      <c r="AG58" s="13"/>
      <c r="AH58" s="13">
        <f>1534.912/$AH$60</f>
        <v>3.9031205203323232E-3</v>
      </c>
      <c r="AI58" s="13"/>
      <c r="AJ58" s="13">
        <f>1087.946/$AJ$60</f>
        <v>2.6744736131928183E-3</v>
      </c>
      <c r="AK58" s="13"/>
      <c r="AL58" s="13">
        <f>1512.551/$AL$60</f>
        <v>4.2646856215292411E-3</v>
      </c>
      <c r="AM58" s="13"/>
      <c r="AN58" s="13">
        <f>1472.386/$AN$60</f>
        <v>4.1713942823613376E-3</v>
      </c>
      <c r="AO58" s="88"/>
      <c r="AP58" s="13">
        <f>1096.244/$AP$60</f>
        <v>3.4756602075288511E-3</v>
      </c>
      <c r="AQ58" s="88"/>
      <c r="AR58" s="13">
        <f>793.404/$AR$60</f>
        <v>2.2672257048215946E-3</v>
      </c>
      <c r="AS58" s="13"/>
      <c r="AT58" s="129">
        <f>843.554/$AT$60</f>
        <v>2.5421001337942047E-3</v>
      </c>
      <c r="AU58" s="13"/>
      <c r="AV58" s="13">
        <f>911.422/$AV$60</f>
        <v>2.7993456065632232E-3</v>
      </c>
      <c r="AW58" s="13"/>
      <c r="AX58" s="13">
        <f>865.979/$AX$60</f>
        <v>2.9010423878969168E-3</v>
      </c>
      <c r="AY58" s="13"/>
      <c r="AZ58" s="13">
        <f>982.717/$AZ$60</f>
        <v>3.1856570462514681E-3</v>
      </c>
      <c r="BA58" s="13"/>
      <c r="BB58" s="13">
        <f>1035.429/$BB$60</f>
        <v>3.9915822763383138E-3</v>
      </c>
      <c r="BC58" s="13"/>
      <c r="BD58" s="13">
        <f>695.118/$BD$60</f>
        <v>2.7461203304230044E-3</v>
      </c>
      <c r="BE58" s="13"/>
      <c r="BF58" s="13">
        <f>1003.453/$BF$60</f>
        <v>4.1424207597155907E-3</v>
      </c>
      <c r="BG58" s="41"/>
      <c r="BH58" s="41">
        <f>1019.745/$BH$60</f>
        <v>4.5770195177098063E-3</v>
      </c>
      <c r="BI58" s="41"/>
      <c r="BJ58" s="41">
        <f>1192.749/$BJ$60</f>
        <v>5.4746967954083878E-3</v>
      </c>
      <c r="BK58" s="41"/>
      <c r="BL58" s="41">
        <f>3590.688/$BL$60</f>
        <v>1.5838739417922725E-2</v>
      </c>
      <c r="BM58" s="41"/>
      <c r="BN58" s="41">
        <f>230.039/$BN$60</f>
        <v>1.1391332416133301E-3</v>
      </c>
      <c r="BO58" s="39"/>
      <c r="BP58" s="41">
        <f>202.596/$BP$60</f>
        <v>1.0562455279422708E-3</v>
      </c>
      <c r="BQ58" s="41"/>
      <c r="BR58" s="41">
        <f>130.707/$BR$60</f>
        <v>7.8655980296498502E-4</v>
      </c>
      <c r="BS58" s="41"/>
      <c r="BT58" s="41">
        <f>124.644/$BT$60</f>
        <v>7.0824364372296838E-4</v>
      </c>
    </row>
    <row r="59" spans="1:72" ht="15" customHeight="1" x14ac:dyDescent="0.25">
      <c r="A59" s="74">
        <v>59</v>
      </c>
      <c r="B59" s="377" t="s">
        <v>60</v>
      </c>
      <c r="C59" s="365"/>
      <c r="D59" s="291"/>
      <c r="E59" s="286"/>
      <c r="F59" s="307">
        <f>12391/$F$60</f>
        <v>1.3695057024975159E-2</v>
      </c>
      <c r="G59" s="307">
        <f>12548/$G$60</f>
        <v>1.3967077941012197E-2</v>
      </c>
      <c r="H59" s="307">
        <f>11223/$H$60</f>
        <v>1.2703360736733799E-2</v>
      </c>
      <c r="I59" s="307">
        <f>15578/I$60</f>
        <v>1.8283758581148411E-2</v>
      </c>
      <c r="J59" s="307">
        <f>11994/J$60</f>
        <v>1.5923676810697566E-2</v>
      </c>
      <c r="K59" s="307">
        <f>14313/$K$60</f>
        <v>1.9840037703418259E-2</v>
      </c>
      <c r="L59" s="307">
        <f>28407/$L$60</f>
        <v>3.9947743227432275E-2</v>
      </c>
      <c r="M59" s="307"/>
      <c r="N59" s="307"/>
      <c r="O59" s="307"/>
      <c r="P59" s="307">
        <f>11903/$P$60</f>
        <v>1.8412955741151246E-2</v>
      </c>
      <c r="Q59" s="307"/>
      <c r="R59" s="307"/>
      <c r="S59" s="307"/>
      <c r="T59" s="307"/>
      <c r="U59" s="355"/>
      <c r="V59" s="355"/>
      <c r="W59" s="355"/>
      <c r="X59" s="129">
        <f>12353/$X$60</f>
        <v>2.4737267906633987E-2</v>
      </c>
      <c r="Y59" s="129">
        <f>10274.578/$Y$60</f>
        <v>2.1116409182875318E-2</v>
      </c>
      <c r="Z59" s="129">
        <f>11566.934/$Z$60</f>
        <v>2.3772952086912911E-2</v>
      </c>
      <c r="AA59" s="129"/>
      <c r="AB59" s="129">
        <f>11829.292/$AB$60</f>
        <v>2.5119442826500485E-2</v>
      </c>
      <c r="AC59" s="129"/>
      <c r="AD59" s="129">
        <f>9740.668/$AD$60</f>
        <v>2.3014002942282619E-2</v>
      </c>
      <c r="AE59" s="129"/>
      <c r="AF59" s="129">
        <f>8984.644/$AF$60</f>
        <v>2.1895429873034035E-2</v>
      </c>
      <c r="AG59" s="13"/>
      <c r="AH59" s="13">
        <f>7813.698/$AH$60</f>
        <v>1.9869415968784943E-2</v>
      </c>
      <c r="AI59" s="13"/>
      <c r="AJ59" s="13">
        <f>9929.361/$AJ$60</f>
        <v>2.4409128753050114E-2</v>
      </c>
      <c r="AK59" s="13"/>
      <c r="AL59" s="13">
        <f>15393.352/AL$60</f>
        <v>4.3402045247755872E-2</v>
      </c>
      <c r="AM59" s="13" t="s">
        <v>380</v>
      </c>
      <c r="AN59" s="13">
        <f>8726.456/AN60</f>
        <v>2.4722789175989034E-2</v>
      </c>
      <c r="AO59" s="88" t="s">
        <v>380</v>
      </c>
      <c r="AP59" s="13">
        <f>8647.834/AP$60</f>
        <v>2.7418104468635688E-2</v>
      </c>
      <c r="AQ59" s="88" t="s">
        <v>380</v>
      </c>
      <c r="AR59" s="13">
        <f>9078.538/AR$60</f>
        <v>2.5942766504579801E-2</v>
      </c>
      <c r="AS59" s="13" t="s">
        <v>380</v>
      </c>
      <c r="AT59" s="13">
        <f>7646.876/AT$60</f>
        <v>2.3044315482716807E-2</v>
      </c>
      <c r="AU59" s="13" t="s">
        <v>380</v>
      </c>
      <c r="AV59" s="13">
        <f>9066.873/AV$60</f>
        <v>2.7848034278102472E-2</v>
      </c>
      <c r="AW59" s="13" t="s">
        <v>380</v>
      </c>
      <c r="AX59" s="13">
        <f>12373.825/AX$60</f>
        <v>4.1452495759618381E-2</v>
      </c>
      <c r="AY59" s="13" t="s">
        <v>380</v>
      </c>
      <c r="AZ59" s="13">
        <f>14363.121/AZ$60</f>
        <v>4.6560685955175728E-2</v>
      </c>
      <c r="BA59" s="13" t="s">
        <v>380</v>
      </c>
      <c r="BB59" s="13">
        <f>9905.743/BB$60</f>
        <v>3.8186672570270218E-2</v>
      </c>
      <c r="BC59" s="13" t="s">
        <v>380</v>
      </c>
      <c r="BD59" s="13">
        <f>10101.964/BD$60</f>
        <v>3.9908632372634999E-2</v>
      </c>
      <c r="BE59" s="13" t="s">
        <v>380</v>
      </c>
      <c r="BF59" s="13">
        <f>15559.048/BF$60</f>
        <v>6.4230336086106024E-2</v>
      </c>
      <c r="BG59" s="13" t="s">
        <v>380</v>
      </c>
      <c r="BH59" s="13">
        <f>9844.873/BH$60</f>
        <v>4.418768993265404E-2</v>
      </c>
      <c r="BI59" s="13" t="s">
        <v>380</v>
      </c>
      <c r="BJ59" s="13">
        <f>10238.734/BJ$60</f>
        <v>4.6995607809219631E-2</v>
      </c>
      <c r="BK59" s="13" t="s">
        <v>380</v>
      </c>
      <c r="BL59" s="13">
        <f>10305.451/BL$60</f>
        <v>4.5457960416825732E-2</v>
      </c>
      <c r="BM59" s="13" t="s">
        <v>380</v>
      </c>
      <c r="BN59" s="13">
        <f>16227.079/BN$60</f>
        <v>8.0355092411224169E-2</v>
      </c>
      <c r="BO59" s="1" t="s">
        <v>380</v>
      </c>
      <c r="BP59" s="13">
        <f>5264.223/BP$60</f>
        <v>2.744531975873583E-2</v>
      </c>
      <c r="BQ59" s="13" t="s">
        <v>380</v>
      </c>
      <c r="BR59" s="13">
        <f>7663.994/BR$60</f>
        <v>4.6119868182766241E-2</v>
      </c>
      <c r="BS59" s="13" t="s">
        <v>380</v>
      </c>
      <c r="BT59" s="13">
        <f>10937.16/BT$60</f>
        <v>6.2146385308407145E-2</v>
      </c>
    </row>
    <row r="60" spans="1:72" s="20" customFormat="1" ht="26.1" customHeight="1" x14ac:dyDescent="0.25">
      <c r="A60" s="74">
        <v>60</v>
      </c>
      <c r="B60" s="21" t="s">
        <v>115</v>
      </c>
      <c r="C60" s="93"/>
      <c r="D60" s="88"/>
      <c r="E60" s="96"/>
      <c r="F60" s="308">
        <f t="shared" ref="F60" si="91">F20</f>
        <v>904779</v>
      </c>
      <c r="G60" s="308">
        <f t="shared" ref="G60:AH60" si="92">G20</f>
        <v>898398.36599999992</v>
      </c>
      <c r="H60" s="20">
        <f t="shared" si="92"/>
        <v>883467</v>
      </c>
      <c r="I60" s="20">
        <f t="shared" si="92"/>
        <v>852013</v>
      </c>
      <c r="J60" s="20">
        <f t="shared" si="92"/>
        <v>753218</v>
      </c>
      <c r="K60" s="20">
        <f t="shared" si="92"/>
        <v>721420</v>
      </c>
      <c r="L60" s="20">
        <f t="shared" si="92"/>
        <v>711104</v>
      </c>
      <c r="P60" s="20">
        <f t="shared" si="92"/>
        <v>646447</v>
      </c>
      <c r="U60" s="356"/>
      <c r="V60" s="356"/>
      <c r="W60" s="356"/>
      <c r="X60" s="20">
        <f t="shared" si="92"/>
        <v>499368</v>
      </c>
      <c r="Y60" s="20">
        <f t="shared" si="92"/>
        <v>486568.42700000003</v>
      </c>
      <c r="Z60" s="20">
        <f t="shared" si="92"/>
        <v>486558.58799999999</v>
      </c>
      <c r="AA60" s="20">
        <f t="shared" si="92"/>
        <v>477669.11799999996</v>
      </c>
      <c r="AB60" s="20">
        <f t="shared" si="92"/>
        <v>470921.75100000005</v>
      </c>
      <c r="AC60" s="20">
        <f t="shared" si="92"/>
        <v>466372.70999999996</v>
      </c>
      <c r="AD60" s="20">
        <f t="shared" si="92"/>
        <v>423249.62</v>
      </c>
      <c r="AE60" s="20">
        <f t="shared" si="92"/>
        <v>425884.47100000002</v>
      </c>
      <c r="AF60" s="20">
        <f t="shared" si="92"/>
        <v>410343.348</v>
      </c>
      <c r="AG60" s="20">
        <f t="shared" si="92"/>
        <v>409591.81800000003</v>
      </c>
      <c r="AH60" s="20">
        <f t="shared" si="92"/>
        <v>393252.52500000002</v>
      </c>
      <c r="AJ60" s="20">
        <f>AJ20</f>
        <v>406788.83299999998</v>
      </c>
      <c r="AL60" s="20">
        <f>AL20</f>
        <v>354668.81599999999</v>
      </c>
      <c r="AN60" s="20">
        <f>AN20</f>
        <v>352972.14800000004</v>
      </c>
      <c r="AO60" s="125"/>
      <c r="AP60" s="20">
        <f>AP20</f>
        <v>315405.97600000002</v>
      </c>
      <c r="AQ60" s="125"/>
      <c r="AR60" s="20">
        <f>AR20</f>
        <v>349944.86800000002</v>
      </c>
      <c r="AT60" s="155">
        <f>AT20</f>
        <v>331833.50599999999</v>
      </c>
      <c r="AV60" s="20">
        <f>AV20</f>
        <v>325583.94999999995</v>
      </c>
      <c r="AX60" s="20">
        <f>AX20</f>
        <v>298506.152</v>
      </c>
      <c r="AZ60" s="20">
        <f>AZ20</f>
        <v>308481.73100000003</v>
      </c>
      <c r="BB60" s="155">
        <f>BB20</f>
        <v>259403.14600000001</v>
      </c>
      <c r="BC60" s="155"/>
      <c r="BD60" s="155">
        <f>BD20</f>
        <v>253127.29100000003</v>
      </c>
      <c r="BF60" s="20">
        <f>BF20</f>
        <v>242238.30899999998</v>
      </c>
      <c r="BH60" s="20">
        <f>BH20</f>
        <v>222796.734</v>
      </c>
      <c r="BJ60" s="20">
        <f>BJ20</f>
        <v>217865.764</v>
      </c>
      <c r="BL60" s="20">
        <f>BL20</f>
        <v>226702.89</v>
      </c>
      <c r="BN60" s="20">
        <f>BN20</f>
        <v>201942.136</v>
      </c>
      <c r="BP60" s="20">
        <f>BP20</f>
        <v>191807.67599999998</v>
      </c>
      <c r="BR60" s="20">
        <f>BR20</f>
        <v>166175.54</v>
      </c>
      <c r="BT60" s="20">
        <f>BT20</f>
        <v>175990.28399999999</v>
      </c>
    </row>
  </sheetData>
  <sortState ref="B47:BT58">
    <sortCondition descending="1" ref="F47:F58"/>
  </sortState>
  <customSheetViews>
    <customSheetView guid="{E4AC4991-F371-4BAF-8335-AD017EF379C0}" showGridLines="0" fitToPage="1">
      <pane ySplit="5" topLeftCell="A18" activePane="bottomLeft" state="frozen"/>
      <selection pane="bottomLeft" activeCell="G39" sqref="G39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>
      <pane ySplit="5" topLeftCell="A24" activePane="bottomLeft" state="frozen"/>
      <selection pane="bottomLeft" activeCell="C36" sqref="C36:E36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213">
    <mergeCell ref="F44:F45"/>
    <mergeCell ref="B7:B8"/>
    <mergeCell ref="B44:B45"/>
    <mergeCell ref="B27:B28"/>
    <mergeCell ref="S44:S45"/>
    <mergeCell ref="K7:K8"/>
    <mergeCell ref="K27:K28"/>
    <mergeCell ref="K44:K45"/>
    <mergeCell ref="S7:S8"/>
    <mergeCell ref="M7:M8"/>
    <mergeCell ref="M27:M28"/>
    <mergeCell ref="M44:M45"/>
    <mergeCell ref="N27:N28"/>
    <mergeCell ref="N44:N45"/>
    <mergeCell ref="P7:P8"/>
    <mergeCell ref="P27:P28"/>
    <mergeCell ref="P44:P45"/>
    <mergeCell ref="Q7:Q8"/>
    <mergeCell ref="Q27:Q28"/>
    <mergeCell ref="I44:I45"/>
    <mergeCell ref="Q44:Q45"/>
    <mergeCell ref="R44:R45"/>
    <mergeCell ref="C44:C45"/>
    <mergeCell ref="G44:G45"/>
    <mergeCell ref="BA7:BA8"/>
    <mergeCell ref="BA27:BA28"/>
    <mergeCell ref="AL7:AL8"/>
    <mergeCell ref="AL27:AL28"/>
    <mergeCell ref="AK7:AK8"/>
    <mergeCell ref="AK27:AK28"/>
    <mergeCell ref="C7:C8"/>
    <mergeCell ref="AW7:AW8"/>
    <mergeCell ref="AW27:AW28"/>
    <mergeCell ref="AV27:AV28"/>
    <mergeCell ref="AX7:AX8"/>
    <mergeCell ref="AB7:AB8"/>
    <mergeCell ref="AO7:AO8"/>
    <mergeCell ref="T27:T28"/>
    <mergeCell ref="Z7:Z8"/>
    <mergeCell ref="Y7:Y8"/>
    <mergeCell ref="AB27:AB28"/>
    <mergeCell ref="Y27:Y28"/>
    <mergeCell ref="T7:T8"/>
    <mergeCell ref="I7:I8"/>
    <mergeCell ref="I27:I28"/>
    <mergeCell ref="G7:G8"/>
    <mergeCell ref="F27:F28"/>
    <mergeCell ref="H7:H8"/>
    <mergeCell ref="AV44:AV45"/>
    <mergeCell ref="E44:E45"/>
    <mergeCell ref="AI44:AI45"/>
    <mergeCell ref="N7:N8"/>
    <mergeCell ref="D7:D8"/>
    <mergeCell ref="AE27:AE28"/>
    <mergeCell ref="AC44:AC45"/>
    <mergeCell ref="AJ44:AJ45"/>
    <mergeCell ref="AA44:AA45"/>
    <mergeCell ref="Z44:Z45"/>
    <mergeCell ref="Y44:Y45"/>
    <mergeCell ref="AB44:AB45"/>
    <mergeCell ref="AE44:AE45"/>
    <mergeCell ref="W44:W45"/>
    <mergeCell ref="H27:H28"/>
    <mergeCell ref="H44:H45"/>
    <mergeCell ref="R27:R28"/>
    <mergeCell ref="AI27:AI28"/>
    <mergeCell ref="AH27:AH28"/>
    <mergeCell ref="AC27:AC28"/>
    <mergeCell ref="J7:J8"/>
    <mergeCell ref="O44:O45"/>
    <mergeCell ref="J44:J45"/>
    <mergeCell ref="F7:F8"/>
    <mergeCell ref="AQ44:AQ45"/>
    <mergeCell ref="AK44:AK45"/>
    <mergeCell ref="L7:L8"/>
    <mergeCell ref="L27:L28"/>
    <mergeCell ref="L44:L45"/>
    <mergeCell ref="AG44:AG45"/>
    <mergeCell ref="AA7:AA8"/>
    <mergeCell ref="AA27:AA28"/>
    <mergeCell ref="T44:T45"/>
    <mergeCell ref="X44:X45"/>
    <mergeCell ref="U7:U8"/>
    <mergeCell ref="U27:U28"/>
    <mergeCell ref="AJ27:AJ28"/>
    <mergeCell ref="U44:U45"/>
    <mergeCell ref="W27:W28"/>
    <mergeCell ref="AF7:AF8"/>
    <mergeCell ref="R7:R8"/>
    <mergeCell ref="O27:O28"/>
    <mergeCell ref="S27:S28"/>
    <mergeCell ref="Z27:Z28"/>
    <mergeCell ref="O7:O8"/>
    <mergeCell ref="G27:G28"/>
    <mergeCell ref="J27:J28"/>
    <mergeCell ref="BJ44:BJ45"/>
    <mergeCell ref="BK44:BK45"/>
    <mergeCell ref="BA44:BA45"/>
    <mergeCell ref="BI7:BI8"/>
    <mergeCell ref="BJ7:BJ8"/>
    <mergeCell ref="AT44:AT45"/>
    <mergeCell ref="AY7:AY8"/>
    <mergeCell ref="AU7:AU8"/>
    <mergeCell ref="X7:X8"/>
    <mergeCell ref="X27:X28"/>
    <mergeCell ref="AV7:AV8"/>
    <mergeCell ref="AP44:AP45"/>
    <mergeCell ref="BI44:BI45"/>
    <mergeCell ref="AS44:AS45"/>
    <mergeCell ref="BB44:BB45"/>
    <mergeCell ref="BH44:BH45"/>
    <mergeCell ref="BG44:BG45"/>
    <mergeCell ref="BD44:BD45"/>
    <mergeCell ref="AZ44:AZ45"/>
    <mergeCell ref="AY44:AY45"/>
    <mergeCell ref="BC44:BC45"/>
    <mergeCell ref="AY27:AY28"/>
    <mergeCell ref="AU44:AU45"/>
    <mergeCell ref="AX44:AX45"/>
    <mergeCell ref="C5:E5"/>
    <mergeCell ref="AS7:AS8"/>
    <mergeCell ref="AS27:AS28"/>
    <mergeCell ref="AU27:AU28"/>
    <mergeCell ref="D27:D28"/>
    <mergeCell ref="AT27:AT28"/>
    <mergeCell ref="AR7:AR8"/>
    <mergeCell ref="AR27:AR28"/>
    <mergeCell ref="AQ7:AQ8"/>
    <mergeCell ref="AQ27:AQ28"/>
    <mergeCell ref="AP7:AP8"/>
    <mergeCell ref="AP27:AP28"/>
    <mergeCell ref="C27:C28"/>
    <mergeCell ref="AT7:AT8"/>
    <mergeCell ref="AJ7:AJ8"/>
    <mergeCell ref="E7:E8"/>
    <mergeCell ref="E27:E28"/>
    <mergeCell ref="AH7:AH8"/>
    <mergeCell ref="V7:V8"/>
    <mergeCell ref="V27:V28"/>
    <mergeCell ref="W7:W8"/>
    <mergeCell ref="AD7:AD8"/>
    <mergeCell ref="BT44:BT45"/>
    <mergeCell ref="BT27:BT28"/>
    <mergeCell ref="BN27:BN28"/>
    <mergeCell ref="BO27:BO28"/>
    <mergeCell ref="BM27:BM28"/>
    <mergeCell ref="BF27:BF28"/>
    <mergeCell ref="BG27:BG28"/>
    <mergeCell ref="BF44:BF45"/>
    <mergeCell ref="BT7:BT8"/>
    <mergeCell ref="BS44:BS45"/>
    <mergeCell ref="BM44:BM45"/>
    <mergeCell ref="BN44:BN45"/>
    <mergeCell ref="BO44:BO45"/>
    <mergeCell ref="BP44:BP45"/>
    <mergeCell ref="BQ44:BQ45"/>
    <mergeCell ref="BL44:BL45"/>
    <mergeCell ref="BR44:BR45"/>
    <mergeCell ref="BS7:BS8"/>
    <mergeCell ref="BR7:BR8"/>
    <mergeCell ref="BQ27:BQ28"/>
    <mergeCell ref="BQ7:BQ8"/>
    <mergeCell ref="BR27:BR28"/>
    <mergeCell ref="BS27:BS28"/>
    <mergeCell ref="BN7:BN8"/>
    <mergeCell ref="BP27:BP28"/>
    <mergeCell ref="BP7:BP8"/>
    <mergeCell ref="BG7:BG8"/>
    <mergeCell ref="BO7:BO8"/>
    <mergeCell ref="BM7:BM8"/>
    <mergeCell ref="BL7:BL8"/>
    <mergeCell ref="BL27:BL28"/>
    <mergeCell ref="AZ7:AZ8"/>
    <mergeCell ref="BF7:BF8"/>
    <mergeCell ref="AZ27:AZ28"/>
    <mergeCell ref="BE27:BE28"/>
    <mergeCell ref="BC27:BC28"/>
    <mergeCell ref="BD27:BD28"/>
    <mergeCell ref="BK7:BK8"/>
    <mergeCell ref="BH7:BH8"/>
    <mergeCell ref="BJ27:BJ28"/>
    <mergeCell ref="BK27:BK28"/>
    <mergeCell ref="BD7:BD8"/>
    <mergeCell ref="BE7:BE8"/>
    <mergeCell ref="BC7:BC8"/>
    <mergeCell ref="BH27:BH28"/>
    <mergeCell ref="BI27:BI28"/>
    <mergeCell ref="BB7:BB8"/>
    <mergeCell ref="BB27:BB28"/>
    <mergeCell ref="BE44:BE45"/>
    <mergeCell ref="AW44:AW45"/>
    <mergeCell ref="AX27:AX28"/>
    <mergeCell ref="AR44:AR45"/>
    <mergeCell ref="AM44:AM45"/>
    <mergeCell ref="V44:V45"/>
    <mergeCell ref="AO27:AO28"/>
    <mergeCell ref="AN7:AN8"/>
    <mergeCell ref="AH44:AH45"/>
    <mergeCell ref="AO44:AO45"/>
    <mergeCell ref="AD44:AD45"/>
    <mergeCell ref="AE7:AE8"/>
    <mergeCell ref="AD27:AD28"/>
    <mergeCell ref="AM27:AM28"/>
    <mergeCell ref="AN27:AN28"/>
    <mergeCell ref="AL44:AL45"/>
    <mergeCell ref="AN44:AN45"/>
    <mergeCell ref="AF27:AF28"/>
    <mergeCell ref="AF44:AF45"/>
    <mergeCell ref="AG7:AG8"/>
    <mergeCell ref="AG27:AG28"/>
    <mergeCell ref="AM7:AM8"/>
    <mergeCell ref="AC7:AC8"/>
    <mergeCell ref="AI7:AI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J5" location="Capital!A1" display="Capital"/>
    <hyperlink ref="G5" location="'Assets and Liabili-s structure'!A1" display="Assets and Liabilities structure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T42"/>
  <sheetViews>
    <sheetView showGridLines="0" zoomScale="70" zoomScaleNormal="70" workbookViewId="0">
      <pane ySplit="5" topLeftCell="A6" activePane="bottomLeft" state="frozen"/>
      <selection activeCell="C12" sqref="C12:E12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3" width="8.7109375" style="1" customWidth="1"/>
    <col min="4" max="4" width="7.85546875" style="1" customWidth="1"/>
    <col min="5" max="5" width="8.7109375" style="1" customWidth="1"/>
    <col min="6" max="22" width="16.7109375" style="1" customWidth="1"/>
    <col min="23" max="23" width="15.7109375" style="1" customWidth="1"/>
    <col min="24" max="37" width="16.7109375" style="1" customWidth="1"/>
    <col min="38" max="42" width="16.5703125" style="1" customWidth="1"/>
    <col min="43" max="16384" width="9.140625" style="1"/>
  </cols>
  <sheetData>
    <row r="1" spans="1:71" x14ac:dyDescent="0.25">
      <c r="A1" s="74">
        <v>1</v>
      </c>
    </row>
    <row r="2" spans="1:71" x14ac:dyDescent="0.25">
      <c r="A2" s="74">
        <v>2</v>
      </c>
    </row>
    <row r="3" spans="1:71" x14ac:dyDescent="0.25">
      <c r="A3" s="74">
        <v>3</v>
      </c>
    </row>
    <row r="4" spans="1:71" x14ac:dyDescent="0.25">
      <c r="A4" s="74">
        <v>4</v>
      </c>
      <c r="C4" s="6"/>
      <c r="D4" s="6"/>
    </row>
    <row r="5" spans="1:71" ht="51" customHeight="1" thickBot="1" x14ac:dyDescent="0.3">
      <c r="A5" s="74">
        <v>5</v>
      </c>
      <c r="B5" s="123" t="s">
        <v>2</v>
      </c>
      <c r="C5" s="490" t="s">
        <v>3</v>
      </c>
      <c r="D5" s="490"/>
      <c r="E5" s="490"/>
      <c r="F5" s="7" t="s">
        <v>0</v>
      </c>
      <c r="G5" s="47" t="s">
        <v>157</v>
      </c>
      <c r="H5" s="47" t="s">
        <v>177</v>
      </c>
      <c r="I5" s="121" t="s">
        <v>1</v>
      </c>
      <c r="J5" s="120" t="s">
        <v>2</v>
      </c>
      <c r="K5" s="60" t="s">
        <v>194</v>
      </c>
    </row>
    <row r="6" spans="1:71" ht="15.75" thickTop="1" x14ac:dyDescent="0.25">
      <c r="A6" s="74">
        <v>6</v>
      </c>
      <c r="B6" s="168"/>
    </row>
    <row r="7" spans="1:71" ht="15.75" customHeight="1" x14ac:dyDescent="0.25">
      <c r="A7" s="74">
        <v>7</v>
      </c>
      <c r="B7" s="453" t="s">
        <v>145</v>
      </c>
      <c r="C7" s="470"/>
      <c r="D7" s="472"/>
      <c r="E7" s="468"/>
      <c r="F7" s="446">
        <v>46203</v>
      </c>
      <c r="G7" s="479">
        <v>46112</v>
      </c>
      <c r="H7" s="446">
        <v>46022</v>
      </c>
      <c r="I7" s="446">
        <v>45930</v>
      </c>
      <c r="J7" s="446">
        <v>45838</v>
      </c>
      <c r="K7" s="446">
        <v>45747</v>
      </c>
      <c r="L7" s="446">
        <v>45657</v>
      </c>
      <c r="M7" s="446">
        <v>45565</v>
      </c>
      <c r="N7" s="446">
        <v>45473</v>
      </c>
      <c r="O7" s="446">
        <v>45291</v>
      </c>
      <c r="P7" s="446">
        <v>45199</v>
      </c>
      <c r="Q7" s="446">
        <v>45107</v>
      </c>
      <c r="R7" s="446">
        <v>45016</v>
      </c>
      <c r="S7" s="446">
        <v>44926</v>
      </c>
      <c r="T7" s="446">
        <v>44834</v>
      </c>
      <c r="U7" s="446">
        <v>44742</v>
      </c>
      <c r="V7" s="446">
        <v>44651</v>
      </c>
      <c r="W7" s="446">
        <v>44561</v>
      </c>
      <c r="X7" s="446">
        <v>44469</v>
      </c>
      <c r="Y7" s="446">
        <v>44377</v>
      </c>
      <c r="Z7" s="446">
        <v>44286</v>
      </c>
      <c r="AA7" s="446">
        <v>44196</v>
      </c>
      <c r="AB7" s="446">
        <v>44104</v>
      </c>
      <c r="AC7" s="446">
        <v>44012</v>
      </c>
      <c r="AD7" s="446">
        <v>43921</v>
      </c>
      <c r="AE7" s="446">
        <v>43830</v>
      </c>
      <c r="AF7" s="446">
        <v>43738</v>
      </c>
      <c r="AG7" s="446">
        <v>43646</v>
      </c>
      <c r="AH7" s="446">
        <v>43555</v>
      </c>
      <c r="AI7" s="446">
        <v>43465</v>
      </c>
      <c r="AJ7" s="446">
        <v>43373</v>
      </c>
      <c r="AK7" s="446">
        <v>43281</v>
      </c>
      <c r="AL7" s="446">
        <v>43190</v>
      </c>
      <c r="AM7" s="446">
        <v>43100</v>
      </c>
      <c r="AN7" s="446">
        <v>43008</v>
      </c>
      <c r="AO7" s="446">
        <v>42916</v>
      </c>
      <c r="AP7" s="446">
        <v>42825</v>
      </c>
      <c r="AQ7" s="446">
        <v>42735</v>
      </c>
      <c r="AR7" s="446">
        <v>42643</v>
      </c>
      <c r="AS7" s="446">
        <v>42551</v>
      </c>
      <c r="AT7" s="446">
        <v>42460</v>
      </c>
      <c r="AU7" s="446">
        <v>42369</v>
      </c>
      <c r="AV7" s="446">
        <v>42277</v>
      </c>
      <c r="AW7" s="446">
        <v>42185</v>
      </c>
      <c r="AX7" s="446">
        <v>42094</v>
      </c>
      <c r="AY7" s="446">
        <v>42004</v>
      </c>
      <c r="AZ7" s="451">
        <v>41912</v>
      </c>
      <c r="BA7" s="451">
        <v>41820</v>
      </c>
      <c r="BB7" s="451">
        <v>41729</v>
      </c>
      <c r="BC7" s="446">
        <v>41639</v>
      </c>
      <c r="BD7" s="446">
        <v>41547</v>
      </c>
      <c r="BE7" s="446">
        <v>41455</v>
      </c>
      <c r="BF7" s="446">
        <v>41364</v>
      </c>
      <c r="BG7" s="446">
        <v>41274</v>
      </c>
      <c r="BH7" s="446">
        <v>41182</v>
      </c>
      <c r="BI7" s="446">
        <v>41090</v>
      </c>
      <c r="BJ7" s="446">
        <v>40999</v>
      </c>
      <c r="BK7" s="446">
        <v>40908</v>
      </c>
      <c r="BL7" s="446">
        <v>40816</v>
      </c>
      <c r="BM7" s="446">
        <v>40724</v>
      </c>
      <c r="BN7" s="446">
        <v>40633</v>
      </c>
      <c r="BO7" s="446">
        <v>40543</v>
      </c>
      <c r="BP7" s="446">
        <v>40451</v>
      </c>
      <c r="BQ7" s="446">
        <v>40359</v>
      </c>
      <c r="BR7" s="446">
        <v>40268</v>
      </c>
      <c r="BS7" s="446">
        <v>40178</v>
      </c>
    </row>
    <row r="8" spans="1:71" x14ac:dyDescent="0.25">
      <c r="A8" s="74">
        <v>8</v>
      </c>
      <c r="B8" s="454"/>
      <c r="C8" s="471"/>
      <c r="D8" s="473"/>
      <c r="E8" s="478"/>
      <c r="F8" s="447"/>
      <c r="G8" s="493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8"/>
      <c r="AC8" s="448"/>
      <c r="AD8" s="448"/>
      <c r="AE8" s="447"/>
      <c r="AF8" s="447"/>
      <c r="AG8" s="447"/>
      <c r="AH8" s="447"/>
      <c r="AI8" s="447"/>
      <c r="AJ8" s="447"/>
      <c r="AK8" s="447"/>
      <c r="AL8" s="447"/>
      <c r="AM8" s="447"/>
      <c r="AN8" s="447"/>
      <c r="AO8" s="447"/>
      <c r="AP8" s="447"/>
      <c r="AQ8" s="447"/>
      <c r="AR8" s="447"/>
      <c r="AS8" s="447"/>
      <c r="AT8" s="447"/>
      <c r="AU8" s="447"/>
      <c r="AV8" s="447"/>
      <c r="AW8" s="447"/>
      <c r="AX8" s="447"/>
      <c r="AY8" s="447"/>
      <c r="AZ8" s="452"/>
      <c r="BA8" s="452"/>
      <c r="BB8" s="452"/>
      <c r="BC8" s="447"/>
      <c r="BD8" s="447"/>
      <c r="BE8" s="447"/>
      <c r="BF8" s="447"/>
      <c r="BG8" s="447"/>
      <c r="BH8" s="447"/>
      <c r="BI8" s="447"/>
      <c r="BJ8" s="447"/>
      <c r="BK8" s="447"/>
      <c r="BL8" s="447"/>
      <c r="BM8" s="447"/>
      <c r="BN8" s="447"/>
      <c r="BO8" s="447"/>
      <c r="BP8" s="447"/>
      <c r="BQ8" s="447"/>
      <c r="BR8" s="447"/>
      <c r="BS8" s="447"/>
    </row>
    <row r="9" spans="1:71" ht="9.75" customHeight="1" x14ac:dyDescent="0.25">
      <c r="A9" s="74">
        <v>9</v>
      </c>
      <c r="B9" s="57" t="s">
        <v>8</v>
      </c>
      <c r="C9" s="89"/>
      <c r="D9" s="57"/>
      <c r="E9" s="94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39"/>
      <c r="BI9" s="39"/>
    </row>
    <row r="10" spans="1:71" ht="15" customHeight="1" x14ac:dyDescent="0.25">
      <c r="A10" s="74">
        <v>10</v>
      </c>
      <c r="B10" s="58" t="s">
        <v>16</v>
      </c>
      <c r="C10" s="91"/>
      <c r="D10" s="124"/>
      <c r="E10" s="94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4"/>
      <c r="AH10" s="124"/>
      <c r="AI10" s="124"/>
      <c r="AJ10" s="124"/>
      <c r="AK10" s="124"/>
      <c r="AL10" s="124"/>
      <c r="AM10" s="124"/>
      <c r="AN10" s="124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24"/>
      <c r="BD10" s="124"/>
      <c r="BE10" s="124"/>
      <c r="BF10" s="124"/>
      <c r="BG10" s="58"/>
      <c r="BH10" s="45"/>
      <c r="BI10" s="45"/>
      <c r="BJ10" s="11"/>
      <c r="BK10" s="11"/>
      <c r="BL10" s="11"/>
      <c r="BM10" s="11"/>
      <c r="BN10" s="11"/>
      <c r="BO10" s="11"/>
      <c r="BP10" s="11"/>
      <c r="BQ10" s="11"/>
      <c r="BR10" s="11"/>
    </row>
    <row r="11" spans="1:71" ht="15" customHeight="1" x14ac:dyDescent="0.25">
      <c r="A11" s="74">
        <v>11</v>
      </c>
      <c r="B11" s="40" t="s">
        <v>116</v>
      </c>
      <c r="C11" s="93"/>
      <c r="D11" s="88"/>
      <c r="E11" s="94"/>
      <c r="F11" s="88"/>
      <c r="G11" s="88"/>
      <c r="H11" s="88"/>
      <c r="I11" s="88"/>
      <c r="J11" s="88"/>
      <c r="K11" s="88"/>
      <c r="L11" s="88"/>
      <c r="M11" s="263"/>
      <c r="N11" s="263"/>
      <c r="O11" s="263"/>
      <c r="P11" s="263"/>
      <c r="Q11" s="263"/>
      <c r="R11" s="263"/>
      <c r="S11" s="263"/>
      <c r="T11" s="88"/>
      <c r="U11" s="263"/>
      <c r="V11" s="263">
        <v>3609</v>
      </c>
      <c r="W11" s="263">
        <v>3609</v>
      </c>
      <c r="X11" s="263">
        <v>3608.5740000000001</v>
      </c>
      <c r="Y11" s="263">
        <v>3608.5740000000001</v>
      </c>
      <c r="Z11" s="263">
        <v>3695.154</v>
      </c>
      <c r="AA11" s="263">
        <v>3695</v>
      </c>
      <c r="AB11" s="263">
        <v>3695.154</v>
      </c>
      <c r="AC11" s="263">
        <v>3695.154</v>
      </c>
      <c r="AD11" s="263">
        <v>3781.7339999999999</v>
      </c>
      <c r="AE11" s="171">
        <v>3781.7339999999999</v>
      </c>
      <c r="AF11" s="171">
        <v>3781.7339999999999</v>
      </c>
      <c r="AG11" s="171">
        <v>3781.7339999999999</v>
      </c>
      <c r="AH11" s="171">
        <v>3781.7339999999999</v>
      </c>
      <c r="AI11" s="171">
        <v>3781.7339999999999</v>
      </c>
      <c r="AJ11" s="171">
        <v>3781.7339999999999</v>
      </c>
      <c r="AK11" s="171">
        <v>3781.7339999999999</v>
      </c>
      <c r="AL11" s="171">
        <v>3781.7339999999999</v>
      </c>
      <c r="AM11" s="171">
        <v>3781.7339999999999</v>
      </c>
      <c r="AN11" s="171">
        <v>3781.7339999999999</v>
      </c>
      <c r="AO11" s="171">
        <v>3721.7339999999999</v>
      </c>
      <c r="AP11" s="80">
        <v>3721.7339999999999</v>
      </c>
      <c r="AQ11" s="171">
        <v>3721.7339999999999</v>
      </c>
      <c r="AR11" s="80">
        <v>3721.7339999999999</v>
      </c>
      <c r="AS11" s="45">
        <v>3721.7339999999999</v>
      </c>
      <c r="AT11" s="45">
        <v>3141.5320000000029</v>
      </c>
      <c r="AU11" s="45">
        <v>3721.7339999999999</v>
      </c>
      <c r="AV11" s="45">
        <v>3721.223</v>
      </c>
      <c r="AW11" s="45">
        <v>3721.223</v>
      </c>
      <c r="AX11" s="45">
        <v>3710.2040000000002</v>
      </c>
      <c r="AY11" s="45">
        <v>3696.674</v>
      </c>
      <c r="AZ11" s="45">
        <v>3721.7339999999999</v>
      </c>
      <c r="BA11" s="45">
        <v>3721.7339999999999</v>
      </c>
      <c r="BB11" s="45">
        <v>3721.7339999999999</v>
      </c>
      <c r="BC11" s="45">
        <v>3721.7339999999999</v>
      </c>
      <c r="BD11" s="45">
        <v>3721.7339999999999</v>
      </c>
      <c r="BE11" s="45">
        <v>3648.11</v>
      </c>
      <c r="BF11" s="45">
        <v>3648.11</v>
      </c>
      <c r="BG11" s="45">
        <v>3648.11</v>
      </c>
      <c r="BH11" s="45">
        <v>3648.11</v>
      </c>
      <c r="BI11" s="45">
        <v>3648.11</v>
      </c>
      <c r="BJ11" s="11">
        <v>3648.11</v>
      </c>
      <c r="BK11" s="11">
        <v>3648.11</v>
      </c>
      <c r="BL11" s="11">
        <v>3648.11</v>
      </c>
      <c r="BM11" s="11">
        <v>3629.5410000000002</v>
      </c>
      <c r="BN11" s="11">
        <v>3629.5410000000002</v>
      </c>
      <c r="BO11" s="11">
        <v>3629.5410000000002</v>
      </c>
      <c r="BP11" s="11">
        <v>3629.5410000000002</v>
      </c>
      <c r="BQ11" s="11">
        <v>3629.5410000000002</v>
      </c>
      <c r="BR11" s="11">
        <v>3629.5410000000002</v>
      </c>
      <c r="BS11" s="11">
        <v>3629.5410000000002</v>
      </c>
    </row>
    <row r="12" spans="1:71" ht="15" customHeight="1" x14ac:dyDescent="0.25">
      <c r="A12" s="74">
        <v>12</v>
      </c>
      <c r="B12" s="40" t="s">
        <v>117</v>
      </c>
      <c r="C12" s="93"/>
      <c r="D12" s="88"/>
      <c r="E12" s="94"/>
      <c r="F12" s="88"/>
      <c r="G12" s="88"/>
      <c r="H12" s="88"/>
      <c r="I12" s="88"/>
      <c r="J12" s="88"/>
      <c r="K12" s="88"/>
      <c r="L12" s="88"/>
      <c r="M12" s="263"/>
      <c r="N12" s="263"/>
      <c r="O12" s="263"/>
      <c r="P12" s="263"/>
      <c r="Q12" s="263"/>
      <c r="R12" s="263"/>
      <c r="S12" s="263"/>
      <c r="T12" s="88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80"/>
      <c r="AQ12" s="171"/>
      <c r="AR12" s="80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11"/>
      <c r="BK12" s="11"/>
      <c r="BL12" s="11"/>
      <c r="BM12" s="11"/>
      <c r="BN12" s="11"/>
      <c r="BO12" s="11"/>
      <c r="BP12" s="11"/>
      <c r="BQ12" s="11"/>
      <c r="BR12" s="11"/>
      <c r="BS12" s="27"/>
    </row>
    <row r="13" spans="1:71" ht="15" customHeight="1" x14ac:dyDescent="0.25">
      <c r="A13" s="74">
        <v>13</v>
      </c>
      <c r="B13" s="43" t="s">
        <v>41</v>
      </c>
      <c r="C13" s="93"/>
      <c r="D13" s="88"/>
      <c r="E13" s="94"/>
      <c r="F13" s="88"/>
      <c r="G13" s="88"/>
      <c r="H13" s="88"/>
      <c r="I13" s="88"/>
      <c r="J13" s="88"/>
      <c r="K13" s="88"/>
      <c r="L13" s="88"/>
      <c r="M13" s="263"/>
      <c r="N13" s="263"/>
      <c r="O13" s="263"/>
      <c r="P13" s="263"/>
      <c r="Q13" s="263"/>
      <c r="R13" s="263"/>
      <c r="S13" s="263"/>
      <c r="T13" s="88"/>
      <c r="U13" s="263"/>
      <c r="V13" s="263">
        <v>23206</v>
      </c>
      <c r="W13" s="263">
        <v>23206</v>
      </c>
      <c r="X13" s="263">
        <v>23206.065999999999</v>
      </c>
      <c r="Y13" s="263">
        <v>23206.065999999999</v>
      </c>
      <c r="Z13" s="263">
        <v>23850.974999999999</v>
      </c>
      <c r="AA13" s="263">
        <v>23851</v>
      </c>
      <c r="AB13" s="263">
        <v>23850.974999999999</v>
      </c>
      <c r="AC13" s="263">
        <v>23850.974999999999</v>
      </c>
      <c r="AD13" s="263">
        <v>24513.878000000001</v>
      </c>
      <c r="AE13" s="171">
        <v>24513.878000000001</v>
      </c>
      <c r="AF13" s="171">
        <v>24513.878000000001</v>
      </c>
      <c r="AG13" s="171">
        <v>24513.878000000001</v>
      </c>
      <c r="AH13" s="171">
        <v>24513.878000000001</v>
      </c>
      <c r="AI13" s="171">
        <v>24513.878000000001</v>
      </c>
      <c r="AJ13" s="171">
        <v>24513.878000000001</v>
      </c>
      <c r="AK13" s="171">
        <v>24513.878000000001</v>
      </c>
      <c r="AL13" s="171">
        <v>24513.878000000001</v>
      </c>
      <c r="AM13" s="171">
        <v>24513.878000000001</v>
      </c>
      <c r="AN13" s="171">
        <v>24513.878000000001</v>
      </c>
      <c r="AO13" s="171">
        <v>21393.878000000001</v>
      </c>
      <c r="AP13" s="80">
        <v>21393.878000000001</v>
      </c>
      <c r="AQ13" s="171">
        <v>21393.878000000001</v>
      </c>
      <c r="AR13" s="80">
        <v>21393.878000000001</v>
      </c>
      <c r="AS13" s="45">
        <v>21393.878000000001</v>
      </c>
      <c r="AT13" s="45">
        <v>21393.878000000001</v>
      </c>
      <c r="AU13" s="45">
        <v>21393.878000000001</v>
      </c>
      <c r="AV13" s="45">
        <v>21393.878000000001</v>
      </c>
      <c r="AW13" s="45">
        <v>21393.878000000001</v>
      </c>
      <c r="AX13" s="45">
        <v>21393.878000000001</v>
      </c>
      <c r="AY13" s="45">
        <v>21393.878000000001</v>
      </c>
      <c r="AZ13" s="45">
        <v>21393.878000000001</v>
      </c>
      <c r="BA13" s="45">
        <v>21393.878000000001</v>
      </c>
      <c r="BB13" s="45">
        <v>21393.878000000001</v>
      </c>
      <c r="BC13" s="45">
        <v>21393.878000000001</v>
      </c>
      <c r="BD13" s="45">
        <v>21393.878000000001</v>
      </c>
      <c r="BE13" s="45">
        <v>18448.915000000001</v>
      </c>
      <c r="BF13" s="45">
        <v>18448.915000000001</v>
      </c>
      <c r="BG13" s="45">
        <v>18448.915000000001</v>
      </c>
      <c r="BH13" s="45">
        <v>18448.915000000001</v>
      </c>
      <c r="BI13" s="45">
        <v>18448.915000000001</v>
      </c>
      <c r="BJ13" s="11">
        <v>18448.915000000001</v>
      </c>
      <c r="BK13" s="11">
        <v>18448.915000000001</v>
      </c>
      <c r="BL13" s="11">
        <v>18448.915000000001</v>
      </c>
      <c r="BM13" s="11">
        <v>15744.164000000001</v>
      </c>
      <c r="BN13" s="11">
        <v>15744.164000000001</v>
      </c>
      <c r="BO13" s="11">
        <v>15744.164000000001</v>
      </c>
      <c r="BP13" s="11">
        <v>15744.164000000001</v>
      </c>
      <c r="BQ13" s="11">
        <v>15744.164000000001</v>
      </c>
      <c r="BR13" s="11">
        <v>15744.164000000001</v>
      </c>
      <c r="BS13" s="11">
        <v>15744.164000000001</v>
      </c>
    </row>
    <row r="14" spans="1:71" ht="15" customHeight="1" x14ac:dyDescent="0.25">
      <c r="A14" s="74">
        <v>14</v>
      </c>
      <c r="B14" s="43" t="s">
        <v>43</v>
      </c>
      <c r="C14" s="93"/>
      <c r="D14" s="88"/>
      <c r="E14" s="94"/>
      <c r="F14" s="88"/>
      <c r="G14" s="88"/>
      <c r="H14" s="88"/>
      <c r="I14" s="88"/>
      <c r="J14" s="88"/>
      <c r="K14" s="88"/>
      <c r="L14" s="88"/>
      <c r="M14" s="270"/>
      <c r="N14" s="270"/>
      <c r="O14" s="270"/>
      <c r="P14" s="270"/>
      <c r="Q14" s="270"/>
      <c r="R14" s="270"/>
      <c r="S14" s="270"/>
      <c r="T14" s="88"/>
      <c r="U14" s="270"/>
      <c r="V14" s="270">
        <v>76836</v>
      </c>
      <c r="W14" s="270">
        <v>74088</v>
      </c>
      <c r="X14" s="270">
        <v>67856.11</v>
      </c>
      <c r="Y14" s="270">
        <v>62970.237000000001</v>
      </c>
      <c r="Z14" s="270">
        <v>60178.332000000002</v>
      </c>
      <c r="AA14" s="270">
        <v>57785</v>
      </c>
      <c r="AB14" s="270">
        <v>55594.514999999999</v>
      </c>
      <c r="AC14" s="270">
        <v>52842.06</v>
      </c>
      <c r="AD14" s="270">
        <v>50737.646000000001</v>
      </c>
      <c r="AE14" s="22">
        <v>48456.483</v>
      </c>
      <c r="AF14" s="22">
        <v>46618.648000000001</v>
      </c>
      <c r="AG14" s="22">
        <v>44611.612000000001</v>
      </c>
      <c r="AH14" s="22">
        <v>44075.394</v>
      </c>
      <c r="AI14" s="22">
        <v>42903.49</v>
      </c>
      <c r="AJ14" s="22">
        <v>40349.639000000003</v>
      </c>
      <c r="AK14" s="149">
        <v>38311.286999999997</v>
      </c>
      <c r="AL14" s="149">
        <v>36186.665999999997</v>
      </c>
      <c r="AM14" s="149">
        <v>37109.43</v>
      </c>
      <c r="AN14" s="149">
        <v>35362.767999999996</v>
      </c>
      <c r="AO14" s="149">
        <v>32975.593999999997</v>
      </c>
      <c r="AP14" s="127">
        <v>31616.55</v>
      </c>
      <c r="AQ14" s="149">
        <v>30139.72</v>
      </c>
      <c r="AR14" s="127">
        <v>28892.581999999999</v>
      </c>
      <c r="AS14" s="127">
        <v>27857.717000000001</v>
      </c>
      <c r="AT14" s="127">
        <v>27420.6</v>
      </c>
      <c r="AU14" s="127">
        <v>26251.09</v>
      </c>
      <c r="AV14" s="127">
        <v>25320.034</v>
      </c>
      <c r="AW14" s="127">
        <v>24200.11</v>
      </c>
      <c r="AX14" s="127">
        <v>23728.933000000001</v>
      </c>
      <c r="AY14" s="127">
        <v>22736.128000000001</v>
      </c>
      <c r="AZ14" s="127">
        <v>22919.308000000001</v>
      </c>
      <c r="BA14" s="127">
        <v>21690.592000000001</v>
      </c>
      <c r="BB14" s="127">
        <v>20497.2</v>
      </c>
      <c r="BC14" s="127">
        <v>18821.637999999999</v>
      </c>
      <c r="BD14" s="127">
        <v>15742.261</v>
      </c>
      <c r="BE14" s="127">
        <v>14129.522000000001</v>
      </c>
      <c r="BF14" s="127">
        <v>14073.687</v>
      </c>
      <c r="BG14" s="11">
        <v>12993.757</v>
      </c>
      <c r="BH14" s="11">
        <v>12463.923000000001</v>
      </c>
      <c r="BI14" s="45">
        <v>11767.276</v>
      </c>
      <c r="BJ14" s="11">
        <v>12446.708000000001</v>
      </c>
      <c r="BK14" s="11">
        <v>12297.014999999999</v>
      </c>
      <c r="BL14" s="11">
        <v>12042.61</v>
      </c>
      <c r="BM14" s="11">
        <v>10899.996999999999</v>
      </c>
      <c r="BN14" s="11">
        <v>9288.5319999999992</v>
      </c>
      <c r="BO14" s="11">
        <v>7198.1450000000004</v>
      </c>
      <c r="BP14" s="11">
        <v>5383.3710000000001</v>
      </c>
      <c r="BQ14" s="11">
        <v>4210.5119999999997</v>
      </c>
      <c r="BR14" s="11">
        <v>4262.2349999999997</v>
      </c>
      <c r="BS14" s="11">
        <v>3912.4009999999998</v>
      </c>
    </row>
    <row r="15" spans="1:71" ht="15" customHeight="1" x14ac:dyDescent="0.25">
      <c r="A15" s="74">
        <v>15</v>
      </c>
      <c r="B15" s="43" t="s">
        <v>301</v>
      </c>
      <c r="C15" s="93"/>
      <c r="D15" s="88"/>
      <c r="E15" s="94"/>
      <c r="F15" s="88"/>
      <c r="G15" s="88"/>
      <c r="H15" s="88"/>
      <c r="I15" s="88"/>
      <c r="J15" s="88"/>
      <c r="K15" s="88"/>
      <c r="L15" s="88"/>
      <c r="M15" s="270"/>
      <c r="N15" s="270"/>
      <c r="O15" s="270"/>
      <c r="P15" s="270"/>
      <c r="Q15" s="270"/>
      <c r="R15" s="270"/>
      <c r="S15" s="270"/>
      <c r="T15" s="88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2"/>
      <c r="AF15" s="22">
        <v>361.68200000000002</v>
      </c>
      <c r="AG15" s="22">
        <v>358.976</v>
      </c>
      <c r="AH15" s="22">
        <v>434.58100000000002</v>
      </c>
      <c r="AI15" s="22">
        <v>1086.5450000000001</v>
      </c>
      <c r="AJ15" s="22">
        <v>1137.057</v>
      </c>
      <c r="AK15" s="149">
        <v>589.01499999999999</v>
      </c>
      <c r="AL15" s="149">
        <v>603.38800000000003</v>
      </c>
      <c r="AM15" s="149">
        <v>590.39200000000005</v>
      </c>
      <c r="AN15" s="149">
        <v>583.13099999999997</v>
      </c>
      <c r="AO15" s="149">
        <v>490.69900000000001</v>
      </c>
      <c r="AP15" s="127"/>
      <c r="AQ15" s="149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1"/>
      <c r="BH15" s="11"/>
      <c r="BI15" s="45"/>
      <c r="BJ15" s="11"/>
      <c r="BK15" s="11"/>
      <c r="BL15" s="11"/>
      <c r="BM15" s="11"/>
      <c r="BN15" s="11"/>
      <c r="BO15" s="11"/>
      <c r="BP15" s="11"/>
      <c r="BQ15" s="11"/>
      <c r="BR15" s="11"/>
      <c r="BS15" s="11"/>
    </row>
    <row r="16" spans="1:71" ht="15" customHeight="1" x14ac:dyDescent="0.25">
      <c r="A16" s="74">
        <v>16</v>
      </c>
      <c r="B16" s="43" t="s">
        <v>302</v>
      </c>
      <c r="C16" s="93"/>
      <c r="D16" s="88"/>
      <c r="E16" s="94"/>
      <c r="F16" s="88"/>
      <c r="G16" s="88"/>
      <c r="H16" s="88"/>
      <c r="I16" s="88"/>
      <c r="J16" s="88"/>
      <c r="K16" s="88"/>
      <c r="L16" s="88"/>
      <c r="M16" s="270"/>
      <c r="N16" s="270"/>
      <c r="O16" s="270"/>
      <c r="P16" s="270"/>
      <c r="Q16" s="270"/>
      <c r="R16" s="270"/>
      <c r="S16" s="270"/>
      <c r="T16" s="88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149">
        <v>-114.873</v>
      </c>
      <c r="AF16" s="149">
        <v>-114.873</v>
      </c>
      <c r="AG16" s="149">
        <v>-114.873</v>
      </c>
      <c r="AH16" s="149">
        <v>-114.873</v>
      </c>
      <c r="AI16" s="149">
        <v>-114.873</v>
      </c>
      <c r="AJ16" s="149">
        <v>-114.873</v>
      </c>
      <c r="AK16" s="149">
        <v>-114.873</v>
      </c>
      <c r="AL16" s="149">
        <v>-114.873</v>
      </c>
      <c r="AM16" s="149">
        <v>-114.873</v>
      </c>
      <c r="AN16" s="149">
        <v>-114.873</v>
      </c>
      <c r="AO16" s="149">
        <v>-114.873</v>
      </c>
      <c r="AP16" s="127"/>
      <c r="AQ16" s="149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1"/>
      <c r="BH16" s="11"/>
      <c r="BI16" s="45"/>
      <c r="BJ16" s="11"/>
      <c r="BK16" s="11"/>
      <c r="BL16" s="11"/>
      <c r="BM16" s="11"/>
      <c r="BN16" s="11"/>
      <c r="BO16" s="11"/>
      <c r="BP16" s="11"/>
      <c r="BQ16" s="11"/>
      <c r="BR16" s="11"/>
      <c r="BS16" s="11"/>
    </row>
    <row r="17" spans="1:71" ht="15" customHeight="1" x14ac:dyDescent="0.25">
      <c r="A17" s="74">
        <v>17</v>
      </c>
      <c r="B17" s="43" t="s">
        <v>379</v>
      </c>
      <c r="C17" s="93"/>
      <c r="D17" s="88"/>
      <c r="E17" s="94"/>
      <c r="F17" s="88"/>
      <c r="G17" s="88"/>
      <c r="H17" s="88"/>
      <c r="I17" s="88"/>
      <c r="J17" s="88"/>
      <c r="K17" s="88"/>
      <c r="L17" s="88"/>
      <c r="M17" s="270"/>
      <c r="N17" s="270"/>
      <c r="O17" s="270"/>
      <c r="P17" s="270"/>
      <c r="Q17" s="270"/>
      <c r="R17" s="270"/>
      <c r="S17" s="270"/>
      <c r="T17" s="88"/>
      <c r="U17" s="270"/>
      <c r="V17" s="270">
        <v>-1025</v>
      </c>
      <c r="W17" s="270">
        <v>-1025</v>
      </c>
      <c r="X17" s="270">
        <v>-1.208</v>
      </c>
      <c r="Y17" s="270">
        <v>0</v>
      </c>
      <c r="Z17" s="270">
        <v>-641.99599999999998</v>
      </c>
      <c r="AA17" s="270">
        <v>-642</v>
      </c>
      <c r="AB17" s="270">
        <v>-641.99599999999998</v>
      </c>
      <c r="AC17" s="270">
        <v>-641.99599999999998</v>
      </c>
      <c r="AD17" s="270">
        <v>-1301.9870000000001</v>
      </c>
      <c r="AE17" s="149">
        <v>-1301.9870000000001</v>
      </c>
      <c r="AF17" s="149">
        <v>-659.99099999999999</v>
      </c>
      <c r="AG17" s="149">
        <v>-659.99099999999999</v>
      </c>
      <c r="AH17" s="149">
        <v>-659.99099999999999</v>
      </c>
      <c r="AI17" s="149">
        <v>-659.99099999999999</v>
      </c>
      <c r="AJ17" s="149"/>
      <c r="AK17" s="149"/>
      <c r="AL17" s="149"/>
      <c r="AM17" s="149"/>
      <c r="AN17" s="149"/>
      <c r="AO17" s="149"/>
      <c r="AP17" s="127"/>
      <c r="AQ17" s="149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1"/>
      <c r="BH17" s="11"/>
      <c r="BI17" s="45"/>
      <c r="BJ17" s="11"/>
      <c r="BK17" s="11"/>
      <c r="BL17" s="11"/>
      <c r="BM17" s="11"/>
      <c r="BN17" s="11"/>
      <c r="BO17" s="11"/>
      <c r="BP17" s="11"/>
      <c r="BQ17" s="11"/>
      <c r="BR17" s="11"/>
      <c r="BS17" s="11"/>
    </row>
    <row r="18" spans="1:71" s="36" customFormat="1" ht="15" customHeight="1" x14ac:dyDescent="0.25">
      <c r="A18" s="74">
        <v>18</v>
      </c>
      <c r="B18" s="58" t="s">
        <v>118</v>
      </c>
      <c r="C18" s="93"/>
      <c r="D18" s="88"/>
      <c r="E18" s="94"/>
      <c r="F18" s="88"/>
      <c r="G18" s="88"/>
      <c r="H18" s="88"/>
      <c r="I18" s="88"/>
      <c r="J18" s="88"/>
      <c r="K18" s="88"/>
      <c r="L18" s="88"/>
      <c r="M18" s="311"/>
      <c r="N18" s="311"/>
      <c r="O18" s="311"/>
      <c r="P18" s="311"/>
      <c r="Q18" s="311"/>
      <c r="R18" s="311"/>
      <c r="S18" s="311"/>
      <c r="T18" s="88"/>
      <c r="U18" s="311"/>
      <c r="V18" s="311">
        <f t="shared" ref="V18:AC18" si="0">V11+V13+V14+V15+V16+V17</f>
        <v>102626</v>
      </c>
      <c r="W18" s="311">
        <f t="shared" si="0"/>
        <v>99878</v>
      </c>
      <c r="X18" s="311">
        <f t="shared" si="0"/>
        <v>94669.542000000001</v>
      </c>
      <c r="Y18" s="311">
        <f t="shared" si="0"/>
        <v>89784.877000000008</v>
      </c>
      <c r="Z18" s="311">
        <f t="shared" si="0"/>
        <v>87082.464999999997</v>
      </c>
      <c r="AA18" s="311">
        <f t="shared" si="0"/>
        <v>84689</v>
      </c>
      <c r="AB18" s="311">
        <f t="shared" si="0"/>
        <v>82498.648000000001</v>
      </c>
      <c r="AC18" s="311">
        <f t="shared" si="0"/>
        <v>79746.192999999999</v>
      </c>
      <c r="AD18" s="311">
        <f t="shared" ref="AD18:AI18" si="1">AD11+AD13+AD14+AD15+AD16+AD17</f>
        <v>77731.271000000008</v>
      </c>
      <c r="AE18" s="219">
        <f t="shared" si="1"/>
        <v>75335.235000000001</v>
      </c>
      <c r="AF18" s="219">
        <f t="shared" si="1"/>
        <v>74501.078000000009</v>
      </c>
      <c r="AG18" s="219">
        <f t="shared" si="1"/>
        <v>72491.335999999996</v>
      </c>
      <c r="AH18" s="219">
        <f t="shared" si="1"/>
        <v>72030.722999999998</v>
      </c>
      <c r="AI18" s="219">
        <f t="shared" si="1"/>
        <v>71510.782999999996</v>
      </c>
      <c r="AJ18" s="219">
        <f t="shared" ref="AJ18:BS18" si="2">AJ11+AJ13+AJ14+AJ15+AJ16+AJ17</f>
        <v>69667.434999999998</v>
      </c>
      <c r="AK18" s="219">
        <f t="shared" si="2"/>
        <v>67081.040999999997</v>
      </c>
      <c r="AL18" s="219">
        <f t="shared" si="2"/>
        <v>64970.792999999998</v>
      </c>
      <c r="AM18" s="219">
        <f t="shared" si="2"/>
        <v>65880.561000000002</v>
      </c>
      <c r="AN18" s="219">
        <f t="shared" si="2"/>
        <v>64126.637999999999</v>
      </c>
      <c r="AO18" s="219">
        <f t="shared" si="2"/>
        <v>58467.031999999999</v>
      </c>
      <c r="AP18" s="219">
        <f t="shared" si="2"/>
        <v>56732.161999999997</v>
      </c>
      <c r="AQ18" s="219">
        <f t="shared" si="2"/>
        <v>55255.332000000002</v>
      </c>
      <c r="AR18" s="219">
        <f t="shared" si="2"/>
        <v>54008.194000000003</v>
      </c>
      <c r="AS18" s="219">
        <f t="shared" si="2"/>
        <v>52973.328999999998</v>
      </c>
      <c r="AT18" s="219">
        <f t="shared" si="2"/>
        <v>51956.01</v>
      </c>
      <c r="AU18" s="219">
        <f t="shared" si="2"/>
        <v>51366.702000000005</v>
      </c>
      <c r="AV18" s="219">
        <f t="shared" si="2"/>
        <v>50435.135000000002</v>
      </c>
      <c r="AW18" s="219">
        <f t="shared" si="2"/>
        <v>49315.211000000003</v>
      </c>
      <c r="AX18" s="219">
        <f t="shared" si="2"/>
        <v>48833.014999999999</v>
      </c>
      <c r="AY18" s="219">
        <f t="shared" si="2"/>
        <v>47826.68</v>
      </c>
      <c r="AZ18" s="219">
        <f t="shared" si="2"/>
        <v>48034.92</v>
      </c>
      <c r="BA18" s="219">
        <f t="shared" si="2"/>
        <v>46806.203999999998</v>
      </c>
      <c r="BB18" s="219">
        <f t="shared" si="2"/>
        <v>45612.812000000005</v>
      </c>
      <c r="BC18" s="219">
        <f t="shared" si="2"/>
        <v>43937.25</v>
      </c>
      <c r="BD18" s="219">
        <f t="shared" si="2"/>
        <v>40857.873</v>
      </c>
      <c r="BE18" s="219">
        <f t="shared" si="2"/>
        <v>36226.547000000006</v>
      </c>
      <c r="BF18" s="219">
        <f t="shared" si="2"/>
        <v>36170.712</v>
      </c>
      <c r="BG18" s="219">
        <f t="shared" si="2"/>
        <v>35090.781999999999</v>
      </c>
      <c r="BH18" s="219">
        <f t="shared" si="2"/>
        <v>34560.948000000004</v>
      </c>
      <c r="BI18" s="219">
        <f t="shared" si="2"/>
        <v>33864.300999999999</v>
      </c>
      <c r="BJ18" s="219">
        <f t="shared" si="2"/>
        <v>34543.733</v>
      </c>
      <c r="BK18" s="219">
        <f t="shared" si="2"/>
        <v>34394.04</v>
      </c>
      <c r="BL18" s="219">
        <f t="shared" si="2"/>
        <v>34139.635000000002</v>
      </c>
      <c r="BM18" s="219">
        <f t="shared" si="2"/>
        <v>30273.702000000001</v>
      </c>
      <c r="BN18" s="219">
        <f t="shared" si="2"/>
        <v>28662.237000000001</v>
      </c>
      <c r="BO18" s="219">
        <f t="shared" si="2"/>
        <v>26571.850000000002</v>
      </c>
      <c r="BP18" s="219">
        <f t="shared" si="2"/>
        <v>24757.076000000001</v>
      </c>
      <c r="BQ18" s="219">
        <f t="shared" si="2"/>
        <v>23584.217000000001</v>
      </c>
      <c r="BR18" s="219">
        <f t="shared" si="2"/>
        <v>23635.940000000002</v>
      </c>
      <c r="BS18" s="219">
        <f t="shared" si="2"/>
        <v>23286.106</v>
      </c>
    </row>
    <row r="19" spans="1:71" ht="15" customHeight="1" x14ac:dyDescent="0.25">
      <c r="A19" s="74">
        <v>19</v>
      </c>
      <c r="B19" s="58" t="s">
        <v>119</v>
      </c>
      <c r="C19" s="93"/>
      <c r="D19" s="88"/>
      <c r="E19" s="94"/>
      <c r="F19" s="88"/>
      <c r="G19" s="88"/>
      <c r="H19" s="88"/>
      <c r="I19" s="88"/>
      <c r="J19" s="88"/>
      <c r="K19" s="88"/>
      <c r="L19" s="88"/>
      <c r="M19" s="320"/>
      <c r="N19" s="320"/>
      <c r="O19" s="320"/>
      <c r="P19" s="320"/>
      <c r="Q19" s="320"/>
      <c r="R19" s="320"/>
      <c r="S19" s="320"/>
      <c r="T19" s="88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170"/>
      <c r="AQ19" s="220"/>
      <c r="AR19" s="170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45"/>
      <c r="BG19" s="45"/>
      <c r="BH19" s="45"/>
      <c r="BI19" s="45"/>
      <c r="BJ19" s="11"/>
      <c r="BK19" s="11"/>
      <c r="BL19" s="11"/>
      <c r="BM19" s="11"/>
      <c r="BN19" s="11"/>
      <c r="BO19" s="11"/>
      <c r="BP19" s="11"/>
      <c r="BQ19" s="11"/>
      <c r="BR19" s="11"/>
      <c r="BS19" s="37"/>
    </row>
    <row r="20" spans="1:71" ht="15" customHeight="1" x14ac:dyDescent="0.25">
      <c r="A20" s="74">
        <v>20</v>
      </c>
      <c r="B20" s="40" t="s">
        <v>370</v>
      </c>
      <c r="C20" s="93"/>
      <c r="D20" s="88"/>
      <c r="E20" s="94"/>
      <c r="F20" s="88"/>
      <c r="G20" s="88"/>
      <c r="H20" s="88"/>
      <c r="I20" s="88"/>
      <c r="J20" s="88"/>
      <c r="K20" s="88"/>
      <c r="L20" s="88"/>
      <c r="M20" s="263"/>
      <c r="N20" s="263"/>
      <c r="O20" s="263"/>
      <c r="P20" s="263"/>
      <c r="Q20" s="263"/>
      <c r="R20" s="263"/>
      <c r="S20" s="263"/>
      <c r="T20" s="88"/>
      <c r="U20" s="263"/>
      <c r="V20" s="263">
        <v>2949</v>
      </c>
      <c r="W20" s="263">
        <v>2949</v>
      </c>
      <c r="X20" s="263">
        <v>2998.4670000000001</v>
      </c>
      <c r="Y20" s="263">
        <v>3259.4209999999998</v>
      </c>
      <c r="Z20" s="263">
        <v>3259.4209999999998</v>
      </c>
      <c r="AA20" s="263">
        <v>3259</v>
      </c>
      <c r="AB20" s="263">
        <v>3239.5360000000001</v>
      </c>
      <c r="AC20" s="263">
        <v>3239.5360000000001</v>
      </c>
      <c r="AD20" s="263">
        <v>3239.5360000000001</v>
      </c>
      <c r="AE20" s="171">
        <v>3239.5360000000001</v>
      </c>
      <c r="AF20" s="171">
        <v>3542.5189999999998</v>
      </c>
      <c r="AG20" s="171">
        <v>3542.5189999999998</v>
      </c>
      <c r="AH20" s="171">
        <v>3542.5189999999998</v>
      </c>
      <c r="AI20" s="171">
        <v>3651.4549999999999</v>
      </c>
      <c r="AJ20" s="171">
        <v>3651.4549999999999</v>
      </c>
      <c r="AK20" s="171">
        <v>3651.4549999999999</v>
      </c>
      <c r="AL20" s="171">
        <v>3651.4549999999999</v>
      </c>
      <c r="AM20" s="171">
        <v>3651.4549999999999</v>
      </c>
      <c r="AN20" s="171">
        <v>3816.12</v>
      </c>
      <c r="AO20" s="171">
        <v>3816.12</v>
      </c>
      <c r="AP20" s="80">
        <v>3820.4960000000001</v>
      </c>
      <c r="AQ20" s="171">
        <v>3820.4960000000001</v>
      </c>
      <c r="AR20" s="80">
        <v>3820.4960000000001</v>
      </c>
      <c r="AS20" s="45">
        <v>3820.4960000000001</v>
      </c>
      <c r="AT20" s="45">
        <v>3820.4960000000001</v>
      </c>
      <c r="AU20" s="45">
        <v>3820.4960000000001</v>
      </c>
      <c r="AV20" s="45">
        <v>3820.4960000000001</v>
      </c>
      <c r="AW20" s="45">
        <v>3820.4960000000001</v>
      </c>
      <c r="AX20" s="45">
        <v>3820.4960000000001</v>
      </c>
      <c r="AY20" s="45">
        <v>3901.5549999999998</v>
      </c>
      <c r="AZ20" s="45">
        <v>3295.3159999999998</v>
      </c>
      <c r="BA20" s="45">
        <v>3339.0309999999999</v>
      </c>
      <c r="BB20" s="45">
        <v>3339.0309999999999</v>
      </c>
      <c r="BC20" s="45">
        <v>3339.0309999999999</v>
      </c>
      <c r="BD20" s="45">
        <v>3339.0309999999999</v>
      </c>
      <c r="BE20" s="45">
        <v>3339.0309999999999</v>
      </c>
      <c r="BF20" s="45">
        <v>3339.0309999999999</v>
      </c>
      <c r="BG20" s="45">
        <v>3339.0309999999999</v>
      </c>
      <c r="BH20" s="45">
        <v>3291.8490000000002</v>
      </c>
      <c r="BI20" s="45">
        <v>3295.5729999999999</v>
      </c>
      <c r="BJ20" s="11">
        <v>3319.8939999999998</v>
      </c>
      <c r="BK20" s="11">
        <v>3346.3029999999999</v>
      </c>
      <c r="BL20" s="11">
        <v>1966.0150000000001</v>
      </c>
      <c r="BM20" s="11">
        <v>1966.0150000000001</v>
      </c>
      <c r="BN20" s="11">
        <v>1966.0150000000001</v>
      </c>
      <c r="BO20" s="11">
        <v>1966.0150000000001</v>
      </c>
      <c r="BP20" s="11">
        <v>1966.0150000000001</v>
      </c>
      <c r="BQ20" s="11">
        <v>1966.0150000000001</v>
      </c>
      <c r="BR20" s="11">
        <v>1966.0150000000001</v>
      </c>
      <c r="BS20" s="37">
        <v>1966.0150000000001</v>
      </c>
    </row>
    <row r="21" spans="1:71" ht="15" customHeight="1" x14ac:dyDescent="0.25">
      <c r="A21" s="74">
        <v>21</v>
      </c>
      <c r="B21" s="40" t="s">
        <v>364</v>
      </c>
      <c r="C21" s="93"/>
      <c r="D21" s="88"/>
      <c r="E21" s="94"/>
      <c r="F21" s="88"/>
      <c r="G21" s="88"/>
      <c r="H21" s="88"/>
      <c r="I21" s="88"/>
      <c r="J21" s="88"/>
      <c r="K21" s="88"/>
      <c r="L21" s="88"/>
      <c r="M21" s="263"/>
      <c r="N21" s="263"/>
      <c r="O21" s="263"/>
      <c r="P21" s="263"/>
      <c r="Q21" s="263"/>
      <c r="R21" s="263"/>
      <c r="S21" s="263"/>
      <c r="T21" s="88"/>
      <c r="U21" s="263"/>
      <c r="V21" s="263">
        <v>1241</v>
      </c>
      <c r="W21" s="263">
        <v>1014</v>
      </c>
      <c r="X21" s="263">
        <v>838.75599999999997</v>
      </c>
      <c r="Y21" s="263">
        <v>831.63199999999995</v>
      </c>
      <c r="Z21" s="263">
        <v>736.94500000000005</v>
      </c>
      <c r="AA21" s="263">
        <v>722</v>
      </c>
      <c r="AB21" s="263">
        <v>778.98</v>
      </c>
      <c r="AC21" s="263">
        <v>674.78300000000002</v>
      </c>
      <c r="AD21" s="263">
        <v>661.39200000000005</v>
      </c>
      <c r="AE21" s="171">
        <v>689.61300000000006</v>
      </c>
      <c r="AF21" s="171">
        <v>680.69100000000003</v>
      </c>
      <c r="AG21" s="171">
        <v>584.28700000000003</v>
      </c>
      <c r="AH21" s="171">
        <v>350.976</v>
      </c>
      <c r="AI21" s="171">
        <v>374.49700000000001</v>
      </c>
      <c r="AJ21" s="171">
        <v>671.48800000000006</v>
      </c>
      <c r="AK21" s="171">
        <v>1186.752</v>
      </c>
      <c r="AL21" s="171">
        <v>1731.585</v>
      </c>
      <c r="AM21" s="171">
        <v>1264.691</v>
      </c>
      <c r="AN21" s="171">
        <v>1081.4349999999999</v>
      </c>
      <c r="AO21" s="171">
        <v>1654.972</v>
      </c>
      <c r="AP21" s="171">
        <v>1685.0360000000001</v>
      </c>
      <c r="AQ21" s="171">
        <v>1793.1379999999999</v>
      </c>
      <c r="AR21" s="171">
        <v>2404.6379999999999</v>
      </c>
      <c r="AS21" s="85">
        <v>2317.7469999999998</v>
      </c>
      <c r="AT21" s="85">
        <v>2154.0169999999998</v>
      </c>
      <c r="AU21" s="85">
        <v>1596.2860000000001</v>
      </c>
      <c r="AV21" s="85">
        <v>1485.451</v>
      </c>
      <c r="AW21" s="85">
        <v>1293.54</v>
      </c>
      <c r="AX21" s="85">
        <v>594.79700000000003</v>
      </c>
      <c r="AY21" s="85">
        <v>-433.89400000000001</v>
      </c>
      <c r="AZ21" s="45">
        <v>103.23399999999999</v>
      </c>
      <c r="BA21" s="45">
        <v>87.028999999999996</v>
      </c>
      <c r="BB21" s="45">
        <v>323.49799999999999</v>
      </c>
      <c r="BC21" s="45">
        <v>399.67399999999998</v>
      </c>
      <c r="BD21" s="45">
        <v>1808.261</v>
      </c>
      <c r="BE21" s="45">
        <v>1820.973</v>
      </c>
      <c r="BF21" s="45">
        <v>1636.2660000000001</v>
      </c>
      <c r="BG21" s="45">
        <v>1888.6859999999999</v>
      </c>
      <c r="BH21" s="45">
        <v>2353.0050000000001</v>
      </c>
      <c r="BI21" s="45">
        <v>2351.9259999999999</v>
      </c>
      <c r="BJ21" s="11">
        <v>2284.8119999999999</v>
      </c>
      <c r="BK21" s="11">
        <v>2282.46</v>
      </c>
      <c r="BL21" s="11">
        <v>33.548000000000002</v>
      </c>
      <c r="BM21" s="11">
        <v>29.059000000000001</v>
      </c>
      <c r="BN21" s="11">
        <v>27.227</v>
      </c>
      <c r="BO21" s="11">
        <v>26.346</v>
      </c>
      <c r="BP21" s="11">
        <v>27.689</v>
      </c>
      <c r="BQ21" s="11">
        <v>27.108000000000001</v>
      </c>
      <c r="BR21" s="11">
        <v>32.83</v>
      </c>
      <c r="BS21" s="37">
        <v>32.43</v>
      </c>
    </row>
    <row r="22" spans="1:71" ht="15" customHeight="1" x14ac:dyDescent="0.25">
      <c r="A22" s="74">
        <v>22</v>
      </c>
      <c r="B22" s="40" t="s">
        <v>228</v>
      </c>
      <c r="C22" s="93"/>
      <c r="D22" s="88"/>
      <c r="E22" s="94"/>
      <c r="F22" s="88"/>
      <c r="G22" s="88"/>
      <c r="H22" s="88"/>
      <c r="I22" s="88"/>
      <c r="J22" s="88"/>
      <c r="K22" s="88"/>
      <c r="L22" s="88"/>
      <c r="M22" s="263"/>
      <c r="N22" s="263"/>
      <c r="O22" s="263"/>
      <c r="P22" s="263"/>
      <c r="Q22" s="263"/>
      <c r="R22" s="263"/>
      <c r="S22" s="263"/>
      <c r="T22" s="88"/>
      <c r="U22" s="263"/>
      <c r="V22" s="263">
        <v>12296</v>
      </c>
      <c r="W22" s="263">
        <v>14210</v>
      </c>
      <c r="X22" s="263">
        <v>14294.92</v>
      </c>
      <c r="Y22" s="263">
        <v>14233.248</v>
      </c>
      <c r="Z22" s="263">
        <v>14418.326999999999</v>
      </c>
      <c r="AA22" s="263">
        <v>15087</v>
      </c>
      <c r="AB22" s="263">
        <v>15227.137000000001</v>
      </c>
      <c r="AC22" s="263">
        <v>15417.308999999999</v>
      </c>
      <c r="AD22" s="263">
        <v>15516.376</v>
      </c>
      <c r="AE22" s="171">
        <v>16101.236000000001</v>
      </c>
      <c r="AF22" s="171">
        <v>16328.442999999999</v>
      </c>
      <c r="AG22" s="171">
        <v>16004.066000000001</v>
      </c>
      <c r="AH22" s="171">
        <v>15978.174999999999</v>
      </c>
      <c r="AI22" s="171">
        <v>16274.911</v>
      </c>
      <c r="AJ22" s="171">
        <v>16860.964</v>
      </c>
      <c r="AK22" s="171">
        <v>17280.322</v>
      </c>
      <c r="AL22" s="171">
        <v>18137.171999999999</v>
      </c>
      <c r="AM22" s="171">
        <v>18180.523000000001</v>
      </c>
      <c r="AN22" s="171">
        <v>19035.083999999999</v>
      </c>
      <c r="AO22" s="171">
        <v>18960.28</v>
      </c>
      <c r="AP22" s="80">
        <v>20018.071</v>
      </c>
      <c r="AQ22" s="171">
        <v>20756.433000000001</v>
      </c>
      <c r="AR22" s="80">
        <v>21875.546999999999</v>
      </c>
      <c r="AS22" s="45">
        <v>22660.407999999999</v>
      </c>
      <c r="AT22" s="45">
        <v>24860.043000000001</v>
      </c>
      <c r="AU22" s="45">
        <v>24296.085999999999</v>
      </c>
      <c r="AV22" s="45">
        <v>24163.205999999998</v>
      </c>
      <c r="AW22" s="45">
        <v>9997.2530000000006</v>
      </c>
      <c r="AX22" s="45">
        <v>11666.85</v>
      </c>
      <c r="AY22" s="45">
        <v>11393.066999999999</v>
      </c>
      <c r="AZ22" s="45">
        <v>7908.8289999999997</v>
      </c>
      <c r="BA22" s="45">
        <v>9947.9320000000007</v>
      </c>
      <c r="BB22" s="45">
        <v>11269.986999999999</v>
      </c>
      <c r="BC22" s="45">
        <v>10335.880999999999</v>
      </c>
      <c r="BD22" s="45">
        <v>7926.6440000000002</v>
      </c>
      <c r="BE22" s="45">
        <v>10234.027</v>
      </c>
      <c r="BF22" s="45">
        <v>9710.8960000000006</v>
      </c>
      <c r="BG22" s="45">
        <v>8568.6530000000002</v>
      </c>
      <c r="BH22" s="45">
        <v>6005.1589999999997</v>
      </c>
      <c r="BI22" s="45">
        <v>7161.652</v>
      </c>
      <c r="BJ22" s="11">
        <v>6343.4040000000005</v>
      </c>
      <c r="BK22" s="11">
        <v>7054.39</v>
      </c>
      <c r="BL22" s="11">
        <v>7464.3209999999999</v>
      </c>
      <c r="BM22" s="11">
        <v>6868.3639999999996</v>
      </c>
      <c r="BN22" s="11">
        <v>6776.92</v>
      </c>
      <c r="BO22" s="11">
        <v>7304.0919999999996</v>
      </c>
      <c r="BP22" s="11">
        <v>7749.0940000000001</v>
      </c>
      <c r="BQ22" s="11">
        <v>7953.5479999999998</v>
      </c>
      <c r="BR22" s="11">
        <v>7510.9120000000003</v>
      </c>
      <c r="BS22" s="37">
        <v>7932.5730000000003</v>
      </c>
    </row>
    <row r="23" spans="1:71" s="36" customFormat="1" ht="15" customHeight="1" x14ac:dyDescent="0.25">
      <c r="A23" s="74">
        <v>23</v>
      </c>
      <c r="B23" s="58" t="s">
        <v>120</v>
      </c>
      <c r="C23" s="93"/>
      <c r="D23" s="88"/>
      <c r="E23" s="94"/>
      <c r="F23" s="88"/>
      <c r="G23" s="88"/>
      <c r="H23" s="88"/>
      <c r="I23" s="88"/>
      <c r="J23" s="88"/>
      <c r="K23" s="88"/>
      <c r="L23" s="88"/>
      <c r="M23" s="311"/>
      <c r="N23" s="311"/>
      <c r="O23" s="311"/>
      <c r="P23" s="311"/>
      <c r="Q23" s="311"/>
      <c r="R23" s="311"/>
      <c r="S23" s="311"/>
      <c r="T23" s="88"/>
      <c r="U23" s="311"/>
      <c r="V23" s="311">
        <f t="shared" ref="V23:BA23" si="3">V20+V21+V22</f>
        <v>16486</v>
      </c>
      <c r="W23" s="311">
        <f t="shared" si="3"/>
        <v>18173</v>
      </c>
      <c r="X23" s="311">
        <f t="shared" si="3"/>
        <v>18132.143</v>
      </c>
      <c r="Y23" s="311">
        <f t="shared" si="3"/>
        <v>18324.300999999999</v>
      </c>
      <c r="Z23" s="311">
        <f t="shared" si="3"/>
        <v>18414.692999999999</v>
      </c>
      <c r="AA23" s="311">
        <f t="shared" si="3"/>
        <v>19068</v>
      </c>
      <c r="AB23" s="311">
        <f t="shared" si="3"/>
        <v>19245.653000000002</v>
      </c>
      <c r="AC23" s="311">
        <f t="shared" si="3"/>
        <v>19331.628000000001</v>
      </c>
      <c r="AD23" s="311">
        <f t="shared" si="3"/>
        <v>19417.304</v>
      </c>
      <c r="AE23" s="219">
        <f t="shared" si="3"/>
        <v>20030.385000000002</v>
      </c>
      <c r="AF23" s="219">
        <f t="shared" si="3"/>
        <v>20551.652999999998</v>
      </c>
      <c r="AG23" s="219">
        <f t="shared" si="3"/>
        <v>20130.871999999999</v>
      </c>
      <c r="AH23" s="219">
        <f t="shared" si="3"/>
        <v>19871.669999999998</v>
      </c>
      <c r="AI23" s="219">
        <f t="shared" si="3"/>
        <v>20300.863000000001</v>
      </c>
      <c r="AJ23" s="219">
        <f t="shared" si="3"/>
        <v>21183.906999999999</v>
      </c>
      <c r="AK23" s="219">
        <f t="shared" si="3"/>
        <v>22118.529000000002</v>
      </c>
      <c r="AL23" s="219">
        <f t="shared" si="3"/>
        <v>23520.212</v>
      </c>
      <c r="AM23" s="219">
        <f t="shared" si="3"/>
        <v>23096.669000000002</v>
      </c>
      <c r="AN23" s="219">
        <f t="shared" si="3"/>
        <v>23932.638999999999</v>
      </c>
      <c r="AO23" s="219">
        <f t="shared" si="3"/>
        <v>24431.371999999999</v>
      </c>
      <c r="AP23" s="161">
        <f t="shared" si="3"/>
        <v>25523.602999999999</v>
      </c>
      <c r="AQ23" s="219">
        <f t="shared" si="3"/>
        <v>26370.067000000003</v>
      </c>
      <c r="AR23" s="161">
        <f t="shared" si="3"/>
        <v>28100.680999999997</v>
      </c>
      <c r="AS23" s="46">
        <f t="shared" si="3"/>
        <v>28798.650999999998</v>
      </c>
      <c r="AT23" s="46">
        <f t="shared" si="3"/>
        <v>30834.556</v>
      </c>
      <c r="AU23" s="46">
        <f t="shared" si="3"/>
        <v>29712.867999999999</v>
      </c>
      <c r="AV23" s="46">
        <f t="shared" si="3"/>
        <v>29469.152999999998</v>
      </c>
      <c r="AW23" s="46">
        <f t="shared" si="3"/>
        <v>15111.289000000001</v>
      </c>
      <c r="AX23" s="46">
        <f t="shared" si="3"/>
        <v>16082.143</v>
      </c>
      <c r="AY23" s="46">
        <f t="shared" si="3"/>
        <v>14860.727999999999</v>
      </c>
      <c r="AZ23" s="46">
        <f t="shared" si="3"/>
        <v>11307.378999999999</v>
      </c>
      <c r="BA23" s="46">
        <f t="shared" si="3"/>
        <v>13373.992</v>
      </c>
      <c r="BB23" s="46">
        <f t="shared" ref="BB23:BG23" si="4">BB20+BB21+BB22</f>
        <v>14932.516</v>
      </c>
      <c r="BC23" s="46">
        <f t="shared" si="4"/>
        <v>14074.585999999999</v>
      </c>
      <c r="BD23" s="46">
        <f t="shared" si="4"/>
        <v>13073.936</v>
      </c>
      <c r="BE23" s="46">
        <f t="shared" si="4"/>
        <v>15394.030999999999</v>
      </c>
      <c r="BF23" s="46">
        <f t="shared" si="4"/>
        <v>14686.193000000001</v>
      </c>
      <c r="BG23" s="46">
        <f t="shared" si="4"/>
        <v>13796.369999999999</v>
      </c>
      <c r="BH23" s="46">
        <f t="shared" ref="BH23:BN23" si="5">BH20+BH21+BH22</f>
        <v>11650.012999999999</v>
      </c>
      <c r="BI23" s="46">
        <f t="shared" si="5"/>
        <v>12809.151</v>
      </c>
      <c r="BJ23" s="20">
        <f t="shared" si="5"/>
        <v>11948.11</v>
      </c>
      <c r="BK23" s="20">
        <f t="shared" si="5"/>
        <v>12683.153</v>
      </c>
      <c r="BL23" s="20">
        <f t="shared" si="5"/>
        <v>9463.884</v>
      </c>
      <c r="BM23" s="20">
        <f t="shared" si="5"/>
        <v>8863.4380000000001</v>
      </c>
      <c r="BN23" s="20">
        <f t="shared" si="5"/>
        <v>8770.1620000000003</v>
      </c>
      <c r="BO23" s="20">
        <f>BO20+BO21+BO22</f>
        <v>9296.4529999999995</v>
      </c>
      <c r="BP23" s="20">
        <f>BP20+BP21+BP22</f>
        <v>9742.7980000000007</v>
      </c>
      <c r="BQ23" s="20">
        <f>BQ20+BQ21+BQ22</f>
        <v>9946.6710000000003</v>
      </c>
      <c r="BR23" s="20">
        <f>BR20+BR21+BR22</f>
        <v>9509.7569999999996</v>
      </c>
      <c r="BS23" s="20">
        <f>BS20+BS21+BS22</f>
        <v>9931.018</v>
      </c>
    </row>
    <row r="24" spans="1:71" s="19" customFormat="1" ht="26.1" customHeight="1" x14ac:dyDescent="0.25">
      <c r="A24" s="74">
        <v>24</v>
      </c>
      <c r="B24" s="58" t="s">
        <v>121</v>
      </c>
      <c r="C24" s="93"/>
      <c r="D24" s="88"/>
      <c r="E24" s="94"/>
      <c r="F24" s="88"/>
      <c r="G24" s="88"/>
      <c r="H24" s="88"/>
      <c r="I24" s="88"/>
      <c r="J24" s="88"/>
      <c r="K24" s="88"/>
      <c r="L24" s="88"/>
      <c r="M24" s="311"/>
      <c r="N24" s="311"/>
      <c r="O24" s="311"/>
      <c r="P24" s="311"/>
      <c r="Q24" s="311"/>
      <c r="R24" s="311"/>
      <c r="S24" s="311"/>
      <c r="T24" s="88"/>
      <c r="U24" s="311"/>
      <c r="V24" s="311">
        <f t="shared" ref="V24:AW24" si="6">V18+V23</f>
        <v>119112</v>
      </c>
      <c r="W24" s="311">
        <f t="shared" si="6"/>
        <v>118051</v>
      </c>
      <c r="X24" s="311">
        <f t="shared" si="6"/>
        <v>112801.685</v>
      </c>
      <c r="Y24" s="311">
        <f t="shared" si="6"/>
        <v>108109.17800000001</v>
      </c>
      <c r="Z24" s="311">
        <f t="shared" si="6"/>
        <v>105497.158</v>
      </c>
      <c r="AA24" s="311">
        <f t="shared" si="6"/>
        <v>103757</v>
      </c>
      <c r="AB24" s="311">
        <f t="shared" si="6"/>
        <v>101744.30100000001</v>
      </c>
      <c r="AC24" s="311">
        <f t="shared" si="6"/>
        <v>99077.820999999996</v>
      </c>
      <c r="AD24" s="311">
        <f t="shared" si="6"/>
        <v>97148.575000000012</v>
      </c>
      <c r="AE24" s="219">
        <f t="shared" si="6"/>
        <v>95365.62</v>
      </c>
      <c r="AF24" s="219">
        <f t="shared" si="6"/>
        <v>95052.731</v>
      </c>
      <c r="AG24" s="219">
        <f t="shared" si="6"/>
        <v>92622.207999999999</v>
      </c>
      <c r="AH24" s="219">
        <f t="shared" si="6"/>
        <v>91902.392999999996</v>
      </c>
      <c r="AI24" s="219">
        <f t="shared" si="6"/>
        <v>91811.645999999993</v>
      </c>
      <c r="AJ24" s="219">
        <f t="shared" si="6"/>
        <v>90851.342000000004</v>
      </c>
      <c r="AK24" s="219">
        <f t="shared" si="6"/>
        <v>89199.57</v>
      </c>
      <c r="AL24" s="219">
        <f t="shared" si="6"/>
        <v>88491.005000000005</v>
      </c>
      <c r="AM24" s="219">
        <f t="shared" si="6"/>
        <v>88977.23000000001</v>
      </c>
      <c r="AN24" s="219">
        <f t="shared" si="6"/>
        <v>88059.277000000002</v>
      </c>
      <c r="AO24" s="219">
        <f t="shared" si="6"/>
        <v>82898.403999999995</v>
      </c>
      <c r="AP24" s="161">
        <f t="shared" si="6"/>
        <v>82255.764999999999</v>
      </c>
      <c r="AQ24" s="219">
        <f t="shared" si="6"/>
        <v>81625.399000000005</v>
      </c>
      <c r="AR24" s="161">
        <f t="shared" si="6"/>
        <v>82108.875</v>
      </c>
      <c r="AS24" s="46">
        <f t="shared" si="6"/>
        <v>81771.98</v>
      </c>
      <c r="AT24" s="46">
        <f t="shared" si="6"/>
        <v>82790.566000000006</v>
      </c>
      <c r="AU24" s="46">
        <f t="shared" si="6"/>
        <v>81079.570000000007</v>
      </c>
      <c r="AV24" s="46">
        <f t="shared" si="6"/>
        <v>79904.288</v>
      </c>
      <c r="AW24" s="46">
        <f t="shared" si="6"/>
        <v>64426.5</v>
      </c>
      <c r="AX24" s="46">
        <f t="shared" ref="AX24:BC24" si="7">AX18+AX23</f>
        <v>64915.157999999996</v>
      </c>
      <c r="AY24" s="46">
        <f t="shared" si="7"/>
        <v>62687.407999999996</v>
      </c>
      <c r="AZ24" s="46">
        <f t="shared" si="7"/>
        <v>59342.298999999999</v>
      </c>
      <c r="BA24" s="46">
        <f t="shared" si="7"/>
        <v>60180.195999999996</v>
      </c>
      <c r="BB24" s="46">
        <f t="shared" si="7"/>
        <v>60545.328000000009</v>
      </c>
      <c r="BC24" s="46">
        <f t="shared" si="7"/>
        <v>58011.835999999996</v>
      </c>
      <c r="BD24" s="46">
        <f t="shared" ref="BD24:BI24" si="8">BD18+BD23</f>
        <v>53931.809000000001</v>
      </c>
      <c r="BE24" s="46">
        <f t="shared" si="8"/>
        <v>51620.578000000009</v>
      </c>
      <c r="BF24" s="46">
        <f t="shared" si="8"/>
        <v>50856.904999999999</v>
      </c>
      <c r="BG24" s="46">
        <f t="shared" si="8"/>
        <v>48887.152000000002</v>
      </c>
      <c r="BH24" s="46">
        <f t="shared" si="8"/>
        <v>46210.961000000003</v>
      </c>
      <c r="BI24" s="46">
        <f t="shared" si="8"/>
        <v>46673.451999999997</v>
      </c>
      <c r="BJ24" s="20">
        <f t="shared" ref="BJ24:BS24" si="9">BJ18+BJ23</f>
        <v>46491.843000000001</v>
      </c>
      <c r="BK24" s="20">
        <f t="shared" si="9"/>
        <v>47077.192999999999</v>
      </c>
      <c r="BL24" s="20">
        <f t="shared" si="9"/>
        <v>43603.519</v>
      </c>
      <c r="BM24" s="20">
        <f t="shared" si="9"/>
        <v>39137.14</v>
      </c>
      <c r="BN24" s="20">
        <f t="shared" si="9"/>
        <v>37432.399000000005</v>
      </c>
      <c r="BO24" s="20">
        <f t="shared" si="9"/>
        <v>35868.303</v>
      </c>
      <c r="BP24" s="20">
        <f t="shared" si="9"/>
        <v>34499.874000000003</v>
      </c>
      <c r="BQ24" s="20">
        <f t="shared" si="9"/>
        <v>33530.887999999999</v>
      </c>
      <c r="BR24" s="20">
        <f t="shared" si="9"/>
        <v>33145.697</v>
      </c>
      <c r="BS24" s="20">
        <f t="shared" si="9"/>
        <v>33217.123999999996</v>
      </c>
    </row>
    <row r="25" spans="1:71" x14ac:dyDescent="0.25">
      <c r="A25" s="74">
        <v>25</v>
      </c>
      <c r="B25" s="39"/>
      <c r="C25" s="93"/>
      <c r="D25" s="88"/>
      <c r="E25" s="94"/>
      <c r="F25" s="88"/>
      <c r="G25" s="88"/>
      <c r="H25" s="88"/>
      <c r="I25" s="88"/>
      <c r="J25" s="88"/>
      <c r="K25" s="88"/>
      <c r="L25" s="88"/>
      <c r="M25" s="321"/>
      <c r="N25" s="321"/>
      <c r="O25" s="321"/>
      <c r="P25" s="321"/>
      <c r="Q25" s="321"/>
      <c r="R25" s="321"/>
      <c r="S25" s="321"/>
      <c r="T25" s="88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273"/>
      <c r="AF25" s="273"/>
      <c r="AG25" s="273"/>
      <c r="AH25" s="220"/>
      <c r="AI25" s="220"/>
      <c r="AJ25" s="220"/>
      <c r="AK25" s="220"/>
      <c r="AL25" s="220"/>
      <c r="AM25" s="220"/>
      <c r="AN25" s="220"/>
      <c r="AO25" s="220"/>
      <c r="AP25" s="170"/>
      <c r="AQ25" s="220"/>
      <c r="AR25" s="170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130"/>
      <c r="BG25" s="32"/>
      <c r="BH25" s="45"/>
      <c r="BI25" s="45"/>
      <c r="BJ25" s="11"/>
      <c r="BK25" s="11"/>
      <c r="BL25" s="11"/>
      <c r="BM25" s="11"/>
      <c r="BN25" s="11"/>
      <c r="BO25" s="11"/>
      <c r="BP25" s="11"/>
      <c r="BQ25" s="11"/>
      <c r="BR25" s="11"/>
      <c r="BS25" s="37"/>
    </row>
    <row r="26" spans="1:71" x14ac:dyDescent="0.25">
      <c r="A26" s="74">
        <v>26</v>
      </c>
      <c r="B26" s="58" t="s">
        <v>122</v>
      </c>
      <c r="C26" s="93"/>
      <c r="D26" s="88"/>
      <c r="E26" s="94"/>
      <c r="F26" s="88"/>
      <c r="G26" s="88"/>
      <c r="H26" s="88"/>
      <c r="I26" s="88"/>
      <c r="J26" s="88"/>
      <c r="K26" s="88"/>
      <c r="L26" s="88"/>
      <c r="M26" s="320"/>
      <c r="N26" s="320"/>
      <c r="O26" s="320"/>
      <c r="P26" s="320"/>
      <c r="Q26" s="320"/>
      <c r="R26" s="320"/>
      <c r="S26" s="320"/>
      <c r="T26" s="88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170"/>
      <c r="AQ26" s="220"/>
      <c r="AR26" s="170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45"/>
      <c r="BG26" s="45"/>
      <c r="BH26" s="45"/>
      <c r="BI26" s="45"/>
      <c r="BJ26" s="11"/>
      <c r="BK26" s="11"/>
      <c r="BL26" s="11"/>
      <c r="BM26" s="11"/>
      <c r="BN26" s="11"/>
      <c r="BO26" s="11"/>
      <c r="BP26" s="11"/>
      <c r="BQ26" s="11"/>
      <c r="BR26" s="11"/>
      <c r="BS26" s="37"/>
    </row>
    <row r="27" spans="1:71" x14ac:dyDescent="0.25">
      <c r="A27" s="74">
        <v>27</v>
      </c>
      <c r="B27" s="43" t="s">
        <v>123</v>
      </c>
      <c r="C27" s="93"/>
      <c r="D27" s="88"/>
      <c r="E27" s="94"/>
      <c r="F27" s="88"/>
      <c r="G27" s="88"/>
      <c r="H27" s="88"/>
      <c r="I27" s="88"/>
      <c r="J27" s="88"/>
      <c r="K27" s="88"/>
      <c r="L27" s="88"/>
      <c r="M27" s="263"/>
      <c r="N27" s="263"/>
      <c r="O27" s="263"/>
      <c r="P27" s="263"/>
      <c r="Q27" s="263"/>
      <c r="R27" s="263"/>
      <c r="S27" s="263"/>
      <c r="T27" s="88"/>
      <c r="U27" s="263"/>
      <c r="V27" s="263">
        <v>605046</v>
      </c>
      <c r="W27" s="263">
        <v>572877</v>
      </c>
      <c r="X27" s="263">
        <v>564699.424</v>
      </c>
      <c r="Y27" s="263">
        <v>564431.70700000005</v>
      </c>
      <c r="Z27" s="263">
        <v>549449.42599999998</v>
      </c>
      <c r="AA27" s="263">
        <v>544176</v>
      </c>
      <c r="AB27" s="263">
        <v>567157.25800000003</v>
      </c>
      <c r="AC27" s="263">
        <v>514038.57699999999</v>
      </c>
      <c r="AD27" s="263">
        <v>520018.43599999999</v>
      </c>
      <c r="AE27" s="171">
        <v>469929.473</v>
      </c>
      <c r="AF27" s="171">
        <v>455387.33500000002</v>
      </c>
      <c r="AG27" s="171">
        <v>448115.26</v>
      </c>
      <c r="AH27" s="171">
        <v>441755.54</v>
      </c>
      <c r="AI27" s="171">
        <v>445137.54</v>
      </c>
      <c r="AJ27" s="171">
        <v>431742.234</v>
      </c>
      <c r="AK27" s="171">
        <v>386132.68300000002</v>
      </c>
      <c r="AL27" s="171">
        <v>393559.77500000002</v>
      </c>
      <c r="AM27" s="171">
        <v>403549.91899999999</v>
      </c>
      <c r="AN27" s="171">
        <v>383648.74900000001</v>
      </c>
      <c r="AO27" s="171">
        <v>383779.092</v>
      </c>
      <c r="AP27" s="80">
        <v>402398.61099999998</v>
      </c>
      <c r="AQ27" s="171">
        <v>416867.18300000002</v>
      </c>
      <c r="AR27" s="80">
        <v>425678.81800000003</v>
      </c>
      <c r="AS27" s="80">
        <v>440282.47100000002</v>
      </c>
      <c r="AT27" s="80">
        <v>455575.74400000001</v>
      </c>
      <c r="AU27" s="80">
        <v>456087.53100000002</v>
      </c>
      <c r="AV27" s="80">
        <v>434793.94099999999</v>
      </c>
      <c r="AW27" s="80">
        <v>422101.11300000001</v>
      </c>
      <c r="AX27" s="80">
        <v>429590.54100000003</v>
      </c>
      <c r="AY27" s="80">
        <v>418110.34100000001</v>
      </c>
      <c r="AZ27" s="45">
        <v>307663.554</v>
      </c>
      <c r="BA27" s="45">
        <v>297259.76299999998</v>
      </c>
      <c r="BB27" s="45">
        <v>298121.20600000001</v>
      </c>
      <c r="BC27" s="45">
        <v>281665.89799999999</v>
      </c>
      <c r="BD27" s="45">
        <v>293582.34100000001</v>
      </c>
      <c r="BE27" s="45">
        <v>273816.29599999997</v>
      </c>
      <c r="BF27" s="45">
        <v>257280.91099999999</v>
      </c>
      <c r="BG27" s="45">
        <v>254098.198</v>
      </c>
      <c r="BH27" s="45">
        <v>246194.25</v>
      </c>
      <c r="BI27" s="45">
        <v>252725.50099999999</v>
      </c>
      <c r="BJ27" s="11">
        <v>243514.52799999999</v>
      </c>
      <c r="BK27" s="11">
        <v>246469.02799999999</v>
      </c>
      <c r="BL27" s="11">
        <v>232357.44399999999</v>
      </c>
      <c r="BM27" s="11">
        <v>222836.53</v>
      </c>
      <c r="BN27" s="11">
        <v>216319.55600000001</v>
      </c>
      <c r="BO27" s="11">
        <v>206925.24299999999</v>
      </c>
      <c r="BP27" s="11">
        <v>196425.185</v>
      </c>
      <c r="BQ27" s="11">
        <v>178836.25599999999</v>
      </c>
      <c r="BR27" s="11">
        <v>179666.889</v>
      </c>
      <c r="BS27" s="37">
        <v>177034.17499999999</v>
      </c>
    </row>
    <row r="28" spans="1:71" x14ac:dyDescent="0.25">
      <c r="A28" s="74">
        <v>28</v>
      </c>
      <c r="B28" s="43" t="s">
        <v>124</v>
      </c>
      <c r="C28" s="93"/>
      <c r="D28" s="88"/>
      <c r="E28" s="94"/>
      <c r="F28" s="88"/>
      <c r="G28" s="88"/>
      <c r="H28" s="88"/>
      <c r="I28" s="88"/>
      <c r="J28" s="88"/>
      <c r="K28" s="88"/>
      <c r="L28" s="88"/>
      <c r="M28" s="263"/>
      <c r="N28" s="263"/>
      <c r="O28" s="263"/>
      <c r="P28" s="263"/>
      <c r="Q28" s="263"/>
      <c r="R28" s="263"/>
      <c r="S28" s="263"/>
      <c r="T28" s="88"/>
      <c r="U28" s="263"/>
      <c r="V28" s="263">
        <v>58388</v>
      </c>
      <c r="W28" s="263">
        <v>39128</v>
      </c>
      <c r="X28" s="263">
        <v>34626.938000000002</v>
      </c>
      <c r="Y28" s="263">
        <v>24592.012999999999</v>
      </c>
      <c r="Z28" s="263">
        <v>18060.887999999999</v>
      </c>
      <c r="AA28" s="263">
        <v>13027</v>
      </c>
      <c r="AB28" s="263">
        <v>12283.163</v>
      </c>
      <c r="AC28" s="263">
        <v>15993.786</v>
      </c>
      <c r="AD28" s="263">
        <v>15388.463</v>
      </c>
      <c r="AE28" s="171">
        <v>20255.512999999999</v>
      </c>
      <c r="AF28" s="171">
        <v>20901.650000000001</v>
      </c>
      <c r="AG28" s="171">
        <v>24858.35</v>
      </c>
      <c r="AH28" s="171">
        <v>39125.675000000003</v>
      </c>
      <c r="AI28" s="171">
        <v>42368.987999999998</v>
      </c>
      <c r="AJ28" s="171">
        <v>44041.75</v>
      </c>
      <c r="AK28" s="171">
        <v>88196.387000000002</v>
      </c>
      <c r="AL28" s="171">
        <v>108038.788</v>
      </c>
      <c r="AM28" s="171">
        <v>90933.6</v>
      </c>
      <c r="AN28" s="171">
        <v>74768.324999999997</v>
      </c>
      <c r="AO28" s="171">
        <v>76822.725000000006</v>
      </c>
      <c r="AP28" s="80">
        <v>45931.05</v>
      </c>
      <c r="AQ28" s="171">
        <v>52505.588000000003</v>
      </c>
      <c r="AR28" s="80">
        <v>31962.705999999998</v>
      </c>
      <c r="AS28" s="80">
        <v>50907.25</v>
      </c>
      <c r="AT28" s="80">
        <v>34835.588000000003</v>
      </c>
      <c r="AU28" s="80">
        <v>29547.012999999999</v>
      </c>
      <c r="AV28" s="80">
        <v>21039.588</v>
      </c>
      <c r="AW28" s="80">
        <v>14446.538</v>
      </c>
      <c r="AX28" s="80">
        <v>7914.8</v>
      </c>
      <c r="AY28" s="80">
        <v>7324.277</v>
      </c>
      <c r="AZ28" s="45">
        <v>78071.812999999995</v>
      </c>
      <c r="BA28" s="45">
        <v>76498.187999999995</v>
      </c>
      <c r="BB28" s="45">
        <v>76953.163</v>
      </c>
      <c r="BC28" s="45">
        <v>85854.763000000006</v>
      </c>
      <c r="BD28" s="45">
        <v>71940.463000000003</v>
      </c>
      <c r="BE28" s="45">
        <v>67522.388000000006</v>
      </c>
      <c r="BF28" s="45">
        <v>71113.663</v>
      </c>
      <c r="BG28" s="45">
        <v>59851.612999999998</v>
      </c>
      <c r="BH28" s="45">
        <v>56295.625</v>
      </c>
      <c r="BI28" s="45">
        <v>65574.45</v>
      </c>
      <c r="BJ28" s="11">
        <v>59521.813000000002</v>
      </c>
      <c r="BK28" s="11">
        <v>52269.9</v>
      </c>
      <c r="BL28" s="11">
        <v>54228.588000000003</v>
      </c>
      <c r="BM28" s="11">
        <v>55711.224999999999</v>
      </c>
      <c r="BN28" s="11">
        <v>50506.775000000001</v>
      </c>
      <c r="BO28" s="11">
        <v>42980.688000000002</v>
      </c>
      <c r="BP28" s="11">
        <v>40431.525000000001</v>
      </c>
      <c r="BQ28" s="11">
        <v>34977.114999999998</v>
      </c>
      <c r="BR28" s="11">
        <v>42679.6</v>
      </c>
      <c r="BS28" s="37">
        <v>32061.413</v>
      </c>
    </row>
    <row r="29" spans="1:71" x14ac:dyDescent="0.25">
      <c r="A29" s="74">
        <v>29</v>
      </c>
      <c r="B29" s="43" t="s">
        <v>125</v>
      </c>
      <c r="C29" s="93"/>
      <c r="D29" s="88"/>
      <c r="E29" s="94"/>
      <c r="F29" s="88"/>
      <c r="G29" s="88"/>
      <c r="H29" s="88"/>
      <c r="I29" s="88"/>
      <c r="J29" s="88"/>
      <c r="K29" s="88"/>
      <c r="L29" s="88"/>
      <c r="M29" s="263"/>
      <c r="N29" s="263"/>
      <c r="O29" s="263"/>
      <c r="P29" s="263"/>
      <c r="Q29" s="263"/>
      <c r="R29" s="263"/>
      <c r="S29" s="263"/>
      <c r="T29" s="88"/>
      <c r="U29" s="263"/>
      <c r="V29" s="263">
        <v>81624</v>
      </c>
      <c r="W29" s="263">
        <v>93074</v>
      </c>
      <c r="X29" s="263">
        <v>85829.760999999999</v>
      </c>
      <c r="Y29" s="263">
        <v>85225.763999999996</v>
      </c>
      <c r="Z29" s="263">
        <v>79665.146999999997</v>
      </c>
      <c r="AA29" s="263">
        <v>83031</v>
      </c>
      <c r="AB29" s="263">
        <v>72704.292000000001</v>
      </c>
      <c r="AC29" s="263">
        <v>73792.604999999996</v>
      </c>
      <c r="AD29" s="263">
        <v>65718.957999999999</v>
      </c>
      <c r="AE29" s="171">
        <v>62399.756999999998</v>
      </c>
      <c r="AF29" s="171">
        <v>51240.940000000024</v>
      </c>
      <c r="AG29" s="171">
        <v>52024.103999999999</v>
      </c>
      <c r="AH29" s="171">
        <v>42030.15</v>
      </c>
      <c r="AI29" s="171">
        <v>46191.963000000003</v>
      </c>
      <c r="AJ29" s="171">
        <v>38860.788999999997</v>
      </c>
      <c r="AK29" s="171">
        <v>37739.067000000003</v>
      </c>
      <c r="AL29" s="171">
        <v>34456.684000000001</v>
      </c>
      <c r="AM29" s="171">
        <v>37230.021999999997</v>
      </c>
      <c r="AN29" s="171">
        <v>36642.644</v>
      </c>
      <c r="AO29" s="171">
        <v>35386.934999999998</v>
      </c>
      <c r="AP29" s="80">
        <v>29754.182000000001</v>
      </c>
      <c r="AQ29" s="171">
        <v>33000.159</v>
      </c>
      <c r="AR29" s="80">
        <v>44971.362999999998</v>
      </c>
      <c r="AS29" s="80">
        <v>31546.357</v>
      </c>
      <c r="AT29" s="80">
        <v>29404.976999999999</v>
      </c>
      <c r="AU29" s="80">
        <v>34463.254999999997</v>
      </c>
      <c r="AV29" s="80">
        <v>34577.044000000002</v>
      </c>
      <c r="AW29" s="80">
        <v>34036.663999999997</v>
      </c>
      <c r="AX29" s="80">
        <v>35300.417000000001</v>
      </c>
      <c r="AY29" s="80">
        <v>45286.824999999997</v>
      </c>
      <c r="AZ29" s="80">
        <v>38787.000999999997</v>
      </c>
      <c r="BA29" s="80">
        <v>40982.635000000002</v>
      </c>
      <c r="BB29" s="80">
        <v>42331.525999999998</v>
      </c>
      <c r="BC29" s="80">
        <v>37785.447999999997</v>
      </c>
      <c r="BD29" s="80">
        <v>49283.860999999997</v>
      </c>
      <c r="BE29" s="80">
        <v>46912.317999999999</v>
      </c>
      <c r="BF29" s="80">
        <v>42448.177000000003</v>
      </c>
      <c r="BG29" s="80">
        <v>40539.375</v>
      </c>
      <c r="BH29" s="80">
        <v>49211.408000000003</v>
      </c>
      <c r="BI29" s="45">
        <v>44652.752999999997</v>
      </c>
      <c r="BJ29" s="11">
        <v>41217.716</v>
      </c>
      <c r="BK29" s="11">
        <v>39385.819000000003</v>
      </c>
      <c r="BL29" s="11">
        <v>37703.338000000003</v>
      </c>
      <c r="BM29" s="11">
        <v>33584.945</v>
      </c>
      <c r="BN29" s="11">
        <v>28672.234</v>
      </c>
      <c r="BO29" s="11">
        <v>26872.368999999999</v>
      </c>
      <c r="BP29" s="11">
        <v>14369.197</v>
      </c>
      <c r="BQ29" s="11">
        <v>11229.904</v>
      </c>
      <c r="BR29" s="11">
        <v>8673.1970000000001</v>
      </c>
      <c r="BS29" s="37">
        <v>9515.1190000000006</v>
      </c>
    </row>
    <row r="30" spans="1:71" s="19" customFormat="1" ht="26.1" customHeight="1" x14ac:dyDescent="0.25">
      <c r="A30" s="74">
        <v>30</v>
      </c>
      <c r="B30" s="58" t="s">
        <v>126</v>
      </c>
      <c r="C30" s="93"/>
      <c r="D30" s="88"/>
      <c r="E30" s="94"/>
      <c r="F30" s="88"/>
      <c r="G30" s="88"/>
      <c r="H30" s="88"/>
      <c r="I30" s="88"/>
      <c r="J30" s="88"/>
      <c r="K30" s="88"/>
      <c r="L30" s="88"/>
      <c r="M30" s="219"/>
      <c r="N30" s="219"/>
      <c r="O30" s="219"/>
      <c r="P30" s="219"/>
      <c r="Q30" s="219"/>
      <c r="R30" s="219"/>
      <c r="S30" s="219"/>
      <c r="T30" s="88"/>
      <c r="U30" s="219"/>
      <c r="V30" s="219">
        <f>V27+V28+V29</f>
        <v>745058</v>
      </c>
      <c r="W30" s="219">
        <f>W27+W28+W29</f>
        <v>705079</v>
      </c>
      <c r="X30" s="219">
        <f t="shared" ref="X30:AC30" si="10">X27+X28+X29</f>
        <v>685156.12299999991</v>
      </c>
      <c r="Y30" s="219">
        <f t="shared" si="10"/>
        <v>674249.48400000005</v>
      </c>
      <c r="Z30" s="219">
        <f t="shared" si="10"/>
        <v>647175.46100000001</v>
      </c>
      <c r="AA30" s="219">
        <f t="shared" si="10"/>
        <v>640234</v>
      </c>
      <c r="AB30" s="219">
        <f t="shared" si="10"/>
        <v>652144.71300000011</v>
      </c>
      <c r="AC30" s="219">
        <f t="shared" si="10"/>
        <v>603824.96799999999</v>
      </c>
      <c r="AD30" s="219">
        <f t="shared" ref="AD30:BA30" si="11">AD27+AD28+AD29</f>
        <v>601125.85699999996</v>
      </c>
      <c r="AE30" s="219">
        <f t="shared" si="11"/>
        <v>552584.74300000002</v>
      </c>
      <c r="AF30" s="219">
        <f t="shared" si="11"/>
        <v>527529.92500000005</v>
      </c>
      <c r="AG30" s="219">
        <f t="shared" si="11"/>
        <v>524997.71400000004</v>
      </c>
      <c r="AH30" s="219">
        <f t="shared" si="11"/>
        <v>522911.36499999999</v>
      </c>
      <c r="AI30" s="219">
        <f t="shared" si="11"/>
        <v>533698.49100000004</v>
      </c>
      <c r="AJ30" s="219">
        <f t="shared" si="11"/>
        <v>514644.77299999999</v>
      </c>
      <c r="AK30" s="219">
        <f t="shared" si="11"/>
        <v>512068.13699999999</v>
      </c>
      <c r="AL30" s="219">
        <f t="shared" si="11"/>
        <v>536055.24699999997</v>
      </c>
      <c r="AM30" s="219">
        <f t="shared" si="11"/>
        <v>531713.54099999997</v>
      </c>
      <c r="AN30" s="219">
        <f t="shared" si="11"/>
        <v>495059.71799999999</v>
      </c>
      <c r="AO30" s="219">
        <f t="shared" si="11"/>
        <v>495988.75200000004</v>
      </c>
      <c r="AP30" s="161">
        <f t="shared" si="11"/>
        <v>478083.84299999999</v>
      </c>
      <c r="AQ30" s="219">
        <f t="shared" si="11"/>
        <v>502372.93</v>
      </c>
      <c r="AR30" s="161">
        <f t="shared" si="11"/>
        <v>502612.88700000005</v>
      </c>
      <c r="AS30" s="161">
        <f t="shared" si="11"/>
        <v>522736.07800000004</v>
      </c>
      <c r="AT30" s="161">
        <f t="shared" si="11"/>
        <v>519816.30900000001</v>
      </c>
      <c r="AU30" s="161">
        <f t="shared" si="11"/>
        <v>520097.799</v>
      </c>
      <c r="AV30" s="161">
        <f t="shared" si="11"/>
        <v>490410.57299999997</v>
      </c>
      <c r="AW30" s="161">
        <f t="shared" si="11"/>
        <v>470584.315</v>
      </c>
      <c r="AX30" s="161">
        <f t="shared" si="11"/>
        <v>472805.75800000003</v>
      </c>
      <c r="AY30" s="161">
        <f t="shared" si="11"/>
        <v>470721.44300000003</v>
      </c>
      <c r="AZ30" s="46">
        <f t="shared" si="11"/>
        <v>424522.36799999996</v>
      </c>
      <c r="BA30" s="46">
        <f t="shared" si="11"/>
        <v>414740.58600000001</v>
      </c>
      <c r="BB30" s="46">
        <f t="shared" ref="BB30:BG30" si="12">BB27+BB28+BB29</f>
        <v>417405.89500000002</v>
      </c>
      <c r="BC30" s="46">
        <f t="shared" si="12"/>
        <v>405306.10899999994</v>
      </c>
      <c r="BD30" s="46">
        <f t="shared" si="12"/>
        <v>414806.66499999998</v>
      </c>
      <c r="BE30" s="46">
        <f t="shared" si="12"/>
        <v>388251.00199999998</v>
      </c>
      <c r="BF30" s="46">
        <f t="shared" si="12"/>
        <v>370842.75100000005</v>
      </c>
      <c r="BG30" s="46">
        <f t="shared" si="12"/>
        <v>354489.18599999999</v>
      </c>
      <c r="BH30" s="46">
        <f t="shared" ref="BH30:BN30" si="13">BH27+BH28+BH29</f>
        <v>351701.283</v>
      </c>
      <c r="BI30" s="46">
        <f t="shared" si="13"/>
        <v>362952.70400000003</v>
      </c>
      <c r="BJ30" s="20">
        <f t="shared" si="13"/>
        <v>344254.05700000003</v>
      </c>
      <c r="BK30" s="20">
        <f t="shared" si="13"/>
        <v>338124.74700000003</v>
      </c>
      <c r="BL30" s="20">
        <f t="shared" si="13"/>
        <v>324289.37</v>
      </c>
      <c r="BM30" s="20">
        <f t="shared" si="13"/>
        <v>312132.7</v>
      </c>
      <c r="BN30" s="20">
        <f t="shared" si="13"/>
        <v>295498.565</v>
      </c>
      <c r="BO30" s="20">
        <f>BO27+BO28+BO29</f>
        <v>276778.3</v>
      </c>
      <c r="BP30" s="20">
        <f>BP27+BP28+BP29</f>
        <v>251225.90700000001</v>
      </c>
      <c r="BQ30" s="20">
        <f>BQ27+BQ28+BQ29</f>
        <v>225043.27499999999</v>
      </c>
      <c r="BR30" s="20">
        <f>BR27+BR28+BR29</f>
        <v>231019.68599999999</v>
      </c>
      <c r="BS30" s="20">
        <f>BS27+BS28+BS29</f>
        <v>218610.70699999999</v>
      </c>
    </row>
    <row r="31" spans="1:71" s="19" customFormat="1" x14ac:dyDescent="0.25">
      <c r="A31" s="74">
        <v>31</v>
      </c>
      <c r="B31" s="58"/>
      <c r="C31" s="93"/>
      <c r="D31" s="88"/>
      <c r="E31" s="94"/>
      <c r="F31" s="88"/>
      <c r="G31" s="88"/>
      <c r="H31" s="88"/>
      <c r="I31" s="88"/>
      <c r="J31" s="88"/>
      <c r="K31" s="88"/>
      <c r="L31" s="88"/>
      <c r="M31" s="161"/>
      <c r="N31" s="161"/>
      <c r="O31" s="161"/>
      <c r="P31" s="161"/>
      <c r="Q31" s="161"/>
      <c r="R31" s="161"/>
      <c r="S31" s="161"/>
      <c r="T31" s="88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20"/>
      <c r="BK31" s="20"/>
      <c r="BL31" s="20"/>
      <c r="BM31" s="20"/>
      <c r="BN31" s="20"/>
      <c r="BO31" s="20"/>
      <c r="BP31" s="20"/>
      <c r="BQ31" s="20"/>
      <c r="BR31" s="20"/>
    </row>
    <row r="32" spans="1:71" s="19" customFormat="1" ht="26.1" customHeight="1" x14ac:dyDescent="0.25">
      <c r="A32" s="74">
        <v>32</v>
      </c>
      <c r="B32" s="58" t="s">
        <v>17</v>
      </c>
      <c r="C32" s="93"/>
      <c r="D32" s="88"/>
      <c r="E32" s="94"/>
      <c r="F32" s="88"/>
      <c r="G32" s="88"/>
      <c r="H32" s="88"/>
      <c r="I32" s="88"/>
      <c r="J32" s="88"/>
      <c r="K32" s="88"/>
      <c r="L32" s="88"/>
      <c r="M32" s="172"/>
      <c r="N32" s="172"/>
      <c r="O32" s="172"/>
      <c r="P32" s="172"/>
      <c r="Q32" s="172"/>
      <c r="R32" s="172"/>
      <c r="S32" s="172"/>
      <c r="T32" s="88"/>
      <c r="U32" s="172"/>
      <c r="V32" s="172">
        <f t="shared" ref="V32:AD32" si="14">V24/V30</f>
        <v>0.15986943298374087</v>
      </c>
      <c r="W32" s="172">
        <f t="shared" si="14"/>
        <v>0.1674294653506912</v>
      </c>
      <c r="X32" s="172">
        <f t="shared" si="14"/>
        <v>0.16463646928540987</v>
      </c>
      <c r="Y32" s="172">
        <f t="shared" si="14"/>
        <v>0.16034002333771161</v>
      </c>
      <c r="Z32" s="172">
        <f t="shared" si="14"/>
        <v>0.16301167821936313</v>
      </c>
      <c r="AA32" s="172">
        <f t="shared" si="14"/>
        <v>0.16206105892533043</v>
      </c>
      <c r="AB32" s="172">
        <f t="shared" si="14"/>
        <v>0.15601491351812891</v>
      </c>
      <c r="AC32" s="172">
        <f t="shared" si="14"/>
        <v>0.1640836769770673</v>
      </c>
      <c r="AD32" s="172">
        <f t="shared" si="14"/>
        <v>0.16161104013198357</v>
      </c>
      <c r="AE32" s="172">
        <f t="shared" ref="AE32:AJ32" si="15">AE24/AE30</f>
        <v>0.17258098637008512</v>
      </c>
      <c r="AF32" s="172">
        <f t="shared" si="15"/>
        <v>0.18018452886819641</v>
      </c>
      <c r="AG32" s="172">
        <f t="shared" si="15"/>
        <v>0.17642402153392994</v>
      </c>
      <c r="AH32" s="172">
        <f t="shared" si="15"/>
        <v>0.1757513780562027</v>
      </c>
      <c r="AI32" s="172">
        <f t="shared" si="15"/>
        <v>0.17202905301075694</v>
      </c>
      <c r="AJ32" s="172">
        <f t="shared" si="15"/>
        <v>0.17653213782859115</v>
      </c>
      <c r="AK32" s="172">
        <f t="shared" ref="AK32:AU32" si="16">AK24/AK30</f>
        <v>0.17419472830819779</v>
      </c>
      <c r="AL32" s="172">
        <f t="shared" si="16"/>
        <v>0.16507814352202396</v>
      </c>
      <c r="AM32" s="172">
        <f t="shared" si="16"/>
        <v>0.16734053797587978</v>
      </c>
      <c r="AN32" s="172">
        <f t="shared" si="16"/>
        <v>0.17787606989264274</v>
      </c>
      <c r="AO32" s="172">
        <f t="shared" si="16"/>
        <v>0.16713766928327436</v>
      </c>
      <c r="AP32" s="172">
        <f t="shared" si="16"/>
        <v>0.17205301163043069</v>
      </c>
      <c r="AQ32" s="172">
        <f t="shared" si="16"/>
        <v>0.16247969212831592</v>
      </c>
      <c r="AR32" s="172">
        <f t="shared" si="16"/>
        <v>0.16336404641371638</v>
      </c>
      <c r="AS32" s="59">
        <f t="shared" si="16"/>
        <v>0.15643071798843775</v>
      </c>
      <c r="AT32" s="59">
        <f t="shared" si="16"/>
        <v>0.15926888896438993</v>
      </c>
      <c r="AU32" s="59">
        <f t="shared" si="16"/>
        <v>0.15589293043710806</v>
      </c>
      <c r="AV32" s="59">
        <f t="shared" ref="AV32:BA32" si="17">AV24/AV30</f>
        <v>0.16293345290498051</v>
      </c>
      <c r="AW32" s="59">
        <f t="shared" si="17"/>
        <v>0.13690745302465085</v>
      </c>
      <c r="AX32" s="59">
        <f t="shared" si="17"/>
        <v>0.1372977314713667</v>
      </c>
      <c r="AY32" s="59">
        <f t="shared" si="17"/>
        <v>0.13317304518885067</v>
      </c>
      <c r="AZ32" s="59">
        <f t="shared" si="17"/>
        <v>0.13978603596218517</v>
      </c>
      <c r="BA32" s="59">
        <f t="shared" si="17"/>
        <v>0.14510322363290482</v>
      </c>
      <c r="BB32" s="59">
        <f t="shared" ref="BB32:BG32" si="18">BB24/BB30</f>
        <v>0.14505144446989662</v>
      </c>
      <c r="BC32" s="59">
        <f t="shared" si="18"/>
        <v>0.14313091935162517</v>
      </c>
      <c r="BD32" s="59">
        <f t="shared" si="18"/>
        <v>0.13001673683329076</v>
      </c>
      <c r="BE32" s="59">
        <f t="shared" si="18"/>
        <v>0.13295671546006727</v>
      </c>
      <c r="BF32" s="59">
        <f t="shared" si="18"/>
        <v>0.13713873296123832</v>
      </c>
      <c r="BG32" s="59">
        <f t="shared" si="18"/>
        <v>0.1379087259378344</v>
      </c>
      <c r="BH32" s="59">
        <f t="shared" ref="BH32:BS32" si="19">BH24/BH30</f>
        <v>0.13139264265919667</v>
      </c>
      <c r="BI32" s="59">
        <f t="shared" si="19"/>
        <v>0.12859375749408936</v>
      </c>
      <c r="BJ32" s="59">
        <f t="shared" si="19"/>
        <v>0.13505096615317447</v>
      </c>
      <c r="BK32" s="33">
        <f t="shared" si="19"/>
        <v>0.13923024983439025</v>
      </c>
      <c r="BL32" s="33">
        <f t="shared" si="19"/>
        <v>0.1344586749790781</v>
      </c>
      <c r="BM32" s="33">
        <f t="shared" si="19"/>
        <v>0.12538622194983096</v>
      </c>
      <c r="BN32" s="33">
        <f t="shared" si="19"/>
        <v>0.12667540026801824</v>
      </c>
      <c r="BO32" s="33">
        <f t="shared" si="19"/>
        <v>0.12959217901114359</v>
      </c>
      <c r="BP32" s="33">
        <f t="shared" si="19"/>
        <v>0.13732609989144154</v>
      </c>
      <c r="BQ32" s="33">
        <f t="shared" si="19"/>
        <v>0.14899751170080511</v>
      </c>
      <c r="BR32" s="33">
        <f t="shared" si="19"/>
        <v>0.14347563869513702</v>
      </c>
      <c r="BS32" s="33">
        <f t="shared" si="19"/>
        <v>0.1519464643605036</v>
      </c>
    </row>
    <row r="33" spans="1:72" s="19" customFormat="1" ht="26.1" customHeight="1" x14ac:dyDescent="0.25">
      <c r="A33" s="74">
        <v>33</v>
      </c>
      <c r="B33" s="58" t="s">
        <v>161</v>
      </c>
      <c r="C33" s="93"/>
      <c r="D33" s="88"/>
      <c r="E33" s="94"/>
      <c r="F33" s="88"/>
      <c r="G33" s="88"/>
      <c r="H33" s="88"/>
      <c r="I33" s="88"/>
      <c r="J33" s="88"/>
      <c r="K33" s="88"/>
      <c r="L33" s="88"/>
      <c r="M33" s="172"/>
      <c r="N33" s="172"/>
      <c r="O33" s="172"/>
      <c r="P33" s="172"/>
      <c r="Q33" s="172"/>
      <c r="R33" s="172"/>
      <c r="S33" s="172"/>
      <c r="T33" s="88"/>
      <c r="U33" s="172"/>
      <c r="V33" s="172">
        <f t="shared" ref="V33:AD33" si="20">V18/V30</f>
        <v>0.13774229657288425</v>
      </c>
      <c r="W33" s="172">
        <f t="shared" si="20"/>
        <v>0.1416550485832084</v>
      </c>
      <c r="X33" s="172">
        <f t="shared" si="20"/>
        <v>0.13817221918047431</v>
      </c>
      <c r="Y33" s="172">
        <f t="shared" si="20"/>
        <v>0.13316269293577984</v>
      </c>
      <c r="Z33" s="172">
        <f t="shared" si="20"/>
        <v>0.13455773626744477</v>
      </c>
      <c r="AA33" s="172">
        <f t="shared" si="20"/>
        <v>0.13227819828375251</v>
      </c>
      <c r="AB33" s="172">
        <f t="shared" si="20"/>
        <v>0.12650359092921143</v>
      </c>
      <c r="AC33" s="172">
        <f t="shared" si="20"/>
        <v>0.13206839270680837</v>
      </c>
      <c r="AD33" s="172">
        <f t="shared" si="20"/>
        <v>0.12930947836436191</v>
      </c>
      <c r="AE33" s="172">
        <f t="shared" ref="AE33:AJ33" si="21">AE18/AE30</f>
        <v>0.13633245570806504</v>
      </c>
      <c r="AF33" s="172">
        <f t="shared" si="21"/>
        <v>0.14122625934443436</v>
      </c>
      <c r="AG33" s="172">
        <f t="shared" si="21"/>
        <v>0.13807933647497747</v>
      </c>
      <c r="AH33" s="172">
        <f t="shared" si="21"/>
        <v>0.13774939276754866</v>
      </c>
      <c r="AI33" s="172">
        <f t="shared" si="21"/>
        <v>0.13399097843804844</v>
      </c>
      <c r="AJ33" s="172">
        <f t="shared" si="21"/>
        <v>0.13536994574702502</v>
      </c>
      <c r="AK33" s="172">
        <f t="shared" ref="AK33:BD33" si="22">AK18/AK30</f>
        <v>0.1310002246829898</v>
      </c>
      <c r="AL33" s="172">
        <f t="shared" si="22"/>
        <v>0.12120167345363192</v>
      </c>
      <c r="AM33" s="172">
        <f t="shared" si="22"/>
        <v>0.12390235704002883</v>
      </c>
      <c r="AN33" s="172">
        <f t="shared" si="22"/>
        <v>0.12953313644476322</v>
      </c>
      <c r="AO33" s="172">
        <f t="shared" si="22"/>
        <v>0.11787975385377286</v>
      </c>
      <c r="AP33" s="172">
        <f t="shared" si="22"/>
        <v>0.11866571696713875</v>
      </c>
      <c r="AQ33" s="172">
        <f t="shared" si="22"/>
        <v>0.10998867315561768</v>
      </c>
      <c r="AR33" s="172">
        <f t="shared" si="22"/>
        <v>0.10745485322185938</v>
      </c>
      <c r="AS33" s="59">
        <f t="shared" si="22"/>
        <v>0.1013385745301475</v>
      </c>
      <c r="AT33" s="59">
        <f t="shared" si="22"/>
        <v>9.9950711627249084E-2</v>
      </c>
      <c r="AU33" s="59">
        <f t="shared" si="22"/>
        <v>9.8763544277179316E-2</v>
      </c>
      <c r="AV33" s="59">
        <f t="shared" si="22"/>
        <v>0.10284267464192703</v>
      </c>
      <c r="AW33" s="59">
        <f t="shared" si="22"/>
        <v>0.10479569638864823</v>
      </c>
      <c r="AX33" s="59">
        <f t="shared" si="22"/>
        <v>0.1032834608583595</v>
      </c>
      <c r="AY33" s="59">
        <f t="shared" si="22"/>
        <v>0.10160293462560616</v>
      </c>
      <c r="AZ33" s="59">
        <f t="shared" si="22"/>
        <v>0.11315050423915472</v>
      </c>
      <c r="BA33" s="59">
        <f t="shared" si="22"/>
        <v>0.11285657970305321</v>
      </c>
      <c r="BB33" s="59">
        <f t="shared" si="22"/>
        <v>0.10927687544997419</v>
      </c>
      <c r="BC33" s="59">
        <f t="shared" si="22"/>
        <v>0.1084051017844392</v>
      </c>
      <c r="BD33" s="59">
        <f t="shared" si="22"/>
        <v>9.8498593314550534E-2</v>
      </c>
      <c r="BE33" s="59">
        <f t="shared" ref="BE33:BJ33" si="23">BE18/BE30</f>
        <v>9.3307027704721823E-2</v>
      </c>
      <c r="BF33" s="59">
        <f t="shared" si="23"/>
        <v>9.7536521618566019E-2</v>
      </c>
      <c r="BG33" s="59">
        <f t="shared" si="23"/>
        <v>9.8989710789090191E-2</v>
      </c>
      <c r="BH33" s="59">
        <f t="shared" si="23"/>
        <v>9.826790424304481E-2</v>
      </c>
      <c r="BI33" s="59">
        <f t="shared" si="23"/>
        <v>9.33022419361835E-2</v>
      </c>
      <c r="BJ33" s="59">
        <f t="shared" si="23"/>
        <v>0.1003437208584589</v>
      </c>
      <c r="BK33" s="33">
        <f t="shared" ref="BK33:BS33" si="24">BK18/BK30</f>
        <v>0.10171997259934364</v>
      </c>
      <c r="BL33" s="33">
        <f t="shared" si="24"/>
        <v>0.10527522070797449</v>
      </c>
      <c r="BM33" s="33">
        <f t="shared" si="24"/>
        <v>9.6989844383494589E-2</v>
      </c>
      <c r="BN33" s="33">
        <f t="shared" si="24"/>
        <v>9.6996196918925817E-2</v>
      </c>
      <c r="BO33" s="33">
        <f t="shared" si="24"/>
        <v>9.6004094251608607E-2</v>
      </c>
      <c r="BP33" s="33">
        <f t="shared" si="24"/>
        <v>9.854507560798656E-2</v>
      </c>
      <c r="BQ33" s="33">
        <f t="shared" si="24"/>
        <v>0.10479858596085576</v>
      </c>
      <c r="BR33" s="33">
        <f t="shared" si="24"/>
        <v>0.10231136752562292</v>
      </c>
      <c r="BS33" s="33">
        <f t="shared" si="24"/>
        <v>0.10651859792027478</v>
      </c>
    </row>
    <row r="34" spans="1:72" ht="15" customHeight="1" x14ac:dyDescent="0.25">
      <c r="A34" s="74">
        <v>34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G34" s="19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32"/>
    </row>
    <row r="35" spans="1:72" ht="15" customHeight="1" x14ac:dyDescent="0.25">
      <c r="A35" s="74">
        <v>35</v>
      </c>
      <c r="BH35" s="32"/>
      <c r="BI35" s="10"/>
      <c r="BJ35" s="10"/>
      <c r="BK35" s="10"/>
      <c r="BL35" s="10"/>
      <c r="BM35" s="10"/>
      <c r="BN35" s="10"/>
      <c r="BO35" s="10"/>
      <c r="BP35" s="10"/>
      <c r="BQ35" s="10"/>
      <c r="BR35" s="10"/>
    </row>
    <row r="36" spans="1:72" ht="15" customHeight="1" x14ac:dyDescent="0.25">
      <c r="A36" s="74">
        <v>36</v>
      </c>
    </row>
    <row r="37" spans="1:72" x14ac:dyDescent="0.25">
      <c r="A37" s="74">
        <v>37</v>
      </c>
      <c r="B37" s="453" t="s">
        <v>430</v>
      </c>
      <c r="C37" s="470" t="s">
        <v>201</v>
      </c>
      <c r="D37" s="472" t="s">
        <v>202</v>
      </c>
      <c r="E37" s="468" t="s">
        <v>297</v>
      </c>
      <c r="F37" s="446">
        <v>46203</v>
      </c>
      <c r="G37" s="446">
        <v>46112</v>
      </c>
      <c r="H37" s="446">
        <v>46022</v>
      </c>
      <c r="I37" s="446">
        <v>45930</v>
      </c>
      <c r="J37" s="446">
        <v>45838</v>
      </c>
      <c r="K37" s="446">
        <v>45747</v>
      </c>
      <c r="L37" s="446">
        <v>45657</v>
      </c>
      <c r="M37" s="446">
        <v>45565</v>
      </c>
      <c r="N37" s="446">
        <v>45473</v>
      </c>
      <c r="O37" s="446">
        <v>45382</v>
      </c>
      <c r="P37" s="446">
        <v>45291</v>
      </c>
      <c r="Q37" s="446">
        <v>45199</v>
      </c>
      <c r="R37" s="446">
        <v>45107</v>
      </c>
      <c r="S37" s="446">
        <v>45016</v>
      </c>
      <c r="T37" s="446">
        <v>44926</v>
      </c>
      <c r="U37" s="446">
        <v>44834</v>
      </c>
      <c r="V37" s="446">
        <v>44742</v>
      </c>
      <c r="W37" s="446">
        <v>44651</v>
      </c>
      <c r="X37" s="446">
        <v>44561</v>
      </c>
      <c r="Y37" s="446">
        <v>44469</v>
      </c>
      <c r="Z37" s="446">
        <v>44377</v>
      </c>
      <c r="AA37" s="446">
        <v>44286</v>
      </c>
      <c r="AB37" s="446">
        <v>44196</v>
      </c>
      <c r="AC37" s="446">
        <v>44104</v>
      </c>
      <c r="AD37" s="446">
        <v>44012</v>
      </c>
      <c r="AE37" s="446">
        <v>43921</v>
      </c>
      <c r="AF37" s="446">
        <v>43830</v>
      </c>
      <c r="AG37" s="446">
        <v>43738</v>
      </c>
      <c r="AH37" s="446">
        <v>43646</v>
      </c>
      <c r="AI37" s="446">
        <v>43555</v>
      </c>
      <c r="AJ37" s="446">
        <v>43465</v>
      </c>
      <c r="AK37" s="446">
        <v>43373</v>
      </c>
      <c r="AL37" s="446">
        <v>43281</v>
      </c>
      <c r="AM37" s="446">
        <v>43190</v>
      </c>
      <c r="AN37" s="446">
        <v>43100</v>
      </c>
      <c r="AO37" s="446">
        <v>43008</v>
      </c>
      <c r="AP37" s="446">
        <v>42916</v>
      </c>
      <c r="AQ37" s="446">
        <v>42825</v>
      </c>
      <c r="AR37" s="446">
        <v>42735</v>
      </c>
      <c r="AS37" s="446">
        <v>42643</v>
      </c>
      <c r="AT37" s="446">
        <v>42551</v>
      </c>
      <c r="AU37" s="446">
        <v>42460</v>
      </c>
      <c r="AV37" s="446">
        <v>42369</v>
      </c>
      <c r="AW37" s="446">
        <v>42277</v>
      </c>
      <c r="AX37" s="446">
        <v>42185</v>
      </c>
      <c r="AY37" s="446">
        <v>42094</v>
      </c>
      <c r="AZ37" s="446">
        <v>42004</v>
      </c>
      <c r="BA37" s="446">
        <v>41912</v>
      </c>
      <c r="BB37" s="446">
        <v>41820</v>
      </c>
      <c r="BC37" s="446">
        <v>41729</v>
      </c>
      <c r="BD37" s="446">
        <v>41639</v>
      </c>
      <c r="BE37" s="446">
        <v>41547</v>
      </c>
      <c r="BF37" s="446">
        <v>41455</v>
      </c>
      <c r="BG37" s="446">
        <v>41364</v>
      </c>
      <c r="BH37" s="446">
        <v>41274</v>
      </c>
      <c r="BI37" s="446">
        <v>41182</v>
      </c>
      <c r="BJ37" s="446">
        <v>41090</v>
      </c>
      <c r="BK37" s="446">
        <v>40999</v>
      </c>
      <c r="BL37" s="446">
        <v>40908</v>
      </c>
      <c r="BM37" s="446">
        <v>40816</v>
      </c>
      <c r="BN37" s="446">
        <v>40724</v>
      </c>
      <c r="BO37" s="446">
        <v>40633</v>
      </c>
      <c r="BP37" s="446">
        <v>40543</v>
      </c>
      <c r="BQ37" s="446">
        <v>40451</v>
      </c>
      <c r="BR37" s="446">
        <v>40359</v>
      </c>
      <c r="BS37" s="446">
        <v>40268</v>
      </c>
      <c r="BT37" s="446">
        <v>40178</v>
      </c>
    </row>
    <row r="38" spans="1:72" x14ac:dyDescent="0.25">
      <c r="A38" s="74">
        <v>38</v>
      </c>
      <c r="B38" s="454"/>
      <c r="C38" s="471"/>
      <c r="D38" s="473"/>
      <c r="E38" s="478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447"/>
      <c r="R38" s="447"/>
      <c r="S38" s="447"/>
      <c r="T38" s="447"/>
      <c r="U38" s="447"/>
      <c r="V38" s="447"/>
      <c r="W38" s="447"/>
      <c r="X38" s="447"/>
      <c r="Y38" s="447"/>
      <c r="Z38" s="447"/>
      <c r="AA38" s="447"/>
      <c r="AB38" s="447"/>
      <c r="AC38" s="448"/>
      <c r="AD38" s="448"/>
      <c r="AE38" s="448"/>
      <c r="AF38" s="447"/>
      <c r="AG38" s="447"/>
      <c r="AH38" s="447"/>
      <c r="AI38" s="447"/>
      <c r="AJ38" s="447"/>
      <c r="AK38" s="447"/>
      <c r="AL38" s="447"/>
      <c r="AM38" s="447"/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447"/>
      <c r="BH38" s="447"/>
      <c r="BI38" s="447"/>
      <c r="BJ38" s="447"/>
      <c r="BK38" s="447"/>
      <c r="BL38" s="447"/>
      <c r="BM38" s="447"/>
      <c r="BN38" s="447"/>
      <c r="BO38" s="447"/>
      <c r="BP38" s="447"/>
      <c r="BQ38" s="447"/>
      <c r="BR38" s="447"/>
      <c r="BS38" s="447"/>
      <c r="BT38" s="447"/>
    </row>
    <row r="39" spans="1:72" ht="15.75" x14ac:dyDescent="0.25">
      <c r="A39" s="74">
        <v>39</v>
      </c>
      <c r="B39" s="34"/>
      <c r="C39" s="89"/>
      <c r="D39" s="57"/>
      <c r="E39" s="281"/>
      <c r="F39" s="290"/>
      <c r="G39" s="29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0"/>
      <c r="AF39" s="290"/>
      <c r="AG39" s="222"/>
      <c r="AH39" s="222"/>
      <c r="AI39" s="222"/>
      <c r="AJ39" s="222"/>
      <c r="AK39" s="222"/>
      <c r="AL39" s="222"/>
      <c r="AM39" s="222"/>
      <c r="AN39" s="222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34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</row>
    <row r="40" spans="1:72" s="5" customFormat="1" x14ac:dyDescent="0.25">
      <c r="A40" s="74">
        <v>40</v>
      </c>
      <c r="B40" s="143" t="s">
        <v>233</v>
      </c>
      <c r="C40" s="93">
        <f ca="1">OFFSET($E$7,$A40-$A$7,1,1,1)-OFFSET($E$7,$A40-$A$7,2,1,1)</f>
        <v>-2.3680000000000007E-2</v>
      </c>
      <c r="D40" s="88">
        <f ca="1">OFFSET($E$7,$A40-$A$7,1,1,1)-OFFSET($E$7,$A40-$A$7,5,1,1)</f>
        <v>6.4199999999999813E-3</v>
      </c>
      <c r="E40" s="282">
        <f ca="1">OFFSET($E$7,$A40-$A$7,1,1,1)-OFFSET($E$7,$A40-$A$7,IF(MONTH(MAX($7:$7))=3,2,IF(MONTH(MAX($7:$7))=6,3,IF(MONTH(MAX($7:$7))=9,4,5)))*1,1)</f>
        <v>-2.4279999999999996E-2</v>
      </c>
      <c r="F40" s="362">
        <v>0.17294999999999999</v>
      </c>
      <c r="G40" s="362">
        <v>0.19663</v>
      </c>
      <c r="H40" s="362">
        <v>0.19722999999999999</v>
      </c>
      <c r="I40" s="362">
        <v>0.17288000000000001</v>
      </c>
      <c r="J40" s="362">
        <v>0.16653000000000001</v>
      </c>
      <c r="K40" s="362">
        <v>0.19528999999999999</v>
      </c>
      <c r="L40" s="362">
        <v>0.20444999999999999</v>
      </c>
      <c r="M40" s="362">
        <v>0.17016000000000001</v>
      </c>
      <c r="N40" s="362">
        <v>0.17011999999999999</v>
      </c>
      <c r="O40" s="362">
        <v>0.18346999999999999</v>
      </c>
      <c r="P40" s="362">
        <v>0.1862</v>
      </c>
      <c r="Q40" s="362">
        <v>0.15347</v>
      </c>
      <c r="R40" s="207">
        <v>0.16683000000000001</v>
      </c>
      <c r="S40" s="207">
        <v>0.17341999999999999</v>
      </c>
      <c r="T40" s="207">
        <v>0.18129999999999999</v>
      </c>
      <c r="U40" s="207">
        <v>0.16808000000000001</v>
      </c>
      <c r="V40" s="207">
        <v>0.1336</v>
      </c>
      <c r="W40" s="207">
        <v>0.11015999999999999</v>
      </c>
      <c r="X40" s="207">
        <v>0.1115</v>
      </c>
      <c r="Y40" s="207">
        <v>0.10237</v>
      </c>
      <c r="Z40" s="207">
        <v>9.8000000000000004E-2</v>
      </c>
      <c r="AA40" s="207">
        <v>0.10204000000000001</v>
      </c>
      <c r="AB40" s="207">
        <v>0.10600999999999999</v>
      </c>
      <c r="AC40" s="207">
        <v>9.783E-2</v>
      </c>
      <c r="AD40" s="207">
        <v>0.10780000000000001</v>
      </c>
      <c r="AE40" s="207">
        <v>0.10403999999999999</v>
      </c>
      <c r="AF40" s="207">
        <v>0.11508</v>
      </c>
      <c r="AG40" s="207">
        <v>9.9709999999999993E-2</v>
      </c>
      <c r="AH40" s="207">
        <v>0.10373</v>
      </c>
      <c r="AI40" s="207">
        <v>0.10425</v>
      </c>
      <c r="AJ40" s="207">
        <v>0.10100000000000001</v>
      </c>
      <c r="AK40" s="207">
        <v>9.2740000000000003E-2</v>
      </c>
      <c r="AL40" s="207">
        <v>0.10226</v>
      </c>
      <c r="AM40" s="207">
        <v>0.10781</v>
      </c>
      <c r="AN40" s="207">
        <v>0.10050000000000001</v>
      </c>
      <c r="AO40" s="207">
        <v>0.10287</v>
      </c>
      <c r="AP40" s="207">
        <v>8.9499999999999996E-2</v>
      </c>
      <c r="AQ40" s="207">
        <v>8.9899999999999994E-2</v>
      </c>
      <c r="AR40" s="207">
        <v>9.1999999999999998E-2</v>
      </c>
      <c r="AS40" s="207">
        <v>8.7800000000000003E-2</v>
      </c>
      <c r="AT40" s="207">
        <v>8.7599999999999997E-2</v>
      </c>
      <c r="AU40" s="207">
        <v>8.8800000000000004E-2</v>
      </c>
      <c r="AV40" s="207">
        <v>8.7999999999999995E-2</v>
      </c>
      <c r="AW40" s="207">
        <v>8.4199999999999997E-2</v>
      </c>
      <c r="AX40" s="207">
        <v>9.4799999999999995E-2</v>
      </c>
      <c r="AY40" s="207">
        <v>9.5000000000000001E-2</v>
      </c>
      <c r="AZ40" s="207">
        <v>0.08</v>
      </c>
      <c r="BA40" s="207">
        <v>9.0899999999999995E-2</v>
      </c>
      <c r="BB40" s="207">
        <v>9.2200000000000004E-2</v>
      </c>
      <c r="BC40" s="207">
        <v>9.11E-2</v>
      </c>
      <c r="BD40" s="207">
        <v>8.3000000000000004E-2</v>
      </c>
      <c r="BE40" s="207"/>
      <c r="BF40" s="13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</row>
    <row r="41" spans="1:72" x14ac:dyDescent="0.25">
      <c r="A41" s="74">
        <v>41</v>
      </c>
      <c r="B41" s="143" t="s">
        <v>234</v>
      </c>
      <c r="C41" s="93">
        <f ca="1">OFFSET($E$7,$A41-$A$7,1,1,1)-OFFSET($E$7,$A41-$A$7,2,1,1)</f>
        <v>-2.3680000000000007E-2</v>
      </c>
      <c r="D41" s="88">
        <f ca="1">OFFSET($E$7,$A41-$A$7,1,1,1)-OFFSET($E$7,$A41-$A$7,5,1,1)</f>
        <v>6.4199999999999813E-3</v>
      </c>
      <c r="E41" s="282">
        <f ca="1">OFFSET($E$7,$A41-$A$7,1,1,1)-OFFSET($E$7,$A41-$A$7,IF(MONTH(MAX($7:$7))=3,2,IF(MONTH(MAX($7:$7))=6,3,IF(MONTH(MAX($7:$7))=9,4,5)))*1,1)</f>
        <v>-2.4279999999999996E-2</v>
      </c>
      <c r="F41" s="362">
        <v>0.17294999999999999</v>
      </c>
      <c r="G41" s="362">
        <v>0.19663</v>
      </c>
      <c r="H41" s="362">
        <v>0.19722999999999999</v>
      </c>
      <c r="I41" s="362">
        <v>0.17288000000000001</v>
      </c>
      <c r="J41" s="362">
        <v>0.16653000000000001</v>
      </c>
      <c r="K41" s="362">
        <v>0.19528999999999999</v>
      </c>
      <c r="L41" s="362">
        <v>0.20444999999999999</v>
      </c>
      <c r="M41" s="362">
        <v>0.17016000000000001</v>
      </c>
      <c r="N41" s="362">
        <v>0.17011999999999999</v>
      </c>
      <c r="O41" s="362">
        <v>0.18346999999999999</v>
      </c>
      <c r="P41" s="362">
        <v>0.1862</v>
      </c>
      <c r="Q41" s="362">
        <v>0.15347</v>
      </c>
      <c r="R41" s="207">
        <v>0.16683000000000001</v>
      </c>
      <c r="S41" s="207">
        <v>0.17341999999999999</v>
      </c>
      <c r="T41" s="207">
        <v>0.18129999999999999</v>
      </c>
      <c r="U41" s="207">
        <v>0.16808000000000001</v>
      </c>
      <c r="V41" s="207">
        <v>0.1336</v>
      </c>
      <c r="W41" s="207">
        <v>0.11015999999999999</v>
      </c>
      <c r="X41" s="207">
        <v>0.1115</v>
      </c>
      <c r="Y41" s="207">
        <v>0.10237</v>
      </c>
      <c r="Z41" s="207">
        <v>9.8000000000000004E-2</v>
      </c>
      <c r="AA41" s="207">
        <v>0.10204000000000001</v>
      </c>
      <c r="AB41" s="207">
        <v>0.10600999999999999</v>
      </c>
      <c r="AC41" s="207">
        <v>9.783E-2</v>
      </c>
      <c r="AD41" s="207">
        <v>0.10780000000000001</v>
      </c>
      <c r="AE41" s="207">
        <v>0.10403999999999999</v>
      </c>
      <c r="AF41" s="207">
        <v>0.11508</v>
      </c>
      <c r="AG41" s="207">
        <v>9.9709999999999993E-2</v>
      </c>
      <c r="AH41" s="207">
        <v>0.10373</v>
      </c>
      <c r="AI41" s="207">
        <v>0.10425</v>
      </c>
      <c r="AJ41" s="207">
        <v>0.10100000000000001</v>
      </c>
      <c r="AK41" s="207">
        <v>9.2740000000000003E-2</v>
      </c>
      <c r="AL41" s="207">
        <v>0.10226</v>
      </c>
      <c r="AM41" s="207">
        <v>0.10781</v>
      </c>
      <c r="AN41" s="207">
        <v>0.10050000000000001</v>
      </c>
      <c r="AO41" s="207">
        <v>0.10287</v>
      </c>
      <c r="AP41" s="207">
        <v>8.9499999999999996E-2</v>
      </c>
      <c r="AQ41" s="207">
        <v>8.9899999999999994E-2</v>
      </c>
      <c r="AR41" s="207">
        <v>9.1999999999999998E-2</v>
      </c>
      <c r="AS41" s="207">
        <v>8.7800000000000003E-2</v>
      </c>
      <c r="AT41" s="207">
        <v>8.7599999999999997E-2</v>
      </c>
      <c r="AU41" s="207">
        <v>8.8800000000000004E-2</v>
      </c>
      <c r="AV41" s="207">
        <v>8.7999999999999995E-2</v>
      </c>
      <c r="AW41" s="207">
        <v>8.4199999999999997E-2</v>
      </c>
      <c r="AX41" s="207">
        <v>9.4799999999999995E-2</v>
      </c>
      <c r="AY41" s="207">
        <v>9.5000000000000001E-2</v>
      </c>
      <c r="AZ41" s="207">
        <v>0.08</v>
      </c>
      <c r="BA41" s="207">
        <v>9.0899999999999995E-2</v>
      </c>
      <c r="BB41" s="207">
        <v>9.2399999999999996E-2</v>
      </c>
      <c r="BC41" s="207">
        <v>9.1300000000000006E-2</v>
      </c>
      <c r="BD41" s="207">
        <v>8.3000000000000004E-2</v>
      </c>
      <c r="BE41" s="207"/>
      <c r="BF41" s="81"/>
    </row>
    <row r="42" spans="1:72" x14ac:dyDescent="0.25">
      <c r="A42" s="74">
        <v>42</v>
      </c>
      <c r="B42" s="143" t="s">
        <v>232</v>
      </c>
      <c r="C42" s="93">
        <f ca="1">OFFSET($E$7,$A42-$A$7,1,1,1)-OFFSET($E$7,$A42-$A$7,2,1,1)</f>
        <v>-2.7060000000000001E-2</v>
      </c>
      <c r="D42" s="88">
        <f ca="1">OFFSET($E$7,$A42-$A$7,1,1,1)-OFFSET($E$7,$A42-$A$7,5,1,1)</f>
        <v>-5.5499999999999994E-3</v>
      </c>
      <c r="E42" s="282">
        <f ca="1">OFFSET($E$7,$A42-$A$7,1,1,1)-OFFSET($E$7,$A42-$A$7,IF(MONTH(MAX($7:$7))=3,2,IF(MONTH(MAX($7:$7))=6,3,IF(MONTH(MAX($7:$7))=9,4,5)))*1,1)</f>
        <v>-1.6410000000000008E-2</v>
      </c>
      <c r="F42" s="362">
        <v>0.19258</v>
      </c>
      <c r="G42" s="362">
        <v>0.21964</v>
      </c>
      <c r="H42" s="362">
        <v>0.20899000000000001</v>
      </c>
      <c r="I42" s="362">
        <v>0.21456</v>
      </c>
      <c r="J42" s="362">
        <v>0.19813</v>
      </c>
      <c r="K42" s="362">
        <v>0.22236</v>
      </c>
      <c r="L42" s="362">
        <v>0.21844</v>
      </c>
      <c r="M42" s="362">
        <v>0.22486</v>
      </c>
      <c r="N42" s="362">
        <v>0.20901</v>
      </c>
      <c r="O42" s="362">
        <v>0.21228</v>
      </c>
      <c r="P42" s="362">
        <v>0.2031</v>
      </c>
      <c r="Q42" s="362">
        <v>0.22208</v>
      </c>
      <c r="R42" s="207">
        <v>0.22583</v>
      </c>
      <c r="S42" s="207">
        <v>0.21770999999999999</v>
      </c>
      <c r="T42" s="207">
        <v>0.20300000000000001</v>
      </c>
      <c r="U42" s="207">
        <v>0.20941000000000001</v>
      </c>
      <c r="V42" s="207">
        <v>0.21584999999999999</v>
      </c>
      <c r="W42" s="207">
        <v>0.15226000000000001</v>
      </c>
      <c r="X42" s="207">
        <v>0.1346</v>
      </c>
      <c r="Y42" s="207">
        <v>0.13153000000000001</v>
      </c>
      <c r="Z42" s="207">
        <v>0.13150000000000001</v>
      </c>
      <c r="AA42" s="207">
        <v>0.13195999999999999</v>
      </c>
      <c r="AB42" s="207">
        <v>0.13325999999999999</v>
      </c>
      <c r="AC42" s="207">
        <v>0.13095000000000001</v>
      </c>
      <c r="AD42" s="207">
        <v>0.14757999999999999</v>
      </c>
      <c r="AE42" s="207">
        <v>0.13546</v>
      </c>
      <c r="AF42" s="207">
        <v>0.14762</v>
      </c>
      <c r="AG42" s="207">
        <v>0.14612</v>
      </c>
      <c r="AH42" s="207">
        <v>0.14752999999999999</v>
      </c>
      <c r="AI42" s="207">
        <v>0.14532999999999999</v>
      </c>
      <c r="AJ42" s="207">
        <v>0.13669999999999999</v>
      </c>
      <c r="AK42" s="207">
        <v>0.13444</v>
      </c>
      <c r="AL42" s="207">
        <v>0.1472</v>
      </c>
      <c r="AM42" s="207">
        <v>0.15259</v>
      </c>
      <c r="AN42" s="207">
        <v>0.14199999999999999</v>
      </c>
      <c r="AO42" s="207">
        <v>0.14554</v>
      </c>
      <c r="AP42" s="207">
        <v>0.13900000000000001</v>
      </c>
      <c r="AQ42" s="207">
        <v>0.1351</v>
      </c>
      <c r="AR42" s="207">
        <v>0.14199999999999999</v>
      </c>
      <c r="AS42" s="207">
        <v>0.1429</v>
      </c>
      <c r="AT42" s="207">
        <v>0.1434</v>
      </c>
      <c r="AU42" s="207">
        <v>0.14779999999999999</v>
      </c>
      <c r="AV42" s="207">
        <v>0.15</v>
      </c>
      <c r="AW42" s="207">
        <v>0.14760000000000001</v>
      </c>
      <c r="AX42" s="207">
        <v>0.13150000000000001</v>
      </c>
      <c r="AY42" s="207">
        <v>0.13270000000000001</v>
      </c>
      <c r="AZ42" s="207">
        <v>0.129</v>
      </c>
      <c r="BA42" s="207">
        <v>0.1326</v>
      </c>
      <c r="BB42" s="207">
        <v>0.13089999999999999</v>
      </c>
      <c r="BC42" s="207">
        <v>0.1285</v>
      </c>
      <c r="BD42" s="207">
        <v>0.13100000000000001</v>
      </c>
      <c r="BE42" s="207"/>
      <c r="BF42" s="81"/>
    </row>
  </sheetData>
  <customSheetViews>
    <customSheetView guid="{E4AC4991-F371-4BAF-8335-AD017EF379C0}" showGridLines="0" fitToPage="1">
      <pane ySplit="5" topLeftCell="A30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>
      <pane ySplit="5" topLeftCell="A6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42">
    <mergeCell ref="F7:F8"/>
    <mergeCell ref="F37:F38"/>
    <mergeCell ref="G7:G8"/>
    <mergeCell ref="G37:G38"/>
    <mergeCell ref="H7:H8"/>
    <mergeCell ref="H37:H38"/>
    <mergeCell ref="K7:K8"/>
    <mergeCell ref="K37:K38"/>
    <mergeCell ref="M7:M8"/>
    <mergeCell ref="M37:M38"/>
    <mergeCell ref="N7:N8"/>
    <mergeCell ref="N37:N38"/>
    <mergeCell ref="T37:T38"/>
    <mergeCell ref="T7:T8"/>
    <mergeCell ref="I7:I8"/>
    <mergeCell ref="I37:I38"/>
    <mergeCell ref="J7:J8"/>
    <mergeCell ref="J37:J38"/>
    <mergeCell ref="Q37:Q38"/>
    <mergeCell ref="O7:O8"/>
    <mergeCell ref="P37:P38"/>
    <mergeCell ref="O37:O38"/>
    <mergeCell ref="R37:R38"/>
    <mergeCell ref="P7:P8"/>
    <mergeCell ref="L37:L38"/>
    <mergeCell ref="L7:L8"/>
    <mergeCell ref="S37:S38"/>
    <mergeCell ref="Q7:Q8"/>
    <mergeCell ref="AN37:AN38"/>
    <mergeCell ref="AH37:AH38"/>
    <mergeCell ref="AF7:AF8"/>
    <mergeCell ref="AG37:AG38"/>
    <mergeCell ref="AK7:AK8"/>
    <mergeCell ref="AL37:AL38"/>
    <mergeCell ref="AF37:AF38"/>
    <mergeCell ref="AE7:AE8"/>
    <mergeCell ref="U37:U38"/>
    <mergeCell ref="BH7:BH8"/>
    <mergeCell ref="BF7:BF8"/>
    <mergeCell ref="BG37:BG38"/>
    <mergeCell ref="BE7:BE8"/>
    <mergeCell ref="BF37:BF38"/>
    <mergeCell ref="BA7:BA8"/>
    <mergeCell ref="BB37:BB38"/>
    <mergeCell ref="AV7:AV8"/>
    <mergeCell ref="B7:B8"/>
    <mergeCell ref="D37:D38"/>
    <mergeCell ref="D7:D8"/>
    <mergeCell ref="E37:E38"/>
    <mergeCell ref="B37:B38"/>
    <mergeCell ref="C37:C38"/>
    <mergeCell ref="E7:E8"/>
    <mergeCell ref="C7:C8"/>
    <mergeCell ref="AA7:AA8"/>
    <mergeCell ref="AB37:AB38"/>
    <mergeCell ref="Z7:Z8"/>
    <mergeCell ref="AA37:AA38"/>
    <mergeCell ref="Y7:Y8"/>
    <mergeCell ref="U7:U8"/>
    <mergeCell ref="V37:V38"/>
    <mergeCell ref="S7:S8"/>
    <mergeCell ref="BD7:BD8"/>
    <mergeCell ref="BE37:BE38"/>
    <mergeCell ref="AU7:AU8"/>
    <mergeCell ref="AV37:AV38"/>
    <mergeCell ref="AY7:AY8"/>
    <mergeCell ref="BC37:BC38"/>
    <mergeCell ref="BC7:BC8"/>
    <mergeCell ref="BA37:BA38"/>
    <mergeCell ref="AZ37:AZ38"/>
    <mergeCell ref="AX7:AX8"/>
    <mergeCell ref="BB7:BB8"/>
    <mergeCell ref="AW37:AW38"/>
    <mergeCell ref="AX37:AX38"/>
    <mergeCell ref="BT37:BT38"/>
    <mergeCell ref="BN7:BN8"/>
    <mergeCell ref="BP7:BP8"/>
    <mergeCell ref="BM7:BM8"/>
    <mergeCell ref="BL37:BL38"/>
    <mergeCell ref="BM37:BM38"/>
    <mergeCell ref="BJ7:BJ8"/>
    <mergeCell ref="BK7:BK8"/>
    <mergeCell ref="BK37:BK38"/>
    <mergeCell ref="BL7:BL8"/>
    <mergeCell ref="BQ7:BQ8"/>
    <mergeCell ref="BS7:BS8"/>
    <mergeCell ref="BO7:BO8"/>
    <mergeCell ref="BN37:BN38"/>
    <mergeCell ref="BO37:BO38"/>
    <mergeCell ref="BR7:BR8"/>
    <mergeCell ref="BP37:BP38"/>
    <mergeCell ref="BQ37:BQ38"/>
    <mergeCell ref="BR37:BR38"/>
    <mergeCell ref="BS37:BS38"/>
    <mergeCell ref="BG7:BG8"/>
    <mergeCell ref="BH37:BH38"/>
    <mergeCell ref="BJ37:BJ38"/>
    <mergeCell ref="AI37:AI38"/>
    <mergeCell ref="V7:V8"/>
    <mergeCell ref="W37:W38"/>
    <mergeCell ref="AB7:AB8"/>
    <mergeCell ref="AY37:AY38"/>
    <mergeCell ref="AW7:AW8"/>
    <mergeCell ref="AH7:AH8"/>
    <mergeCell ref="AJ7:AJ8"/>
    <mergeCell ref="AK37:AK38"/>
    <mergeCell ref="AI7:AI8"/>
    <mergeCell ref="AJ37:AJ38"/>
    <mergeCell ref="Y37:Y38"/>
    <mergeCell ref="W7:W8"/>
    <mergeCell ref="X37:X38"/>
    <mergeCell ref="AD37:AD38"/>
    <mergeCell ref="BD37:BD38"/>
    <mergeCell ref="BI7:BI8"/>
    <mergeCell ref="AE37:AE38"/>
    <mergeCell ref="AC7:AC8"/>
    <mergeCell ref="BI37:BI38"/>
    <mergeCell ref="AZ7:AZ8"/>
    <mergeCell ref="C5:E5"/>
    <mergeCell ref="AT7:AT8"/>
    <mergeCell ref="AU37:AU38"/>
    <mergeCell ref="AS7:AS8"/>
    <mergeCell ref="AT37:AT38"/>
    <mergeCell ref="AR7:AR8"/>
    <mergeCell ref="AS37:AS38"/>
    <mergeCell ref="AQ7:AQ8"/>
    <mergeCell ref="AR37:AR38"/>
    <mergeCell ref="AP7:AP8"/>
    <mergeCell ref="AQ37:AQ38"/>
    <mergeCell ref="AO7:AO8"/>
    <mergeCell ref="AP37:AP38"/>
    <mergeCell ref="AN7:AN8"/>
    <mergeCell ref="AO37:AO38"/>
    <mergeCell ref="AG7:AG8"/>
    <mergeCell ref="Z37:Z38"/>
    <mergeCell ref="X7:X8"/>
    <mergeCell ref="AC37:AC38"/>
    <mergeCell ref="R7:R8"/>
    <mergeCell ref="AD7:AD8"/>
    <mergeCell ref="AL7:AL8"/>
    <mergeCell ref="AM7:AM8"/>
    <mergeCell ref="AM37:AM3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H5" location="'Loan Portfolio IFRS 9'!A1" display="Loan portfolio"/>
    <hyperlink ref="I5" location="'Customer Deposits'!A1" display="Customer deposits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autoPageBreaks="0" fitToPage="1"/>
  </sheetPr>
  <dimension ref="A1:BT349"/>
  <sheetViews>
    <sheetView showGridLines="0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140625" defaultRowHeight="15" x14ac:dyDescent="0.25"/>
  <cols>
    <col min="1" max="1" width="5.7109375" style="1" customWidth="1"/>
    <col min="2" max="2" width="58.85546875" style="1" bestFit="1" customWidth="1"/>
    <col min="3" max="4" width="8.7109375" style="1" customWidth="1"/>
    <col min="5" max="5" width="9.5703125" style="1" customWidth="1"/>
    <col min="6" max="10" width="16.7109375" style="1" customWidth="1"/>
    <col min="11" max="11" width="17.140625" style="1" customWidth="1"/>
    <col min="12" max="16" width="16.85546875" style="1" customWidth="1"/>
    <col min="17" max="20" width="16.7109375" style="1" customWidth="1"/>
    <col min="21" max="22" width="15.7109375" style="1" customWidth="1"/>
    <col min="23" max="42" width="16.7109375" style="1" customWidth="1"/>
    <col min="43" max="53" width="9.140625" style="1" customWidth="1"/>
    <col min="54" max="16384" width="9.140625" style="1"/>
  </cols>
  <sheetData>
    <row r="1" spans="1:71" x14ac:dyDescent="0.25">
      <c r="A1" s="74">
        <v>1</v>
      </c>
      <c r="F1" s="25"/>
    </row>
    <row r="2" spans="1:71" x14ac:dyDescent="0.25">
      <c r="A2" s="74">
        <v>2</v>
      </c>
    </row>
    <row r="3" spans="1:71" x14ac:dyDescent="0.25">
      <c r="A3" s="74">
        <v>3</v>
      </c>
    </row>
    <row r="4" spans="1:71" x14ac:dyDescent="0.25">
      <c r="A4" s="74">
        <v>4</v>
      </c>
      <c r="C4" s="6"/>
      <c r="D4" s="6"/>
    </row>
    <row r="5" spans="1:71" ht="51" customHeight="1" thickBot="1" x14ac:dyDescent="0.3">
      <c r="A5" s="74">
        <v>5</v>
      </c>
      <c r="B5" s="123" t="s">
        <v>194</v>
      </c>
      <c r="C5" s="490" t="s">
        <v>3</v>
      </c>
      <c r="D5" s="490"/>
      <c r="E5" s="490"/>
      <c r="F5" s="7" t="s">
        <v>0</v>
      </c>
      <c r="G5" s="47" t="s">
        <v>157</v>
      </c>
      <c r="H5" s="47" t="s">
        <v>177</v>
      </c>
      <c r="I5" s="121" t="s">
        <v>1</v>
      </c>
      <c r="J5" s="121" t="s">
        <v>2</v>
      </c>
      <c r="K5" s="63" t="s">
        <v>194</v>
      </c>
    </row>
    <row r="6" spans="1:71" ht="15.75" thickTop="1" x14ac:dyDescent="0.25">
      <c r="A6" s="74">
        <v>6</v>
      </c>
      <c r="B6" s="61"/>
      <c r="F6" s="142"/>
    </row>
    <row r="7" spans="1:71" ht="15.75" customHeight="1" x14ac:dyDescent="0.25">
      <c r="A7" s="74">
        <v>7</v>
      </c>
      <c r="B7" s="453" t="s">
        <v>187</v>
      </c>
      <c r="C7" s="470"/>
      <c r="D7" s="222"/>
      <c r="E7" s="468" t="s">
        <v>202</v>
      </c>
      <c r="F7" s="446" t="s">
        <v>474</v>
      </c>
      <c r="G7" s="479" t="s">
        <v>472</v>
      </c>
      <c r="H7" s="446" t="s">
        <v>470</v>
      </c>
      <c r="I7" s="446" t="s">
        <v>467</v>
      </c>
      <c r="J7" s="446" t="s">
        <v>465</v>
      </c>
      <c r="K7" s="446" t="s">
        <v>462</v>
      </c>
      <c r="L7" s="446" t="s">
        <v>458</v>
      </c>
      <c r="M7" s="446" t="s">
        <v>456</v>
      </c>
      <c r="N7" s="446" t="s">
        <v>453</v>
      </c>
      <c r="O7" s="446" t="s">
        <v>452</v>
      </c>
      <c r="P7" s="446" t="s">
        <v>450</v>
      </c>
      <c r="Q7" s="446" t="s">
        <v>448</v>
      </c>
      <c r="R7" s="446" t="s">
        <v>446</v>
      </c>
      <c r="S7" s="446" t="s">
        <v>438</v>
      </c>
      <c r="T7" s="446" t="s">
        <v>436</v>
      </c>
      <c r="U7" s="446" t="s">
        <v>433</v>
      </c>
      <c r="V7" s="446" t="s">
        <v>431</v>
      </c>
      <c r="W7" s="446" t="s">
        <v>429</v>
      </c>
      <c r="X7" s="446" t="s">
        <v>423</v>
      </c>
      <c r="Y7" s="446" t="s">
        <v>420</v>
      </c>
      <c r="Z7" s="446" t="s">
        <v>418</v>
      </c>
      <c r="AA7" s="446" t="s">
        <v>415</v>
      </c>
      <c r="AB7" s="446" t="s">
        <v>409</v>
      </c>
      <c r="AC7" s="446" t="s">
        <v>407</v>
      </c>
      <c r="AD7" s="446" t="s">
        <v>405</v>
      </c>
      <c r="AE7" s="446" t="s">
        <v>402</v>
      </c>
      <c r="AF7" s="446" t="s">
        <v>392</v>
      </c>
      <c r="AG7" s="446" t="s">
        <v>386</v>
      </c>
      <c r="AH7" s="446" t="s">
        <v>383</v>
      </c>
      <c r="AI7" s="446" t="s">
        <v>381</v>
      </c>
      <c r="AJ7" s="446" t="s">
        <v>375</v>
      </c>
      <c r="AK7" s="446" t="s">
        <v>372</v>
      </c>
      <c r="AL7" s="446" t="s">
        <v>346</v>
      </c>
      <c r="AM7" s="446" t="s">
        <v>311</v>
      </c>
      <c r="AN7" s="446" t="s">
        <v>308</v>
      </c>
      <c r="AO7" s="446" t="s">
        <v>306</v>
      </c>
      <c r="AP7" s="446" t="s">
        <v>291</v>
      </c>
      <c r="AQ7" s="446" t="s">
        <v>286</v>
      </c>
      <c r="AR7" s="446" t="s">
        <v>273</v>
      </c>
      <c r="AS7" s="446" t="s">
        <v>272</v>
      </c>
      <c r="AT7" s="446" t="s">
        <v>270</v>
      </c>
      <c r="AU7" s="446" t="s">
        <v>266</v>
      </c>
      <c r="AV7" s="446" t="s">
        <v>265</v>
      </c>
      <c r="AW7" s="446" t="s">
        <v>263</v>
      </c>
      <c r="AX7" s="446" t="s">
        <v>255</v>
      </c>
      <c r="AY7" s="446" t="s">
        <v>253</v>
      </c>
      <c r="AZ7" s="446" t="s">
        <v>244</v>
      </c>
      <c r="BA7" s="446" t="s">
        <v>242</v>
      </c>
      <c r="BB7" s="446" t="s">
        <v>239</v>
      </c>
      <c r="BC7" s="446" t="s">
        <v>231</v>
      </c>
      <c r="BD7" s="446" t="s">
        <v>226</v>
      </c>
      <c r="BE7" s="446" t="s">
        <v>221</v>
      </c>
      <c r="BF7" s="446" t="s">
        <v>204</v>
      </c>
      <c r="BG7" s="446" t="s">
        <v>203</v>
      </c>
      <c r="BH7" s="446" t="s">
        <v>199</v>
      </c>
      <c r="BI7" s="446" t="s">
        <v>163</v>
      </c>
      <c r="BJ7" s="446" t="s">
        <v>164</v>
      </c>
      <c r="BK7" s="446" t="s">
        <v>4</v>
      </c>
      <c r="BL7" s="446" t="s">
        <v>165</v>
      </c>
      <c r="BM7" s="446" t="s">
        <v>168</v>
      </c>
      <c r="BN7" s="446" t="s">
        <v>169</v>
      </c>
      <c r="BO7" s="446" t="s">
        <v>5</v>
      </c>
      <c r="BP7" s="446" t="s">
        <v>170</v>
      </c>
      <c r="BQ7" s="446" t="s">
        <v>171</v>
      </c>
      <c r="BR7" s="446" t="s">
        <v>172</v>
      </c>
      <c r="BS7" s="446" t="s">
        <v>6</v>
      </c>
    </row>
    <row r="8" spans="1:71" x14ac:dyDescent="0.25">
      <c r="A8" s="74">
        <v>8</v>
      </c>
      <c r="B8" s="454"/>
      <c r="C8" s="471"/>
      <c r="D8" s="274"/>
      <c r="E8" s="478"/>
      <c r="F8" s="447"/>
      <c r="G8" s="493"/>
      <c r="H8" s="448"/>
      <c r="I8" s="447"/>
      <c r="J8" s="447"/>
      <c r="K8" s="447"/>
      <c r="L8" s="448"/>
      <c r="M8" s="447"/>
      <c r="N8" s="447"/>
      <c r="O8" s="447"/>
      <c r="P8" s="448"/>
      <c r="Q8" s="447"/>
      <c r="R8" s="447"/>
      <c r="S8" s="447"/>
      <c r="T8" s="448"/>
      <c r="U8" s="447"/>
      <c r="V8" s="447"/>
      <c r="W8" s="447"/>
      <c r="X8" s="448"/>
      <c r="Y8" s="448"/>
      <c r="Z8" s="447"/>
      <c r="AA8" s="447"/>
      <c r="AB8" s="448"/>
      <c r="AC8" s="448"/>
      <c r="AD8" s="448"/>
      <c r="AE8" s="447"/>
      <c r="AF8" s="447"/>
      <c r="AG8" s="448"/>
      <c r="AH8" s="448"/>
      <c r="AI8" s="447"/>
      <c r="AJ8" s="447"/>
      <c r="AK8" s="447"/>
      <c r="AL8" s="447"/>
      <c r="AM8" s="447"/>
      <c r="AN8" s="448"/>
      <c r="AO8" s="447"/>
      <c r="AP8" s="447"/>
      <c r="AQ8" s="447"/>
      <c r="AR8" s="448"/>
      <c r="AS8" s="447"/>
      <c r="AT8" s="447"/>
      <c r="AU8" s="447"/>
      <c r="AV8" s="448"/>
      <c r="AW8" s="448"/>
      <c r="AX8" s="447"/>
      <c r="AY8" s="447"/>
      <c r="AZ8" s="447"/>
      <c r="BA8" s="447"/>
      <c r="BB8" s="447"/>
      <c r="BC8" s="447"/>
      <c r="BD8" s="447"/>
      <c r="BE8" s="447"/>
      <c r="BF8" s="447"/>
      <c r="BG8" s="447"/>
      <c r="BH8" s="447"/>
      <c r="BI8" s="447"/>
      <c r="BJ8" s="447"/>
      <c r="BK8" s="447"/>
      <c r="BL8" s="447"/>
      <c r="BM8" s="447"/>
      <c r="BN8" s="447"/>
      <c r="BO8" s="447"/>
      <c r="BP8" s="447"/>
      <c r="BQ8" s="447"/>
      <c r="BR8" s="447"/>
      <c r="BS8" s="447"/>
    </row>
    <row r="9" spans="1:71" ht="9.75" customHeight="1" x14ac:dyDescent="0.25">
      <c r="A9" s="74">
        <v>9</v>
      </c>
      <c r="B9" s="8" t="s">
        <v>8</v>
      </c>
      <c r="C9" s="89"/>
      <c r="D9" s="57"/>
      <c r="E9" s="90"/>
      <c r="F9" s="57"/>
      <c r="G9" s="303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8"/>
    </row>
    <row r="10" spans="1:71" ht="15" customHeight="1" x14ac:dyDescent="0.25">
      <c r="A10" s="74">
        <v>10</v>
      </c>
      <c r="B10" s="30" t="s">
        <v>127</v>
      </c>
      <c r="C10" s="93"/>
      <c r="D10" s="88"/>
      <c r="E10" s="94">
        <f ca="1">OFFSET($E$7,$A10-$A$7,1,1,1)/OFFSET($E$7,$A10-$A$7,5,1,1)-1</f>
        <v>-0.11194758120730519</v>
      </c>
      <c r="F10" s="22">
        <f>86682+2498</f>
        <v>89180</v>
      </c>
      <c r="G10" s="270">
        <f>44376+1399</f>
        <v>45775</v>
      </c>
      <c r="H10" s="22">
        <f>198677+4669</f>
        <v>203346</v>
      </c>
      <c r="I10" s="22">
        <f>151729+3247</f>
        <v>154976</v>
      </c>
      <c r="J10" s="22">
        <f>98548+1874</f>
        <v>100422</v>
      </c>
      <c r="K10" s="22">
        <f>48720+754</f>
        <v>49474</v>
      </c>
      <c r="L10" s="22">
        <f>146705+7483</f>
        <v>154188</v>
      </c>
      <c r="M10" s="22">
        <v>107277</v>
      </c>
      <c r="N10" s="22">
        <f>64915+3933</f>
        <v>68848</v>
      </c>
      <c r="O10" s="22">
        <f>32044+1921</f>
        <v>33965</v>
      </c>
      <c r="P10" s="22">
        <v>84659</v>
      </c>
      <c r="Q10" s="22">
        <v>54520</v>
      </c>
      <c r="R10" s="22">
        <v>34134</v>
      </c>
      <c r="S10" s="22">
        <f>15958+810</f>
        <v>16768</v>
      </c>
      <c r="T10" s="400"/>
      <c r="U10" s="400"/>
      <c r="V10" s="400"/>
      <c r="W10" s="400"/>
      <c r="X10" s="22">
        <f>44527+1269</f>
        <v>45796</v>
      </c>
      <c r="Y10" s="22">
        <f>30913+810+803</f>
        <v>32526</v>
      </c>
      <c r="Z10" s="22">
        <v>21465</v>
      </c>
      <c r="AA10" s="22">
        <f>9841+239</f>
        <v>10080</v>
      </c>
      <c r="AB10" s="22">
        <f>41838+1592</f>
        <v>43430</v>
      </c>
      <c r="AC10" s="22">
        <v>32351.346000000001</v>
      </c>
      <c r="AD10" s="22">
        <f>20923.604+1053.256</f>
        <v>21976.86</v>
      </c>
      <c r="AE10" s="22">
        <f>10555.785+710.109</f>
        <v>11265.894</v>
      </c>
      <c r="AF10" s="22">
        <f>44998.156+3495.398</f>
        <v>48493.554000000004</v>
      </c>
      <c r="AG10" s="22">
        <f>33668.514+2819.719</f>
        <v>36488.233</v>
      </c>
      <c r="AH10" s="22">
        <f>22249.844+2170.919</f>
        <v>24420.762999999999</v>
      </c>
      <c r="AI10" s="22">
        <f>11338.253+1508.457</f>
        <v>12846.710000000001</v>
      </c>
      <c r="AJ10" s="22">
        <v>46038.572</v>
      </c>
      <c r="AK10" s="22">
        <v>33707.930999999997</v>
      </c>
      <c r="AL10" s="22">
        <f>(20009.123)+2286.44</f>
        <v>22295.562999999998</v>
      </c>
      <c r="AM10" s="22">
        <f>(AM70)+0</f>
        <v>10962.853999999999</v>
      </c>
      <c r="AN10" s="22">
        <v>47169.917999999998</v>
      </c>
      <c r="AO10" s="22">
        <v>35325.815000000002</v>
      </c>
      <c r="AP10" s="22">
        <v>23790.751</v>
      </c>
      <c r="AQ10" s="22">
        <f>AQ70</f>
        <v>12116.299000000001</v>
      </c>
      <c r="AR10" s="22">
        <f>AR70+AS70+AT70+AU70</f>
        <v>51851.81</v>
      </c>
      <c r="AS10" s="22">
        <f>AS70+AT70+AU70</f>
        <v>39007.531999999999</v>
      </c>
      <c r="AT10" s="22">
        <f>AT70+AU70</f>
        <v>26001.119999999999</v>
      </c>
      <c r="AU10" s="22">
        <f>AU70</f>
        <v>12896.995000000001</v>
      </c>
      <c r="AV10" s="22">
        <f>AV70+AW70+AX70+AY70</f>
        <v>50793.474999999999</v>
      </c>
      <c r="AW10" s="22">
        <f>AY70+AX70+AW70</f>
        <v>37637.544999999998</v>
      </c>
      <c r="AX10" s="22">
        <f>AX70+AY70</f>
        <v>24888.205000000002</v>
      </c>
      <c r="AY10" s="22">
        <f>AY70</f>
        <v>12278.331</v>
      </c>
      <c r="AZ10" s="22">
        <f>AZ70+BA70+BB70+BC70</f>
        <v>38760.300000000003</v>
      </c>
      <c r="BA10" s="22">
        <f>BA70+BB70+BC70</f>
        <v>27625.877</v>
      </c>
      <c r="BB10" s="22">
        <f>BB70+BC70</f>
        <v>18007.181</v>
      </c>
      <c r="BC10" s="22">
        <f>BC70</f>
        <v>8721.7070000000003</v>
      </c>
      <c r="BD10" s="22">
        <f>BE70+BD70+BF70+BG70</f>
        <v>30831.525000000001</v>
      </c>
      <c r="BE10" s="22">
        <f>BF70+BE70+BG70</f>
        <v>22480.62</v>
      </c>
      <c r="BF10" s="11">
        <f>BG70+BF70</f>
        <v>14542.768</v>
      </c>
      <c r="BG10" s="11">
        <f>BG70</f>
        <v>7005.1409999999996</v>
      </c>
      <c r="BH10" s="22">
        <f>BI70+BH70+BJ70+BK70</f>
        <v>27361.167000000001</v>
      </c>
      <c r="BI10" s="11">
        <f>BJ70+BI70+BK70</f>
        <v>20205.708999999999</v>
      </c>
      <c r="BJ10" s="11">
        <f>BK70+BJ70</f>
        <v>13419.939999999999</v>
      </c>
      <c r="BK10" s="11">
        <f>BK70</f>
        <v>6422.6959999999999</v>
      </c>
      <c r="BL10" s="11">
        <f>BM70+BL70+BN70+BO70</f>
        <v>25777.105</v>
      </c>
      <c r="BM10" s="11">
        <f>BN70+BM70+BO70</f>
        <v>19199.566999999999</v>
      </c>
      <c r="BN10" s="11">
        <f>BO70+BN70</f>
        <v>12612.403</v>
      </c>
      <c r="BO10" s="11">
        <f>BO70</f>
        <v>6121.1850000000004</v>
      </c>
      <c r="BP10" s="11">
        <f>BQ70+BP70+BR70+BS70</f>
        <v>24259.767</v>
      </c>
      <c r="BQ10" s="11">
        <f>BR70+BQ70+BS70</f>
        <v>18355.764999999999</v>
      </c>
      <c r="BR10" s="11">
        <f>BS70+BR70</f>
        <v>12609.635</v>
      </c>
      <c r="BS10" s="11">
        <f>BS70</f>
        <v>6497.2579999999998</v>
      </c>
    </row>
    <row r="11" spans="1:71" s="25" customFormat="1" ht="15" customHeight="1" x14ac:dyDescent="0.25">
      <c r="A11" s="74">
        <v>11</v>
      </c>
      <c r="B11" s="30" t="s">
        <v>128</v>
      </c>
      <c r="C11" s="93"/>
      <c r="D11" s="88"/>
      <c r="E11" s="94">
        <f t="shared" ref="E11:E16" ca="1" si="0">OFFSET($E$7,$A11-$A$7,1,1,1)/OFFSET($E$7,$A11-$A$7,5,1,1)-1</f>
        <v>-0.14442881543253294</v>
      </c>
      <c r="F11" s="22">
        <v>-51093</v>
      </c>
      <c r="G11" s="270">
        <v>-26669</v>
      </c>
      <c r="H11" s="22">
        <v>-122926</v>
      </c>
      <c r="I11" s="22">
        <v>-93950</v>
      </c>
      <c r="J11" s="22">
        <v>-59718</v>
      </c>
      <c r="K11" s="22">
        <v>-28915</v>
      </c>
      <c r="L11" s="22">
        <v>-81312</v>
      </c>
      <c r="M11" s="22">
        <v>-54334</v>
      </c>
      <c r="N11" s="22">
        <v>-33821</v>
      </c>
      <c r="O11" s="22">
        <v>-16186</v>
      </c>
      <c r="P11" s="22">
        <v>-31713</v>
      </c>
      <c r="Q11" s="22">
        <v>-18197</v>
      </c>
      <c r="R11" s="22">
        <v>-10990</v>
      </c>
      <c r="S11" s="22">
        <v>-5030</v>
      </c>
      <c r="T11" s="400"/>
      <c r="U11" s="400"/>
      <c r="V11" s="400"/>
      <c r="W11" s="400"/>
      <c r="X11" s="22">
        <v>-15364</v>
      </c>
      <c r="Y11" s="22">
        <v>-10474</v>
      </c>
      <c r="Z11" s="22">
        <v>-6889</v>
      </c>
      <c r="AA11" s="22">
        <v>-3276</v>
      </c>
      <c r="AB11" s="22">
        <v>-16664</v>
      </c>
      <c r="AC11" s="22">
        <v>-13106.054</v>
      </c>
      <c r="AD11" s="22">
        <v>-9093.7219999999998</v>
      </c>
      <c r="AE11" s="22">
        <v>-4577.8540000000003</v>
      </c>
      <c r="AF11" s="22">
        <v>-23444.594000000001</v>
      </c>
      <c r="AG11" s="22">
        <v>-18250.566999999999</v>
      </c>
      <c r="AH11" s="22">
        <v>-12481.619000000001</v>
      </c>
      <c r="AI11" s="22">
        <v>-6668.5190000000002</v>
      </c>
      <c r="AJ11" s="22">
        <v>-22892.995999999999</v>
      </c>
      <c r="AK11" s="22">
        <v>-16960.544000000002</v>
      </c>
      <c r="AL11" s="22">
        <v>-11386.648999999999</v>
      </c>
      <c r="AM11" s="22">
        <f>AM71</f>
        <v>-5614.9849999999997</v>
      </c>
      <c r="AN11" s="22">
        <f>AN71+AO71+AP71+AQ71</f>
        <v>-26621.953000000001</v>
      </c>
      <c r="AO11" s="22">
        <f>AO71+AP71+AQ71</f>
        <v>-20720.521000000001</v>
      </c>
      <c r="AP11" s="22">
        <f>AP71+AQ71</f>
        <v>-14560.727000000001</v>
      </c>
      <c r="AQ11" s="22">
        <f>AQ71</f>
        <v>-7447.4279999999999</v>
      </c>
      <c r="AR11" s="22">
        <f>AR71+AS71+AT71+AU71</f>
        <v>-29706.920999999998</v>
      </c>
      <c r="AS11" s="22">
        <f>AS71+AT71+AU71</f>
        <v>-22928.959999999999</v>
      </c>
      <c r="AT11" s="22">
        <f>AT71+AU71</f>
        <v>-15620.28</v>
      </c>
      <c r="AU11" s="22">
        <f>AU71</f>
        <v>-7829.1279999999997</v>
      </c>
      <c r="AV11" s="22">
        <f>AV71+AW71+AX71+AY71</f>
        <v>-33315.993000000002</v>
      </c>
      <c r="AW11" s="22">
        <f>AY71+AX71+AW71</f>
        <v>-25314.981</v>
      </c>
      <c r="AX11" s="22">
        <f>AX71+AY71</f>
        <v>-16648.286</v>
      </c>
      <c r="AY11" s="22">
        <f>AY71</f>
        <v>-8156.21</v>
      </c>
      <c r="AZ11" s="22">
        <f>AZ71+BA71+BB71+BC71</f>
        <v>-20249.403999999999</v>
      </c>
      <c r="BA11" s="22">
        <f>BA71+BB71+BC71</f>
        <v>-14651.588</v>
      </c>
      <c r="BB11" s="22">
        <f>BB71+BC71</f>
        <v>-9503.6820000000007</v>
      </c>
      <c r="BC11" s="22">
        <f>BC71</f>
        <v>-4631.9470000000001</v>
      </c>
      <c r="BD11" s="22">
        <f>BE71+BD71+BF71+BG71</f>
        <v>-17459.531999999999</v>
      </c>
      <c r="BE11" s="22">
        <f>BF71+BE71+BG71</f>
        <v>-12926.576999999999</v>
      </c>
      <c r="BF11" s="22">
        <f>BG71+BF71</f>
        <v>-8393.6939999999995</v>
      </c>
      <c r="BG11" s="22">
        <f>BG71</f>
        <v>-4017.7829999999999</v>
      </c>
      <c r="BH11" s="22">
        <f>BI71+BH71+BJ71+BK71</f>
        <v>-15379.021000000002</v>
      </c>
      <c r="BI11" s="22">
        <f>BJ71+BI71+BK71</f>
        <v>-11324.976999999999</v>
      </c>
      <c r="BJ11" s="22">
        <f>BK71+BJ71</f>
        <v>-7458.4400000000005</v>
      </c>
      <c r="BK11" s="22">
        <f>BK71</f>
        <v>-3499.3809999999999</v>
      </c>
      <c r="BL11" s="22">
        <f>BM71+BL71+BN71+BO71</f>
        <v>-12157.178</v>
      </c>
      <c r="BM11" s="22">
        <f>BN71+BM71+BO71</f>
        <v>-8863.7020000000011</v>
      </c>
      <c r="BN11" s="22">
        <f>BO71+BN71</f>
        <v>-5824.5920000000006</v>
      </c>
      <c r="BO11" s="22">
        <f>BO71</f>
        <v>-2853.4140000000002</v>
      </c>
      <c r="BP11" s="22">
        <f>BQ71+BP71+BR71+BS71</f>
        <v>-12235.339000000002</v>
      </c>
      <c r="BQ11" s="22">
        <f>BR71+BQ71+BS71</f>
        <v>-9308.9310000000005</v>
      </c>
      <c r="BR11" s="22">
        <f>BS71+BR71</f>
        <v>-6531.4</v>
      </c>
      <c r="BS11" s="22">
        <f>BS71</f>
        <v>-3412.2429999999999</v>
      </c>
    </row>
    <row r="12" spans="1:71" s="25" customFormat="1" ht="15" customHeight="1" x14ac:dyDescent="0.25">
      <c r="A12" s="74">
        <v>12</v>
      </c>
      <c r="B12" s="244" t="s">
        <v>356</v>
      </c>
      <c r="C12" s="93"/>
      <c r="D12" s="88"/>
      <c r="E12" s="94">
        <f t="shared" ca="1" si="0"/>
        <v>0.17503924646781788</v>
      </c>
      <c r="F12" s="22">
        <v>-1497</v>
      </c>
      <c r="G12" s="270">
        <v>-739</v>
      </c>
      <c r="H12" s="22">
        <v>-2662</v>
      </c>
      <c r="I12" s="22">
        <v>-1954</v>
      </c>
      <c r="J12" s="22">
        <v>-1274</v>
      </c>
      <c r="K12" s="22">
        <v>-631</v>
      </c>
      <c r="L12" s="22">
        <v>-2319</v>
      </c>
      <c r="M12" s="22">
        <v>-1733</v>
      </c>
      <c r="N12" s="22">
        <v>-1161</v>
      </c>
      <c r="O12" s="22">
        <v>-577</v>
      </c>
      <c r="P12" s="22">
        <v>-2114</v>
      </c>
      <c r="Q12" s="22">
        <v>-1568</v>
      </c>
      <c r="R12" s="22">
        <v>-1049</v>
      </c>
      <c r="S12" s="22">
        <v>-529</v>
      </c>
      <c r="T12" s="400"/>
      <c r="U12" s="400"/>
      <c r="V12" s="400"/>
      <c r="W12" s="400"/>
      <c r="X12" s="22">
        <v>-1521</v>
      </c>
      <c r="Y12" s="22">
        <v>-1095</v>
      </c>
      <c r="Z12" s="22">
        <v>-676</v>
      </c>
      <c r="AA12" s="22">
        <v>-338</v>
      </c>
      <c r="AB12" s="22">
        <v>-1242</v>
      </c>
      <c r="AC12" s="22">
        <v>-911.70500000000004</v>
      </c>
      <c r="AD12" s="22">
        <v>-589.97500000000002</v>
      </c>
      <c r="AE12" s="22">
        <v>-452.435</v>
      </c>
      <c r="AF12" s="22">
        <v>-1767.491</v>
      </c>
      <c r="AG12" s="22">
        <v>-1323.5319999999999</v>
      </c>
      <c r="AH12" s="22">
        <v>-881.38300000000004</v>
      </c>
      <c r="AI12" s="22">
        <v>-441.8</v>
      </c>
      <c r="AJ12" s="22">
        <v>-1250.3109999999999</v>
      </c>
      <c r="AK12" s="22">
        <v>-917.92399999999998</v>
      </c>
      <c r="AL12" s="22">
        <v>-598.9</v>
      </c>
      <c r="AM12" s="22">
        <f>AM72</f>
        <v>-294.02699999999999</v>
      </c>
      <c r="AN12" s="22">
        <f>AN72+AO72+AP72+AQ72</f>
        <v>-890.44399999999996</v>
      </c>
      <c r="AO12" s="22">
        <f>AO72+AP72+AQ72</f>
        <v>-663.74199999999996</v>
      </c>
      <c r="AP12" s="22">
        <f>AP72+AQ72</f>
        <v>-436.77199999999999</v>
      </c>
      <c r="AQ12" s="22">
        <f>AQ72</f>
        <v>-215.27199999999999</v>
      </c>
      <c r="AR12" s="22">
        <f>AR72+AS72+AT72+AU72</f>
        <v>-787.30700000000002</v>
      </c>
      <c r="AS12" s="22">
        <f>AS72+AT72+AU72</f>
        <v>-571.60199999999998</v>
      </c>
      <c r="AT12" s="22">
        <f>AT72+AU72</f>
        <v>-354.22399999999999</v>
      </c>
      <c r="AU12" s="22">
        <f>AU72</f>
        <v>-178.214</v>
      </c>
      <c r="AV12" s="22">
        <f>AV72+AW72+AX72+AY72</f>
        <v>-607.73299999999995</v>
      </c>
      <c r="AW12" s="22">
        <f>AW72+AX72+AY72</f>
        <v>-444.56100000000004</v>
      </c>
      <c r="AX12" s="22">
        <f>AX72+AY72</f>
        <v>-286.928</v>
      </c>
      <c r="AY12" s="22">
        <f>AY72</f>
        <v>-144.42699999999999</v>
      </c>
      <c r="AZ12" s="22">
        <f>AZ72+BA72+BB72+BC72</f>
        <v>-511.19600000000003</v>
      </c>
      <c r="BA12" s="22">
        <f>BA72+BB72+BC72</f>
        <v>-371.48</v>
      </c>
      <c r="BB12" s="22">
        <f>BB72+BC72</f>
        <v>-243.864</v>
      </c>
      <c r="BC12" s="22">
        <f>BC72</f>
        <v>-121.867</v>
      </c>
      <c r="BD12" s="22">
        <f>BD72+BE72+BF72+BG72</f>
        <v>-428.971</v>
      </c>
      <c r="BE12" s="22">
        <f>BE72+BF72+BG72</f>
        <v>-315.642</v>
      </c>
      <c r="BF12" s="22">
        <f>BF72+BG72</f>
        <v>-203.73699999999999</v>
      </c>
      <c r="BG12" s="22">
        <f>BG72</f>
        <v>-96.717999999999989</v>
      </c>
      <c r="BH12" s="22">
        <f>BH72+BI72+BJ72+BK72</f>
        <v>-358.04599999999994</v>
      </c>
      <c r="BI12" s="22">
        <f>BI72+BJ72+BK72</f>
        <v>-270.5</v>
      </c>
      <c r="BJ12" s="22">
        <f>BJ72+BK72</f>
        <v>-172.71199999999999</v>
      </c>
      <c r="BK12" s="22">
        <f>BK72</f>
        <v>-83.703000000000003</v>
      </c>
      <c r="BL12" s="22">
        <f>BL72+BM72+BN72+BO72</f>
        <v>-297.363</v>
      </c>
      <c r="BM12" s="22">
        <f>BM72+BN72+BO72</f>
        <v>-218.03100000000001</v>
      </c>
      <c r="BN12" s="22">
        <f>BN72+BO72</f>
        <v>-141.93199999999999</v>
      </c>
      <c r="BO12" s="22">
        <f>BO72</f>
        <v>0</v>
      </c>
      <c r="BP12" s="22">
        <f>BP72+BQ72+BR72+BS72</f>
        <v>-255.06800000000001</v>
      </c>
      <c r="BQ12" s="22">
        <f>BQ72+BR72+BS72</f>
        <v>-187.86799999999999</v>
      </c>
      <c r="BR12" s="22">
        <f>BR72+BS72</f>
        <v>-257.86</v>
      </c>
      <c r="BS12" s="22">
        <f>BS72</f>
        <v>-60.643999999999998</v>
      </c>
    </row>
    <row r="13" spans="1:71" s="19" customFormat="1" ht="15" customHeight="1" x14ac:dyDescent="0.25">
      <c r="A13" s="74">
        <v>13</v>
      </c>
      <c r="B13" s="29" t="s">
        <v>129</v>
      </c>
      <c r="C13" s="93"/>
      <c r="D13" s="88"/>
      <c r="E13" s="96">
        <f t="shared" ca="1" si="0"/>
        <v>-7.2026375855947289E-2</v>
      </c>
      <c r="F13" s="66">
        <f t="shared" ref="F13" si="1">SUM(F10:F12)</f>
        <v>36590</v>
      </c>
      <c r="G13" s="271">
        <f t="shared" ref="G13" si="2">SUM(G10:G12)</f>
        <v>18367</v>
      </c>
      <c r="H13" s="66">
        <f t="shared" ref="H13" si="3">SUM(H10:H12)</f>
        <v>77758</v>
      </c>
      <c r="I13" s="66">
        <f t="shared" ref="I13" si="4">SUM(I10:I12)</f>
        <v>59072</v>
      </c>
      <c r="J13" s="66">
        <f t="shared" ref="J13" si="5">SUM(J10:J12)</f>
        <v>39430</v>
      </c>
      <c r="K13" s="66">
        <f t="shared" ref="K13" si="6">SUM(K10:K12)</f>
        <v>19928</v>
      </c>
      <c r="L13" s="66">
        <f t="shared" ref="L13:X13" si="7">SUM(L10:L12)</f>
        <v>70557</v>
      </c>
      <c r="M13" s="66">
        <f t="shared" si="7"/>
        <v>51210</v>
      </c>
      <c r="N13" s="66">
        <f t="shared" si="7"/>
        <v>33866</v>
      </c>
      <c r="O13" s="66">
        <f t="shared" si="7"/>
        <v>17202</v>
      </c>
      <c r="P13" s="66">
        <f t="shared" si="7"/>
        <v>50832</v>
      </c>
      <c r="Q13" s="66">
        <f t="shared" si="7"/>
        <v>34755</v>
      </c>
      <c r="R13" s="66">
        <f t="shared" si="7"/>
        <v>22095</v>
      </c>
      <c r="S13" s="66">
        <f t="shared" si="7"/>
        <v>11209</v>
      </c>
      <c r="T13" s="412"/>
      <c r="U13" s="412"/>
      <c r="V13" s="412"/>
      <c r="W13" s="412"/>
      <c r="X13" s="66">
        <f t="shared" si="7"/>
        <v>28911</v>
      </c>
      <c r="Y13" s="66">
        <f t="shared" ref="Y13:AD13" si="8">SUM(Y10:Y12)</f>
        <v>20957</v>
      </c>
      <c r="Z13" s="66">
        <f t="shared" si="8"/>
        <v>13900</v>
      </c>
      <c r="AA13" s="66">
        <f t="shared" si="8"/>
        <v>6466</v>
      </c>
      <c r="AB13" s="66">
        <f t="shared" si="8"/>
        <v>25524</v>
      </c>
      <c r="AC13" s="66">
        <f t="shared" si="8"/>
        <v>18333.587</v>
      </c>
      <c r="AD13" s="66">
        <f t="shared" si="8"/>
        <v>12293.163</v>
      </c>
      <c r="AE13" s="66">
        <f>SUM(AE10:AE12)</f>
        <v>6235.6049999999996</v>
      </c>
      <c r="AF13" s="66">
        <f>SUM(AF10:AF12)</f>
        <v>23281.469000000005</v>
      </c>
      <c r="AG13" s="66">
        <f>SUM(AG10:AG12)</f>
        <v>16914.134000000002</v>
      </c>
      <c r="AH13" s="66">
        <f>SUM(AH10:AH12)</f>
        <v>11057.760999999999</v>
      </c>
      <c r="AI13" s="66">
        <f>SUM(AI10:AI12)</f>
        <v>5736.3910000000005</v>
      </c>
      <c r="AJ13" s="66">
        <f t="shared" ref="AJ13:BS13" si="9">SUM(AJ10:AJ12)</f>
        <v>21895.264999999999</v>
      </c>
      <c r="AK13" s="66">
        <f t="shared" si="9"/>
        <v>15829.462999999996</v>
      </c>
      <c r="AL13" s="66">
        <f t="shared" si="9"/>
        <v>10310.013999999999</v>
      </c>
      <c r="AM13" s="66">
        <f t="shared" si="9"/>
        <v>5053.8419999999996</v>
      </c>
      <c r="AN13" s="66">
        <f t="shared" si="9"/>
        <v>19657.520999999997</v>
      </c>
      <c r="AO13" s="66">
        <f t="shared" si="9"/>
        <v>13941.552000000001</v>
      </c>
      <c r="AP13" s="66">
        <f t="shared" si="9"/>
        <v>8793.2519999999986</v>
      </c>
      <c r="AQ13" s="66">
        <f t="shared" si="9"/>
        <v>4453.5990000000011</v>
      </c>
      <c r="AR13" s="66">
        <f t="shared" si="9"/>
        <v>21357.581999999999</v>
      </c>
      <c r="AS13" s="66">
        <f t="shared" si="9"/>
        <v>15506.97</v>
      </c>
      <c r="AT13" s="66">
        <f t="shared" si="9"/>
        <v>10026.615999999998</v>
      </c>
      <c r="AU13" s="66">
        <f t="shared" si="9"/>
        <v>4889.6530000000012</v>
      </c>
      <c r="AV13" s="66">
        <f t="shared" si="9"/>
        <v>16869.748999999996</v>
      </c>
      <c r="AW13" s="66">
        <f t="shared" si="9"/>
        <v>11878.002999999999</v>
      </c>
      <c r="AX13" s="66">
        <f t="shared" si="9"/>
        <v>7952.9910000000018</v>
      </c>
      <c r="AY13" s="66">
        <f t="shared" si="9"/>
        <v>3977.694</v>
      </c>
      <c r="AZ13" s="66">
        <f t="shared" si="9"/>
        <v>17999.700000000004</v>
      </c>
      <c r="BA13" s="66">
        <f t="shared" si="9"/>
        <v>12602.809000000001</v>
      </c>
      <c r="BB13" s="66">
        <f t="shared" si="9"/>
        <v>8259.6350000000002</v>
      </c>
      <c r="BC13" s="66">
        <f t="shared" si="9"/>
        <v>3967.893</v>
      </c>
      <c r="BD13" s="66">
        <f t="shared" si="9"/>
        <v>12943.022000000003</v>
      </c>
      <c r="BE13" s="66">
        <f t="shared" si="9"/>
        <v>9238.4009999999998</v>
      </c>
      <c r="BF13" s="66">
        <f t="shared" si="9"/>
        <v>5945.3370000000004</v>
      </c>
      <c r="BG13" s="66">
        <f t="shared" si="9"/>
        <v>2890.64</v>
      </c>
      <c r="BH13" s="66">
        <f t="shared" si="9"/>
        <v>11624.099999999999</v>
      </c>
      <c r="BI13" s="66">
        <f t="shared" si="9"/>
        <v>8610.232</v>
      </c>
      <c r="BJ13" s="66">
        <f t="shared" si="9"/>
        <v>5788.7879999999986</v>
      </c>
      <c r="BK13" s="66">
        <f t="shared" si="9"/>
        <v>2839.6120000000001</v>
      </c>
      <c r="BL13" s="66">
        <f t="shared" si="9"/>
        <v>13322.564</v>
      </c>
      <c r="BM13" s="66">
        <f t="shared" si="9"/>
        <v>10117.833999999997</v>
      </c>
      <c r="BN13" s="66">
        <f t="shared" si="9"/>
        <v>6645.8789999999999</v>
      </c>
      <c r="BO13" s="66">
        <f t="shared" si="9"/>
        <v>3267.7710000000002</v>
      </c>
      <c r="BP13" s="66">
        <f t="shared" si="9"/>
        <v>11769.359999999999</v>
      </c>
      <c r="BQ13" s="66">
        <f t="shared" si="9"/>
        <v>8858.9659999999985</v>
      </c>
      <c r="BR13" s="66">
        <f t="shared" si="9"/>
        <v>5820.3750000000009</v>
      </c>
      <c r="BS13" s="66">
        <f t="shared" si="9"/>
        <v>3024.3710000000001</v>
      </c>
    </row>
    <row r="14" spans="1:71" s="25" customFormat="1" ht="26.1" customHeight="1" x14ac:dyDescent="0.25">
      <c r="A14" s="74">
        <v>14</v>
      </c>
      <c r="B14" s="30" t="s">
        <v>130</v>
      </c>
      <c r="C14" s="93"/>
      <c r="D14" s="88"/>
      <c r="E14" s="94">
        <f t="shared" ca="1" si="0"/>
        <v>0.51850527445020567</v>
      </c>
      <c r="F14" s="22">
        <v>-8493</v>
      </c>
      <c r="G14" s="270">
        <f>-1473.927-9.481</f>
        <v>-1483.4079999999999</v>
      </c>
      <c r="H14" s="22">
        <v>-15530</v>
      </c>
      <c r="I14" s="22">
        <v>-9791</v>
      </c>
      <c r="J14" s="22">
        <v>-5593</v>
      </c>
      <c r="K14" s="22">
        <v>78</v>
      </c>
      <c r="L14" s="22">
        <v>-5284</v>
      </c>
      <c r="M14" s="22">
        <v>-3650</v>
      </c>
      <c r="N14" s="22">
        <f>-3057</f>
        <v>-3057</v>
      </c>
      <c r="O14" s="22">
        <v>-189</v>
      </c>
      <c r="P14" s="22">
        <v>4324</v>
      </c>
      <c r="Q14" s="22">
        <v>4564</v>
      </c>
      <c r="R14" s="22">
        <v>4397</v>
      </c>
      <c r="S14" s="22">
        <v>3691</v>
      </c>
      <c r="T14" s="400"/>
      <c r="U14" s="400"/>
      <c r="V14" s="400"/>
      <c r="W14" s="400"/>
      <c r="X14" s="22">
        <v>-5158</v>
      </c>
      <c r="Y14" s="22">
        <f>-5173</f>
        <v>-5173</v>
      </c>
      <c r="Z14" s="22">
        <v>-4099</v>
      </c>
      <c r="AA14" s="22">
        <v>-2112</v>
      </c>
      <c r="AB14" s="22">
        <v>-8851</v>
      </c>
      <c r="AC14" s="22">
        <v>-7078.348</v>
      </c>
      <c r="AD14" s="22">
        <v>-5067.9579999999996</v>
      </c>
      <c r="AE14" s="22">
        <v>-2599.7550000000001</v>
      </c>
      <c r="AF14" s="22">
        <v>-7655.2790000000005</v>
      </c>
      <c r="AG14" s="22">
        <v>-5587.6009999999997</v>
      </c>
      <c r="AH14" s="22">
        <v>-3815.3820000000001</v>
      </c>
      <c r="AI14" s="270">
        <v>-2219.3290000000002</v>
      </c>
      <c r="AJ14" s="22">
        <v>-7713.6049999999996</v>
      </c>
      <c r="AK14" s="22">
        <v>-5903.701</v>
      </c>
      <c r="AL14" s="22">
        <f>-3669.549</f>
        <v>-3669.549</v>
      </c>
      <c r="AM14" s="270">
        <f>AM74</f>
        <v>-1758.6980000000001</v>
      </c>
      <c r="AN14" s="22">
        <f>AN74+AO74+AP74+AQ74</f>
        <v>-9574.8340000000007</v>
      </c>
      <c r="AO14" s="22">
        <f>AO74+AP74+AQ74</f>
        <v>-7216.5439999999999</v>
      </c>
      <c r="AP14" s="22">
        <f>AP74+AQ74</f>
        <v>-5203.1329999999998</v>
      </c>
      <c r="AQ14" s="22">
        <f>AQ74</f>
        <v>-2654.989</v>
      </c>
      <c r="AR14" s="22">
        <f>AR74+AS74+AT74+AU74</f>
        <v>-12490.106</v>
      </c>
      <c r="AS14" s="22">
        <f>AS74+AT74+AU74</f>
        <v>-9391.8819999999996</v>
      </c>
      <c r="AT14" s="22">
        <f>AT74+AU74</f>
        <v>-6131.32</v>
      </c>
      <c r="AU14" s="22">
        <f>AU74</f>
        <v>-2942.0909999999999</v>
      </c>
      <c r="AV14" s="22">
        <f>AV74+AW74+AX74+AY74</f>
        <v>-12293.143</v>
      </c>
      <c r="AW14" s="22">
        <f>AY74+AX74+AW74</f>
        <v>-8880.3510000000006</v>
      </c>
      <c r="AX14" s="22">
        <f>AX74+AY74</f>
        <v>-5593.9179999999997</v>
      </c>
      <c r="AY14" s="22">
        <f>AY74</f>
        <v>-2554.7150000000001</v>
      </c>
      <c r="AZ14" s="22">
        <f>AZ74+BA74+BB74+BC74</f>
        <v>-7285.9089999999987</v>
      </c>
      <c r="BA14" s="22">
        <f>BA74+BB74+BC74</f>
        <v>-4374.7370000000001</v>
      </c>
      <c r="BB14" s="22">
        <f>BB74+BC74</f>
        <v>-2773.2069999999999</v>
      </c>
      <c r="BC14" s="22">
        <f>BC74</f>
        <v>-1215.3109999999999</v>
      </c>
      <c r="BD14" s="22">
        <f>BE74+BD74+BF74+BG74</f>
        <v>-4495.0690000000004</v>
      </c>
      <c r="BE14" s="22">
        <f>BF74+BE74+BG74</f>
        <v>-3336.0820000000003</v>
      </c>
      <c r="BF14" s="22">
        <f>BG74+BF74</f>
        <v>-2235.4639999999999</v>
      </c>
      <c r="BG14" s="22">
        <f>BG74</f>
        <v>-1089.8030000000001</v>
      </c>
      <c r="BH14" s="22">
        <f>BI74+BH74+BJ74+BK74</f>
        <v>-6389.9370000000008</v>
      </c>
      <c r="BI14" s="64">
        <f>BJ74+BI74+BK74</f>
        <v>-4919.4229999999998</v>
      </c>
      <c r="BJ14" s="22">
        <f>BK74+BJ74</f>
        <v>-3307.2570000000001</v>
      </c>
      <c r="BK14" s="22">
        <f>BK74</f>
        <v>-1767.7650000000001</v>
      </c>
      <c r="BL14" s="22">
        <f>BM74+BL74+BN74+BO74</f>
        <v>-3502.8990000000003</v>
      </c>
      <c r="BM14" s="22">
        <f>BN74+BM74+BO74</f>
        <v>-1683.76</v>
      </c>
      <c r="BN14" s="22">
        <f>BO74+BN74</f>
        <v>-962.95499999999993</v>
      </c>
      <c r="BO14" s="22">
        <f>BO74</f>
        <v>-741.97199999999998</v>
      </c>
      <c r="BP14" s="22">
        <f>BQ74+BP74+BR74+BS74</f>
        <v>-4485.2110000000002</v>
      </c>
      <c r="BQ14" s="22">
        <f>BR74+BQ74+BS74</f>
        <v>-4962.5630000000001</v>
      </c>
      <c r="BR14" s="22">
        <f>BS74+BR74</f>
        <v>-3964.7039999999997</v>
      </c>
      <c r="BS14" s="22">
        <f>BS74</f>
        <v>-2779.527</v>
      </c>
    </row>
    <row r="15" spans="1:71" s="25" customFormat="1" ht="26.1" customHeight="1" x14ac:dyDescent="0.25">
      <c r="A15" s="74">
        <v>15</v>
      </c>
      <c r="B15" s="354" t="s">
        <v>435</v>
      </c>
      <c r="C15" s="93"/>
      <c r="D15" s="88"/>
      <c r="E15" s="94">
        <f t="shared" ca="1" si="0"/>
        <v>0.50850401570587178</v>
      </c>
      <c r="F15" s="22">
        <v>-8452.1479999999992</v>
      </c>
      <c r="G15" s="270">
        <v>-1472</v>
      </c>
      <c r="H15" s="270">
        <v>-15554</v>
      </c>
      <c r="I15" s="22">
        <v>-9798</v>
      </c>
      <c r="J15" s="22">
        <v>-5603</v>
      </c>
      <c r="K15" s="22">
        <v>72</v>
      </c>
      <c r="L15" s="270">
        <v>-5695</v>
      </c>
      <c r="M15" s="22">
        <v>-4097</v>
      </c>
      <c r="N15" s="22">
        <f>-330-2750</f>
        <v>-3080</v>
      </c>
      <c r="O15" s="22">
        <v>-192</v>
      </c>
      <c r="P15" s="22">
        <v>4337</v>
      </c>
      <c r="Q15" s="22">
        <v>4613</v>
      </c>
      <c r="R15" s="22">
        <v>4441.0929999999998</v>
      </c>
      <c r="S15" s="22">
        <v>3834</v>
      </c>
      <c r="T15" s="400"/>
      <c r="U15" s="400"/>
      <c r="V15" s="400"/>
      <c r="W15" s="400"/>
      <c r="X15" s="22">
        <v>-4760</v>
      </c>
      <c r="Y15" s="22">
        <v>-5195</v>
      </c>
      <c r="Z15" s="22">
        <v>-4114</v>
      </c>
      <c r="AA15" s="22">
        <v>-2118</v>
      </c>
      <c r="AB15" s="22">
        <v>-8842</v>
      </c>
      <c r="AC15" s="22">
        <v>-7053.058</v>
      </c>
      <c r="AD15" s="22">
        <v>-5046.2529999999997</v>
      </c>
      <c r="AE15" s="22">
        <v>-2577.288</v>
      </c>
      <c r="AF15" s="22">
        <v>-7704.5230000000001</v>
      </c>
      <c r="AG15" s="22">
        <v>-5635.5140000000001</v>
      </c>
      <c r="AH15" s="22">
        <v>-3862.4029999999998</v>
      </c>
      <c r="AI15" s="270">
        <v>-2268.7809999999999</v>
      </c>
      <c r="AJ15" s="22">
        <v>-7737.92</v>
      </c>
      <c r="AK15" s="22">
        <v>-5903.701</v>
      </c>
      <c r="AL15" s="22">
        <v>-3669.549</v>
      </c>
      <c r="AM15" s="270">
        <v>-1758.6980000000001</v>
      </c>
      <c r="AN15" s="22">
        <v>-9574.8340000000007</v>
      </c>
      <c r="AO15" s="22">
        <v>-7216.5439999999999</v>
      </c>
      <c r="AP15" s="22">
        <v>-5203.1329999999998</v>
      </c>
      <c r="AQ15" s="22">
        <v>-2654.989</v>
      </c>
      <c r="AR15" s="22">
        <v>-12490.106</v>
      </c>
      <c r="AS15" s="22">
        <v>-9391.8819999999996</v>
      </c>
      <c r="AT15" s="22">
        <v>-6131.32</v>
      </c>
      <c r="AU15" s="22">
        <v>-2942.0909999999999</v>
      </c>
      <c r="AV15" s="22">
        <v>-12293.143</v>
      </c>
      <c r="AW15" s="22">
        <v>-8880.3510000000006</v>
      </c>
      <c r="AX15" s="22">
        <v>-5593.9179999999997</v>
      </c>
      <c r="AY15" s="22">
        <v>-2554.7150000000001</v>
      </c>
      <c r="AZ15" s="22">
        <v>-7285.9089999999987</v>
      </c>
      <c r="BA15" s="22">
        <v>-4374.7370000000001</v>
      </c>
      <c r="BB15" s="22">
        <v>-2773.2069999999999</v>
      </c>
      <c r="BC15" s="22">
        <v>-1215.3109999999999</v>
      </c>
      <c r="BD15" s="22">
        <v>-4495.0690000000004</v>
      </c>
      <c r="BE15" s="22">
        <v>-3336.0820000000003</v>
      </c>
      <c r="BF15" s="22">
        <v>-2235.4639999999999</v>
      </c>
      <c r="BG15" s="22">
        <v>-1089.8030000000001</v>
      </c>
      <c r="BH15" s="22">
        <v>-6389.9370000000008</v>
      </c>
      <c r="BI15" s="64">
        <v>-4919.4229999999998</v>
      </c>
      <c r="BJ15" s="22">
        <v>-3307.2570000000001</v>
      </c>
      <c r="BK15" s="22">
        <v>-1767.7650000000001</v>
      </c>
      <c r="BL15" s="22">
        <v>-3502.8990000000003</v>
      </c>
      <c r="BM15" s="22">
        <v>-1683.76</v>
      </c>
      <c r="BN15" s="22">
        <v>-962.95499999999993</v>
      </c>
      <c r="BO15" s="22">
        <v>-741.97199999999998</v>
      </c>
      <c r="BP15" s="22">
        <v>-4485.2110000000002</v>
      </c>
      <c r="BQ15" s="22">
        <v>-4962.5630000000001</v>
      </c>
      <c r="BR15" s="22">
        <v>-3964.7039999999997</v>
      </c>
      <c r="BS15" s="22">
        <v>-2779.527</v>
      </c>
    </row>
    <row r="16" spans="1:71" s="19" customFormat="1" ht="15" customHeight="1" x14ac:dyDescent="0.25">
      <c r="A16" s="74">
        <v>16</v>
      </c>
      <c r="B16" s="29" t="s">
        <v>131</v>
      </c>
      <c r="C16" s="93"/>
      <c r="D16" s="88"/>
      <c r="E16" s="96">
        <f t="shared" ca="1" si="0"/>
        <v>-0.16963678813133554</v>
      </c>
      <c r="F16" s="66">
        <f t="shared" ref="F16" si="10">F13+F14</f>
        <v>28097</v>
      </c>
      <c r="G16" s="271">
        <f t="shared" ref="G16" si="11">G13+G14</f>
        <v>16883.592000000001</v>
      </c>
      <c r="H16" s="66">
        <f t="shared" ref="H16" si="12">H13+H14</f>
        <v>62228</v>
      </c>
      <c r="I16" s="66">
        <f t="shared" ref="I16" si="13">I13+I14</f>
        <v>49281</v>
      </c>
      <c r="J16" s="66">
        <f t="shared" ref="J16:O16" si="14">J13+J14</f>
        <v>33837</v>
      </c>
      <c r="K16" s="66">
        <f t="shared" si="14"/>
        <v>20006</v>
      </c>
      <c r="L16" s="66">
        <f t="shared" si="14"/>
        <v>65273</v>
      </c>
      <c r="M16" s="66">
        <f t="shared" si="14"/>
        <v>47560</v>
      </c>
      <c r="N16" s="66">
        <f t="shared" si="14"/>
        <v>30809</v>
      </c>
      <c r="O16" s="66">
        <f t="shared" si="14"/>
        <v>17013</v>
      </c>
      <c r="P16" s="66">
        <f t="shared" ref="P16:AU16" si="15">P13+P14</f>
        <v>55156</v>
      </c>
      <c r="Q16" s="66">
        <f t="shared" si="15"/>
        <v>39319</v>
      </c>
      <c r="R16" s="66">
        <f t="shared" si="15"/>
        <v>26492</v>
      </c>
      <c r="S16" s="66">
        <f t="shared" si="15"/>
        <v>14900</v>
      </c>
      <c r="T16" s="412"/>
      <c r="U16" s="412"/>
      <c r="V16" s="412"/>
      <c r="W16" s="412"/>
      <c r="X16" s="66">
        <f t="shared" si="15"/>
        <v>23753</v>
      </c>
      <c r="Y16" s="66">
        <f t="shared" si="15"/>
        <v>15784</v>
      </c>
      <c r="Z16" s="66">
        <f t="shared" si="15"/>
        <v>9801</v>
      </c>
      <c r="AA16" s="66">
        <f t="shared" si="15"/>
        <v>4354</v>
      </c>
      <c r="AB16" s="66">
        <f t="shared" si="15"/>
        <v>16673</v>
      </c>
      <c r="AC16" s="66">
        <f t="shared" si="15"/>
        <v>11255.239</v>
      </c>
      <c r="AD16" s="66">
        <f t="shared" si="15"/>
        <v>7225.2050000000008</v>
      </c>
      <c r="AE16" s="66">
        <f t="shared" si="15"/>
        <v>3635.8499999999995</v>
      </c>
      <c r="AF16" s="66">
        <f t="shared" si="15"/>
        <v>15626.190000000004</v>
      </c>
      <c r="AG16" s="66">
        <f t="shared" si="15"/>
        <v>11326.533000000003</v>
      </c>
      <c r="AH16" s="66">
        <f t="shared" si="15"/>
        <v>7242.378999999999</v>
      </c>
      <c r="AI16" s="271">
        <f t="shared" si="15"/>
        <v>3517.0620000000004</v>
      </c>
      <c r="AJ16" s="66">
        <f t="shared" si="15"/>
        <v>14181.66</v>
      </c>
      <c r="AK16" s="66">
        <f t="shared" si="15"/>
        <v>9925.7619999999952</v>
      </c>
      <c r="AL16" s="66">
        <f t="shared" si="15"/>
        <v>6640.4649999999992</v>
      </c>
      <c r="AM16" s="66">
        <f t="shared" si="15"/>
        <v>3295.1439999999993</v>
      </c>
      <c r="AN16" s="66">
        <f t="shared" si="15"/>
        <v>10082.686999999996</v>
      </c>
      <c r="AO16" s="66">
        <f t="shared" si="15"/>
        <v>6725.0080000000016</v>
      </c>
      <c r="AP16" s="66">
        <f t="shared" si="15"/>
        <v>3590.1189999999988</v>
      </c>
      <c r="AQ16" s="66">
        <f t="shared" si="15"/>
        <v>1798.610000000001</v>
      </c>
      <c r="AR16" s="66">
        <f t="shared" si="15"/>
        <v>8867.4759999999987</v>
      </c>
      <c r="AS16" s="66">
        <f t="shared" si="15"/>
        <v>6115.0879999999997</v>
      </c>
      <c r="AT16" s="66">
        <f t="shared" si="15"/>
        <v>3895.2959999999985</v>
      </c>
      <c r="AU16" s="66">
        <f t="shared" si="15"/>
        <v>1947.5620000000013</v>
      </c>
      <c r="AV16" s="66">
        <f t="shared" ref="AV16:BS16" si="16">AV13+AV14</f>
        <v>4576.6059999999961</v>
      </c>
      <c r="AW16" s="66">
        <f t="shared" si="16"/>
        <v>2997.6519999999982</v>
      </c>
      <c r="AX16" s="66">
        <f t="shared" si="16"/>
        <v>2359.0730000000021</v>
      </c>
      <c r="AY16" s="66">
        <f t="shared" si="16"/>
        <v>1422.9789999999998</v>
      </c>
      <c r="AZ16" s="66">
        <f t="shared" si="16"/>
        <v>10713.791000000005</v>
      </c>
      <c r="BA16" s="66">
        <f t="shared" si="16"/>
        <v>8228.0720000000001</v>
      </c>
      <c r="BB16" s="66">
        <f t="shared" si="16"/>
        <v>5486.4279999999999</v>
      </c>
      <c r="BC16" s="66">
        <f t="shared" si="16"/>
        <v>2752.5820000000003</v>
      </c>
      <c r="BD16" s="66">
        <f t="shared" si="16"/>
        <v>8447.9530000000013</v>
      </c>
      <c r="BE16" s="66">
        <f t="shared" si="16"/>
        <v>5902.3189999999995</v>
      </c>
      <c r="BF16" s="20">
        <f t="shared" si="16"/>
        <v>3709.8730000000005</v>
      </c>
      <c r="BG16" s="20">
        <f t="shared" si="16"/>
        <v>1800.8369999999998</v>
      </c>
      <c r="BH16" s="66">
        <f t="shared" si="16"/>
        <v>5234.1629999999977</v>
      </c>
      <c r="BI16" s="20">
        <f t="shared" si="16"/>
        <v>3690.8090000000002</v>
      </c>
      <c r="BJ16" s="20">
        <f t="shared" si="16"/>
        <v>2481.5309999999986</v>
      </c>
      <c r="BK16" s="20">
        <f t="shared" si="16"/>
        <v>1071.847</v>
      </c>
      <c r="BL16" s="20">
        <f t="shared" si="16"/>
        <v>9819.6650000000009</v>
      </c>
      <c r="BM16" s="20">
        <f t="shared" si="16"/>
        <v>8434.0739999999969</v>
      </c>
      <c r="BN16" s="20">
        <f t="shared" si="16"/>
        <v>5682.924</v>
      </c>
      <c r="BO16" s="20">
        <f t="shared" si="16"/>
        <v>2525.799</v>
      </c>
      <c r="BP16" s="20">
        <f t="shared" si="16"/>
        <v>7284.1489999999985</v>
      </c>
      <c r="BQ16" s="20">
        <f t="shared" si="16"/>
        <v>3896.4029999999984</v>
      </c>
      <c r="BR16" s="20">
        <f t="shared" si="16"/>
        <v>1855.6710000000012</v>
      </c>
      <c r="BS16" s="20">
        <f t="shared" si="16"/>
        <v>244.84400000000005</v>
      </c>
    </row>
    <row r="17" spans="1:71" s="25" customFormat="1" x14ac:dyDescent="0.25">
      <c r="A17" s="74">
        <v>17</v>
      </c>
      <c r="B17" s="30" t="s">
        <v>460</v>
      </c>
      <c r="C17" s="93"/>
      <c r="D17" s="88"/>
      <c r="E17" s="94"/>
      <c r="F17" s="22">
        <f>-124+302</f>
        <v>178</v>
      </c>
      <c r="G17" s="270">
        <v>229</v>
      </c>
      <c r="H17" s="22">
        <v>134</v>
      </c>
      <c r="I17" s="22">
        <f>373-122</f>
        <v>251</v>
      </c>
      <c r="J17" s="22">
        <f>809-124</f>
        <v>685</v>
      </c>
      <c r="K17" s="22">
        <f>-16-110</f>
        <v>-126</v>
      </c>
      <c r="L17" s="22">
        <v>-2126</v>
      </c>
      <c r="M17" s="22">
        <v>-1312</v>
      </c>
      <c r="N17" s="22">
        <v>-449</v>
      </c>
      <c r="O17" s="22">
        <v>-169</v>
      </c>
      <c r="P17" s="22">
        <v>-127</v>
      </c>
      <c r="Q17" s="22">
        <v>894</v>
      </c>
      <c r="R17" s="22">
        <v>1581</v>
      </c>
      <c r="S17" s="22">
        <v>1376</v>
      </c>
      <c r="T17" s="400"/>
      <c r="U17" s="400"/>
      <c r="V17" s="400"/>
      <c r="W17" s="400"/>
      <c r="X17" s="22">
        <v>-424</v>
      </c>
      <c r="Y17" s="22">
        <v>-348</v>
      </c>
      <c r="Z17" s="22">
        <v>-246</v>
      </c>
      <c r="AA17" s="22">
        <v>-216</v>
      </c>
      <c r="AB17" s="22">
        <v>-285</v>
      </c>
      <c r="AC17" s="22">
        <v>-202.28</v>
      </c>
      <c r="AD17" s="22">
        <v>-122.99400000000001</v>
      </c>
      <c r="AE17" s="22">
        <v>-66.569000000000003</v>
      </c>
      <c r="AF17" s="22">
        <v>-806.72699999999998</v>
      </c>
      <c r="AG17" s="22">
        <v>-801.33200000000011</v>
      </c>
      <c r="AH17" s="22">
        <v>-598.68700000000001</v>
      </c>
      <c r="AI17" s="270">
        <v>-191.52500000000001</v>
      </c>
      <c r="AJ17" s="22">
        <v>-1940.1029999999998</v>
      </c>
      <c r="AK17" s="22">
        <v>-1430.8220000000001</v>
      </c>
      <c r="AL17" s="22">
        <v>-234.19500000000005</v>
      </c>
      <c r="AM17" s="22">
        <f>(AM77)+148.358</f>
        <v>3.5819999999999936</v>
      </c>
      <c r="AN17" s="22">
        <f>(AN77+AO77+AP77+AQ77)+1198.694</f>
        <v>960.23299999999995</v>
      </c>
      <c r="AO17" s="22">
        <f>(AO77+AP77+AQ77)+1033.498</f>
        <v>919.85700000000008</v>
      </c>
      <c r="AP17" s="22">
        <f>(AP77+AQ77)+303.533</f>
        <v>148.39900000000003</v>
      </c>
      <c r="AQ17" s="22">
        <f>(AQ77)+163.998</f>
        <v>39.350999999999985</v>
      </c>
      <c r="AR17" s="22">
        <f>(AR77+AS77+AT77+AU77)+982.912</f>
        <v>1560.664</v>
      </c>
      <c r="AS17" s="22">
        <f>(AS77+AT77+AU77)+692.847</f>
        <v>915.85500000000002</v>
      </c>
      <c r="AT17" s="22">
        <f>(AT77+AU77)+578.254</f>
        <v>949.04899999999998</v>
      </c>
      <c r="AU17" s="22">
        <f>(AU77)+375.736</f>
        <v>677.59999999999991</v>
      </c>
      <c r="AV17" s="22">
        <f>(AV77+AW77+AX77+AY77)+474.793</f>
        <v>1314.0520000000001</v>
      </c>
      <c r="AW17" s="22">
        <f>(AY77+AX77+AW77)+289.601</f>
        <v>334.315</v>
      </c>
      <c r="AX17" s="22">
        <f>(AX77+AY77)+290.613</f>
        <v>97.436000000000007</v>
      </c>
      <c r="AY17" s="22">
        <f>(AY77)+0</f>
        <v>-282.96499999999997</v>
      </c>
      <c r="AZ17" s="22">
        <f>(AZ77+BA77+BB77+BC77)+265.091</f>
        <v>-4078.61</v>
      </c>
      <c r="BA17" s="22">
        <f>(BA77+BB77+BC77)+248.724</f>
        <v>-1645.3100000000002</v>
      </c>
      <c r="BB17" s="22">
        <f>(BB77+BC77)+248.724</f>
        <v>-918.82300000000009</v>
      </c>
      <c r="BC17" s="22">
        <f>(BC77)+-92.292</f>
        <v>-1038.702</v>
      </c>
      <c r="BD17" s="22">
        <f>(BE77+BD77+BF77+BG77)+2567.339</f>
        <v>2369.308</v>
      </c>
      <c r="BE17" s="22">
        <f>(BF77+BE77+BG77)+585.752</f>
        <v>477.39599999999996</v>
      </c>
      <c r="BF17" s="22">
        <f>(BG77+BF77)+0</f>
        <v>-93.260999999999996</v>
      </c>
      <c r="BG17" s="22">
        <f>(BG77)+0</f>
        <v>121.86799999999999</v>
      </c>
      <c r="BH17" s="22">
        <f>(BI77+BH77+BJ77+BK77)+38.072</f>
        <v>174.983</v>
      </c>
      <c r="BI17" s="22">
        <f>(BJ77+BI77+BK77)+38.072</f>
        <v>108.70500000000004</v>
      </c>
      <c r="BJ17" s="22">
        <f>(BK77+BJ77)+0</f>
        <v>-200.53199999999998</v>
      </c>
      <c r="BK17" s="22">
        <f>(BK77)+0</f>
        <v>77.927999999999997</v>
      </c>
      <c r="BL17" s="22">
        <f>(BM77+BL77+BN77+BO77)+879.291</f>
        <v>84.43100000000004</v>
      </c>
      <c r="BM17" s="22">
        <f>(BN77+BM77+BO77)+879.291</f>
        <v>-56.992999999999938</v>
      </c>
      <c r="BN17" s="22">
        <f>(BO77+BN77)+879.291</f>
        <v>1043.1220000000001</v>
      </c>
      <c r="BO17" s="22">
        <f>(BO77)+0</f>
        <v>141.86000000000001</v>
      </c>
      <c r="BP17" s="22">
        <f>(BQ77+BP77+BR77+BS77)+0.256</f>
        <v>302.71099999999996</v>
      </c>
      <c r="BQ17" s="22">
        <f>(BR77+BQ77+BS77)+0.256</f>
        <v>386.23599999999993</v>
      </c>
      <c r="BR17" s="22">
        <f>(BS77+BR77)+0.256</f>
        <v>375.48799999999994</v>
      </c>
      <c r="BS17" s="22">
        <f>(BS77)+0</f>
        <v>685.30499999999995</v>
      </c>
    </row>
    <row r="18" spans="1:71" s="25" customFormat="1" x14ac:dyDescent="0.25">
      <c r="A18" s="74">
        <v>18</v>
      </c>
      <c r="B18" s="30"/>
      <c r="C18" s="93"/>
      <c r="D18" s="88"/>
      <c r="E18" s="94"/>
      <c r="F18" s="22"/>
      <c r="G18" s="270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400"/>
      <c r="U18" s="400"/>
      <c r="V18" s="400"/>
      <c r="W18" s="400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70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</row>
    <row r="19" spans="1:71" s="254" customFormat="1" ht="26.25" x14ac:dyDescent="0.25">
      <c r="A19" s="74">
        <v>19</v>
      </c>
      <c r="B19" s="244" t="s">
        <v>357</v>
      </c>
      <c r="C19" s="255"/>
      <c r="D19" s="294"/>
      <c r="E19" s="256"/>
      <c r="F19" s="257">
        <v>2321</v>
      </c>
      <c r="G19" s="270">
        <v>719</v>
      </c>
      <c r="H19" s="257">
        <v>5893</v>
      </c>
      <c r="I19" s="257">
        <v>4088</v>
      </c>
      <c r="J19" s="257">
        <v>4444</v>
      </c>
      <c r="K19" s="22">
        <v>2444</v>
      </c>
      <c r="L19" s="257">
        <v>13022</v>
      </c>
      <c r="M19" s="257">
        <v>8935</v>
      </c>
      <c r="N19" s="257">
        <v>5244</v>
      </c>
      <c r="O19" s="22">
        <v>2376</v>
      </c>
      <c r="P19" s="257">
        <v>10397</v>
      </c>
      <c r="Q19" s="257">
        <v>8311</v>
      </c>
      <c r="R19" s="257">
        <v>6094</v>
      </c>
      <c r="S19" s="22">
        <v>4510</v>
      </c>
      <c r="T19" s="428"/>
      <c r="U19" s="428"/>
      <c r="V19" s="428"/>
      <c r="W19" s="428"/>
      <c r="X19" s="257">
        <v>5758</v>
      </c>
      <c r="Y19" s="257">
        <v>3672</v>
      </c>
      <c r="Z19" s="257">
        <v>2367</v>
      </c>
      <c r="AA19" s="257">
        <v>799</v>
      </c>
      <c r="AB19" s="257">
        <v>2802</v>
      </c>
      <c r="AC19" s="257">
        <v>1170.1790000000001</v>
      </c>
      <c r="AD19" s="257">
        <v>525.58799999999997</v>
      </c>
      <c r="AE19" s="257">
        <v>41.334000000000003</v>
      </c>
      <c r="AF19" s="257">
        <v>1040.433</v>
      </c>
      <c r="AG19" s="257">
        <v>877.15300000000002</v>
      </c>
      <c r="AH19" s="257">
        <v>1095.607</v>
      </c>
      <c r="AI19" s="272">
        <v>98.58</v>
      </c>
      <c r="AJ19" s="257">
        <v>5913.1279999999997</v>
      </c>
      <c r="AK19" s="165">
        <v>3787.6889999999999</v>
      </c>
      <c r="AL19" s="165">
        <v>2081.2999999999997</v>
      </c>
      <c r="AM19" s="165">
        <v>441.07499999999999</v>
      </c>
      <c r="AN19" s="165">
        <v>5285.0759999999991</v>
      </c>
      <c r="AO19" s="22">
        <f>AO79+AP79+AQ79</f>
        <v>4577.7599999999984</v>
      </c>
      <c r="AP19" s="165">
        <v>3923.7090000000007</v>
      </c>
      <c r="AQ19" s="165">
        <v>1551.049</v>
      </c>
      <c r="AR19" s="165">
        <v>2608.1529999999998</v>
      </c>
      <c r="AS19" s="165">
        <v>2560.6699999999996</v>
      </c>
      <c r="AT19" s="165">
        <v>1559.3520000000003</v>
      </c>
      <c r="AU19" s="165">
        <v>589.61599999999953</v>
      </c>
      <c r="AV19" s="165">
        <v>4865.255000000001</v>
      </c>
      <c r="AW19" s="165">
        <v>4007.0489999999991</v>
      </c>
      <c r="AX19" s="165">
        <v>2212.3780000000002</v>
      </c>
      <c r="AY19" s="165">
        <v>784.851</v>
      </c>
      <c r="AZ19" s="165">
        <v>3955.9630000000002</v>
      </c>
      <c r="BA19" s="165">
        <v>1519.1240000000003</v>
      </c>
      <c r="BB19" s="165">
        <v>960.79500000000007</v>
      </c>
      <c r="BC19" s="165">
        <v>758.90000000000009</v>
      </c>
      <c r="BD19" s="165">
        <v>2010.9279999999999</v>
      </c>
      <c r="BE19" s="165">
        <v>1387.4590000000003</v>
      </c>
      <c r="BF19" s="165">
        <v>814.99500000000023</v>
      </c>
      <c r="BG19" s="165">
        <v>375.69300000000004</v>
      </c>
      <c r="BH19" s="165">
        <v>692.74499999999989</v>
      </c>
      <c r="BI19" s="165">
        <v>471.75</v>
      </c>
      <c r="BJ19" s="165">
        <v>316.49199999999996</v>
      </c>
      <c r="BK19" s="165">
        <v>202.96299999999999</v>
      </c>
      <c r="BL19" s="165">
        <v>711.38000000000011</v>
      </c>
      <c r="BM19" s="165">
        <v>504.673</v>
      </c>
      <c r="BN19" s="165">
        <v>376.947</v>
      </c>
      <c r="BO19" s="165">
        <v>372.726</v>
      </c>
      <c r="BP19" s="165">
        <v>667.78200000000015</v>
      </c>
      <c r="BQ19" s="165">
        <v>462.13400000000024</v>
      </c>
      <c r="BR19" s="165">
        <v>355.24300000000005</v>
      </c>
      <c r="BS19" s="165">
        <v>200.69300000000004</v>
      </c>
    </row>
    <row r="20" spans="1:71" s="25" customFormat="1" ht="15" customHeight="1" x14ac:dyDescent="0.25">
      <c r="A20" s="74">
        <v>20</v>
      </c>
      <c r="B20" s="30" t="s">
        <v>132</v>
      </c>
      <c r="C20" s="93"/>
      <c r="D20" s="88"/>
      <c r="E20" s="94">
        <f ca="1">OFFSET($E$7,$A20-$A$7,1,1,1)/OFFSET($E$7,$A20-$A$7,5,1,1)-1</f>
        <v>8.072066959852453E-2</v>
      </c>
      <c r="F20" s="22">
        <v>7618</v>
      </c>
      <c r="G20" s="270">
        <v>3570</v>
      </c>
      <c r="H20" s="22">
        <v>14840</v>
      </c>
      <c r="I20" s="22">
        <v>10764</v>
      </c>
      <c r="J20" s="22">
        <v>7049</v>
      </c>
      <c r="K20" s="22">
        <v>3434</v>
      </c>
      <c r="L20" s="22">
        <v>14405</v>
      </c>
      <c r="M20" s="22">
        <v>10686</v>
      </c>
      <c r="N20" s="22">
        <v>6829</v>
      </c>
      <c r="O20" s="22">
        <v>3347</v>
      </c>
      <c r="P20" s="22">
        <v>15285</v>
      </c>
      <c r="Q20" s="22">
        <v>11440</v>
      </c>
      <c r="R20" s="22">
        <v>7750</v>
      </c>
      <c r="S20" s="22">
        <v>4193</v>
      </c>
      <c r="T20" s="400"/>
      <c r="U20" s="400"/>
      <c r="V20" s="400"/>
      <c r="W20" s="400"/>
      <c r="X20" s="22">
        <v>11432</v>
      </c>
      <c r="Y20" s="22">
        <v>8237</v>
      </c>
      <c r="Z20" s="22">
        <v>5397</v>
      </c>
      <c r="AA20" s="22">
        <v>2466</v>
      </c>
      <c r="AB20" s="22">
        <v>9527</v>
      </c>
      <c r="AC20" s="22">
        <v>6647.8879999999999</v>
      </c>
      <c r="AD20" s="22">
        <v>4223.1419999999998</v>
      </c>
      <c r="AE20" s="22">
        <v>2159.5120000000002</v>
      </c>
      <c r="AF20" s="22">
        <v>8977.8870000000006</v>
      </c>
      <c r="AG20" s="22">
        <v>6389.5189999999993</v>
      </c>
      <c r="AH20" s="22">
        <v>4081.8489999999997</v>
      </c>
      <c r="AI20" s="22">
        <v>1810.5390000000002</v>
      </c>
      <c r="AJ20" s="22">
        <v>7325.6369999999988</v>
      </c>
      <c r="AK20" s="22">
        <v>5270.7489999999998</v>
      </c>
      <c r="AL20" s="22">
        <v>3407.5639999999999</v>
      </c>
      <c r="AM20" s="22">
        <v>1692.2310000000002</v>
      </c>
      <c r="AN20" s="22">
        <f>AN80+AO80+AP80+AQ80</f>
        <v>6607.0789999999997</v>
      </c>
      <c r="AO20" s="22">
        <f>AO80+AP80+AQ80</f>
        <v>4775.6149999999998</v>
      </c>
      <c r="AP20" s="22">
        <f>AP80+AQ80</f>
        <v>3105.2330000000002</v>
      </c>
      <c r="AQ20" s="22">
        <f>AQ80</f>
        <v>1493.326</v>
      </c>
      <c r="AR20" s="22">
        <f>AR80+AS80+AT80+AU80</f>
        <v>5830.4570000000003</v>
      </c>
      <c r="AS20" s="22">
        <f>AS80+AT80+AU80</f>
        <v>4251.7849999999999</v>
      </c>
      <c r="AT20" s="22">
        <f>AT80+AU80</f>
        <v>2768.6260000000002</v>
      </c>
      <c r="AU20" s="22">
        <f>AU80</f>
        <v>1345.808</v>
      </c>
      <c r="AV20" s="22">
        <f>AV80+AW80+AX80+AY80</f>
        <v>4772.3379999999997</v>
      </c>
      <c r="AW20" s="22">
        <f>AY80+AX80+AW80</f>
        <v>3434.0540000000001</v>
      </c>
      <c r="AX20" s="22">
        <f>AX80+AY80</f>
        <v>2191.1930000000002</v>
      </c>
      <c r="AY20" s="22">
        <f>AY80</f>
        <v>1012.235</v>
      </c>
      <c r="AZ20" s="22">
        <f>AZ80+BA80+BB80+BC80</f>
        <v>4420.5870000000004</v>
      </c>
      <c r="BA20" s="22">
        <f>BA80+BB80+BC80</f>
        <v>3108.0250000000001</v>
      </c>
      <c r="BB20" s="22">
        <f>BB80+BC80</f>
        <v>1981.491</v>
      </c>
      <c r="BC20" s="22">
        <f>BC80</f>
        <v>928.71600000000001</v>
      </c>
      <c r="BD20" s="22">
        <f>BE80+BD80+BF80+BG80</f>
        <v>3172.4560000000001</v>
      </c>
      <c r="BE20" s="22">
        <f>BF80+BE80+BG80</f>
        <v>2238.8519999999999</v>
      </c>
      <c r="BF20" s="22">
        <f>BG80+BF80</f>
        <v>1433.223</v>
      </c>
      <c r="BG20" s="22">
        <f>BG80</f>
        <v>683.45600000000002</v>
      </c>
      <c r="BH20" s="22">
        <f>BI80+BH80+BJ80+BK80</f>
        <v>2753.2040000000006</v>
      </c>
      <c r="BI20" s="22">
        <f>BJ80+BI80+BK80</f>
        <v>1931.1309999999999</v>
      </c>
      <c r="BJ20" s="22">
        <f>BK80+BJ80</f>
        <v>1225.6799999999998</v>
      </c>
      <c r="BK20" s="22">
        <f>BK80</f>
        <v>559.28599999999994</v>
      </c>
      <c r="BL20" s="22">
        <f>BM80+BL80+BN80+BO80</f>
        <v>2432.0219999999999</v>
      </c>
      <c r="BM20" s="22">
        <f>BN80+BM80+BO80</f>
        <v>1705.0709999999999</v>
      </c>
      <c r="BN20" s="22">
        <f>BO80+BN80</f>
        <v>1098.4929999999999</v>
      </c>
      <c r="BO20" s="22">
        <f>BO80</f>
        <v>498.67500000000001</v>
      </c>
      <c r="BP20" s="22">
        <f>BQ80+BP80+BR80+BS80</f>
        <v>2007.1849999999999</v>
      </c>
      <c r="BQ20" s="22">
        <f>BR80+BQ80+BS80</f>
        <v>1373.0050000000001</v>
      </c>
      <c r="BR20" s="22">
        <f>BS80+BR80</f>
        <v>903.23</v>
      </c>
      <c r="BS20" s="22">
        <f>BS80</f>
        <v>416.36200000000002</v>
      </c>
    </row>
    <row r="21" spans="1:71" s="25" customFormat="1" ht="15" customHeight="1" x14ac:dyDescent="0.25">
      <c r="A21" s="74">
        <v>21</v>
      </c>
      <c r="B21" s="30" t="s">
        <v>133</v>
      </c>
      <c r="C21" s="93"/>
      <c r="D21" s="88"/>
      <c r="E21" s="94">
        <f ca="1">OFFSET($E$7,$A21-$A$7,1,1,1)/OFFSET($E$7,$A21-$A$7,5,1,1)-1</f>
        <v>0.15894955079474782</v>
      </c>
      <c r="F21" s="22">
        <v>-1677</v>
      </c>
      <c r="G21" s="270">
        <v>-775</v>
      </c>
      <c r="H21" s="22">
        <v>-3053</v>
      </c>
      <c r="I21" s="22">
        <v>-2289</v>
      </c>
      <c r="J21" s="22">
        <v>-1447</v>
      </c>
      <c r="K21" s="22">
        <v>-673</v>
      </c>
      <c r="L21" s="22">
        <v>-2806</v>
      </c>
      <c r="M21" s="22">
        <v>-2162</v>
      </c>
      <c r="N21" s="22">
        <v>-1461</v>
      </c>
      <c r="O21" s="22">
        <v>-688</v>
      </c>
      <c r="P21" s="22">
        <v>-2798</v>
      </c>
      <c r="Q21" s="22">
        <v>-2010</v>
      </c>
      <c r="R21" s="22">
        <v>-1292</v>
      </c>
      <c r="S21" s="22">
        <v>-627</v>
      </c>
      <c r="T21" s="400"/>
      <c r="U21" s="400"/>
      <c r="V21" s="400"/>
      <c r="W21" s="400"/>
      <c r="X21" s="22">
        <v>-2423</v>
      </c>
      <c r="Y21" s="22">
        <v>-1828</v>
      </c>
      <c r="Z21" s="22">
        <v>-1184</v>
      </c>
      <c r="AA21" s="22">
        <v>-561</v>
      </c>
      <c r="AB21" s="22">
        <v>-1987</v>
      </c>
      <c r="AC21" s="22">
        <v>-1422.7550000000001</v>
      </c>
      <c r="AD21" s="22">
        <v>-898.01</v>
      </c>
      <c r="AE21" s="22">
        <v>-477.34300000000002</v>
      </c>
      <c r="AF21" s="22">
        <v>-2158.9609999999993</v>
      </c>
      <c r="AG21" s="22">
        <v>-1563.8720000000001</v>
      </c>
      <c r="AH21" s="22">
        <v>-1039.731</v>
      </c>
      <c r="AI21" s="22">
        <v>-532.08399999999995</v>
      </c>
      <c r="AJ21" s="22">
        <v>-2082.5549999999998</v>
      </c>
      <c r="AK21" s="22">
        <v>-1523.7964999999999</v>
      </c>
      <c r="AL21" s="22">
        <v>-986.23299999999983</v>
      </c>
      <c r="AM21" s="22">
        <v>-456.96749999999997</v>
      </c>
      <c r="AN21" s="22">
        <f>AN81+AO81+AP81+AQ81</f>
        <v>-1396.0060000000001</v>
      </c>
      <c r="AO21" s="22">
        <f>AO81+AP81+AQ81</f>
        <v>-1029.857</v>
      </c>
      <c r="AP21" s="22">
        <f>AP81+AQ81</f>
        <v>-671.49800000000005</v>
      </c>
      <c r="AQ21" s="22">
        <f>AQ81</f>
        <v>-322.12200000000001</v>
      </c>
      <c r="AR21" s="22">
        <f>AR81+AS81+AT81+AU81</f>
        <v>-1130.9380000000001</v>
      </c>
      <c r="AS21" s="22">
        <f>AS81+AT81+AU81</f>
        <v>-777.48699999999997</v>
      </c>
      <c r="AT21" s="22">
        <f>AT81+AU81</f>
        <v>-472.84800000000001</v>
      </c>
      <c r="AU21" s="22">
        <f>AU81</f>
        <v>-217.833</v>
      </c>
      <c r="AV21" s="22">
        <f>AV81+AW81+AX81+AY81</f>
        <v>-730.02800000000002</v>
      </c>
      <c r="AW21" s="22">
        <f>AY81+AX81+AW81</f>
        <v>-536.11199999999997</v>
      </c>
      <c r="AX21" s="22">
        <f>AX81+AY81</f>
        <v>-327.66800000000001</v>
      </c>
      <c r="AY21" s="22">
        <f>AY81</f>
        <v>-175.51499999999999</v>
      </c>
      <c r="AZ21" s="22">
        <f>AZ81+BA81+BB81+BC81</f>
        <v>-699.94500000000005</v>
      </c>
      <c r="BA21" s="22">
        <f>BA81+BB81+BC81</f>
        <v>-459.76800000000003</v>
      </c>
      <c r="BB21" s="22">
        <f>BB81+BC81</f>
        <v>-295.53500000000003</v>
      </c>
      <c r="BC21" s="22">
        <f>BC81</f>
        <v>-139.08699999999999</v>
      </c>
      <c r="BD21" s="22">
        <f>BE81+BD81+BF81+BG81</f>
        <v>-494.58800000000002</v>
      </c>
      <c r="BE21" s="22">
        <f>BF81+BE81+BG81</f>
        <v>-361.44</v>
      </c>
      <c r="BF21" s="22">
        <f>BG81+BF81</f>
        <v>-207.35300000000001</v>
      </c>
      <c r="BG21" s="22">
        <f>BG81</f>
        <v>-89.021000000000001</v>
      </c>
      <c r="BH21" s="22">
        <f>BI81+BH81+BJ81+BK81</f>
        <v>-404.07499999999993</v>
      </c>
      <c r="BI21" s="64">
        <f>BJ81+BI81+BK81</f>
        <v>-286.53300000000002</v>
      </c>
      <c r="BJ21" s="22">
        <f>BK81+BJ81</f>
        <v>-189.92599999999999</v>
      </c>
      <c r="BK21" s="22">
        <f>BK81</f>
        <v>-77.227000000000004</v>
      </c>
      <c r="BL21" s="22">
        <f>BM81+BL81+BN81+BO81</f>
        <v>-380.38799999999998</v>
      </c>
      <c r="BM21" s="22">
        <f>BN81+BM81+BO81</f>
        <v>-241.17699999999996</v>
      </c>
      <c r="BN21" s="22">
        <f>BO81+BN81</f>
        <v>-159.66199999999998</v>
      </c>
      <c r="BO21" s="22">
        <f>BO81</f>
        <v>-59.543999999999997</v>
      </c>
      <c r="BP21" s="22">
        <f>BQ81+BP81+BR81+BS81</f>
        <v>-292.06</v>
      </c>
      <c r="BQ21" s="22">
        <f>BR81+BQ81+BS81</f>
        <v>-192.50900000000001</v>
      </c>
      <c r="BR21" s="22">
        <f>BS81+BR81</f>
        <v>-139.733</v>
      </c>
      <c r="BS21" s="22">
        <f>BS81</f>
        <v>-79.165000000000006</v>
      </c>
    </row>
    <row r="22" spans="1:71" s="25" customFormat="1" ht="26.25" customHeight="1" x14ac:dyDescent="0.25">
      <c r="A22" s="74">
        <v>22</v>
      </c>
      <c r="B22" s="30" t="s">
        <v>361</v>
      </c>
      <c r="C22" s="93"/>
      <c r="D22" s="88"/>
      <c r="E22" s="94"/>
      <c r="F22" s="22">
        <v>-689</v>
      </c>
      <c r="G22" s="270">
        <v>-222</v>
      </c>
      <c r="H22" s="22">
        <v>-342</v>
      </c>
      <c r="I22" s="22">
        <v>7</v>
      </c>
      <c r="J22" s="22">
        <v>14</v>
      </c>
      <c r="K22" s="22">
        <v>-16</v>
      </c>
      <c r="L22" s="22">
        <f>-66</f>
        <v>-66</v>
      </c>
      <c r="M22" s="22">
        <v>-2</v>
      </c>
      <c r="N22" s="22">
        <v>-47</v>
      </c>
      <c r="O22" s="22">
        <v>-43</v>
      </c>
      <c r="P22" s="22">
        <f>6075+296</f>
        <v>6371</v>
      </c>
      <c r="Q22" s="22">
        <v>5895</v>
      </c>
      <c r="R22" s="22">
        <v>5863</v>
      </c>
      <c r="S22" s="22">
        <v>-334</v>
      </c>
      <c r="T22" s="400"/>
      <c r="U22" s="400"/>
      <c r="V22" s="400"/>
      <c r="W22" s="400"/>
      <c r="X22" s="22">
        <v>-373</v>
      </c>
      <c r="Y22" s="22">
        <v>-348</v>
      </c>
      <c r="Z22" s="22">
        <v>12</v>
      </c>
      <c r="AA22" s="22">
        <v>105</v>
      </c>
      <c r="AB22" s="22">
        <v>35</v>
      </c>
      <c r="AC22" s="22">
        <v>205.98599999999999</v>
      </c>
      <c r="AD22" s="22">
        <v>137.06700000000001</v>
      </c>
      <c r="AE22" s="22">
        <v>202.697</v>
      </c>
      <c r="AF22" s="22">
        <v>-172.126</v>
      </c>
      <c r="AG22" s="22">
        <v>-67.257000000000005</v>
      </c>
      <c r="AH22" s="22">
        <v>-90.744</v>
      </c>
      <c r="AI22" s="22">
        <v>-89.367999999999995</v>
      </c>
      <c r="AJ22" s="22">
        <v>-203.15600000000001</v>
      </c>
      <c r="AK22" s="22">
        <v>-158.90299999999999</v>
      </c>
      <c r="AL22" s="22">
        <v>-112.97499999999999</v>
      </c>
      <c r="AM22" s="22">
        <f>AM82</f>
        <v>-217.71299999999999</v>
      </c>
      <c r="AN22" s="22">
        <f>AN82+AO82+AP82+AQ82</f>
        <v>-460.27800000000002</v>
      </c>
      <c r="AO22" s="22">
        <f>AO82+AP82+AQ82</f>
        <v>-463.75099999999998</v>
      </c>
      <c r="AP22" s="22">
        <v>-425.48599999999999</v>
      </c>
      <c r="AQ22" s="22">
        <f>AQ82</f>
        <v>-64.02600000000001</v>
      </c>
      <c r="AR22" s="22">
        <f>AR82+AS82+AT82+AU82</f>
        <v>-707.23900000000003</v>
      </c>
      <c r="AS22" s="22">
        <f>AS82+AT82+AU82</f>
        <v>-447.22399999999999</v>
      </c>
      <c r="AT22" s="22">
        <f>AT82+AU82</f>
        <v>-443.37099999999998</v>
      </c>
      <c r="AU22" s="22">
        <f>AU82</f>
        <v>-207.17699999999999</v>
      </c>
      <c r="AV22" s="22">
        <f>AV82+AW82+AX82+AY82</f>
        <v>-134.90100000000001</v>
      </c>
      <c r="AW22" s="22">
        <f>AY82+AX82+AW82</f>
        <v>-96.054000000000002</v>
      </c>
      <c r="AX22" s="22">
        <f>AX82+AY82</f>
        <v>-5.5519999999999996</v>
      </c>
      <c r="AY22" s="22">
        <f>AY82</f>
        <v>-0.22600000000000001</v>
      </c>
      <c r="AZ22" s="22">
        <f>AZ82+BA82+BB82+BC82</f>
        <v>8.8499999999999979</v>
      </c>
      <c r="BA22" s="22">
        <f>BA82+BB82+BC82</f>
        <v>6.6610000000000049</v>
      </c>
      <c r="BB22" s="22">
        <f>BB82+BC82</f>
        <v>-38.465000000000003</v>
      </c>
      <c r="BC22" s="22">
        <f>BC82</f>
        <v>6.1630000000000003</v>
      </c>
      <c r="BD22" s="22">
        <f>BE82+BD82+BF82+BG82</f>
        <v>153.20699999999999</v>
      </c>
      <c r="BE22" s="22">
        <f>BF82+BE82+BG82</f>
        <v>75.634</v>
      </c>
      <c r="BF22" s="22">
        <f>BG82+BF82</f>
        <v>36.680999999999997</v>
      </c>
      <c r="BG22" s="22">
        <f>BG82</f>
        <v>-17.074999999999999</v>
      </c>
      <c r="BH22" s="22">
        <f>BI82+BH82+BJ82+BK82</f>
        <v>28.946000000000005</v>
      </c>
      <c r="BI22" s="64">
        <f>BJ82+BI82+BK82</f>
        <v>-24.157999999999998</v>
      </c>
      <c r="BJ22" s="22">
        <f>BK82+BJ82</f>
        <v>-15.384999999999998</v>
      </c>
      <c r="BK22" s="22">
        <f>BK82</f>
        <v>16.3</v>
      </c>
      <c r="BL22" s="22">
        <f>BM82+BL82+BN82+BO82</f>
        <v>-105.26</v>
      </c>
      <c r="BM22" s="22">
        <f>BN82+BM82+BO82</f>
        <v>-222.161</v>
      </c>
      <c r="BN22" s="22">
        <f>BO82+BN82</f>
        <v>-143.054</v>
      </c>
      <c r="BO22" s="22">
        <f>BO82</f>
        <v>-5.851</v>
      </c>
      <c r="BP22" s="22">
        <f>BQ82+BP82+BR82+BS82</f>
        <v>60.718000000000004</v>
      </c>
      <c r="BQ22" s="22">
        <f>BR82+BQ82+BS82</f>
        <v>-8.708000000000002</v>
      </c>
      <c r="BR22" s="22">
        <f>BS82+BR82</f>
        <v>17.167999999999999</v>
      </c>
      <c r="BS22" s="22">
        <f>BS82</f>
        <v>11.675000000000001</v>
      </c>
    </row>
    <row r="23" spans="1:71" s="25" customFormat="1" x14ac:dyDescent="0.25">
      <c r="A23" s="74">
        <v>23</v>
      </c>
      <c r="B23" s="148" t="s">
        <v>399</v>
      </c>
      <c r="C23" s="93"/>
      <c r="D23" s="88"/>
      <c r="E23" s="94"/>
      <c r="F23" s="22">
        <v>63</v>
      </c>
      <c r="G23" s="270"/>
      <c r="H23" s="22">
        <v>26</v>
      </c>
      <c r="I23" s="22">
        <v>5</v>
      </c>
      <c r="J23" s="22">
        <v>2</v>
      </c>
      <c r="K23" s="22"/>
      <c r="L23" s="22">
        <v>20</v>
      </c>
      <c r="M23" s="22">
        <v>20</v>
      </c>
      <c r="N23" s="22">
        <v>12</v>
      </c>
      <c r="O23" s="22"/>
      <c r="P23" s="22">
        <v>9</v>
      </c>
      <c r="Q23" s="22">
        <v>7</v>
      </c>
      <c r="R23" s="22">
        <v>3</v>
      </c>
      <c r="S23" s="22">
        <v>2</v>
      </c>
      <c r="T23" s="400"/>
      <c r="U23" s="400"/>
      <c r="V23" s="400"/>
      <c r="W23" s="400"/>
      <c r="X23" s="22">
        <v>159</v>
      </c>
      <c r="Y23" s="22">
        <v>158</v>
      </c>
      <c r="Z23" s="22">
        <v>151</v>
      </c>
      <c r="AA23" s="22">
        <v>128</v>
      </c>
      <c r="AB23" s="22">
        <v>349</v>
      </c>
      <c r="AC23" s="22"/>
      <c r="AF23" s="22">
        <v>-49.539000000000001</v>
      </c>
      <c r="AG23" s="22"/>
      <c r="AH23" s="22"/>
      <c r="AI23" s="22"/>
      <c r="AJ23" s="22"/>
      <c r="AK23" s="22"/>
      <c r="AL23" s="22"/>
      <c r="AM23" s="22"/>
      <c r="AN23" s="22">
        <f>AN83+AO83+AP83+AQ83</f>
        <v>0</v>
      </c>
      <c r="AO23" s="22">
        <f>AO83+AP83</f>
        <v>0</v>
      </c>
      <c r="AP23" s="22">
        <f>AP83+AQ83</f>
        <v>0</v>
      </c>
      <c r="AQ23" s="22"/>
      <c r="AR23" s="22">
        <f>AR83+AS83+AT83+AU83</f>
        <v>0</v>
      </c>
      <c r="AS23" s="22"/>
      <c r="AT23" s="22"/>
      <c r="AU23" s="22"/>
      <c r="AV23" s="22">
        <f>AV83+AW83+AX83+AY83</f>
        <v>0</v>
      </c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>
        <f>BI83+BH83+BJ83+BK83</f>
        <v>214.19900000000001</v>
      </c>
      <c r="BI23" s="22">
        <f>BJ83+BI83+BK83</f>
        <v>214.19900000000001</v>
      </c>
      <c r="BJ23" s="22"/>
      <c r="BK23" s="22"/>
      <c r="BL23" s="22"/>
      <c r="BM23" s="22"/>
      <c r="BN23" s="22"/>
      <c r="BO23" s="22"/>
    </row>
    <row r="24" spans="1:71" s="25" customFormat="1" x14ac:dyDescent="0.25">
      <c r="A24" s="74">
        <v>24</v>
      </c>
      <c r="B24" s="148" t="s">
        <v>360</v>
      </c>
      <c r="C24" s="93"/>
      <c r="D24" s="88"/>
      <c r="E24" s="94"/>
      <c r="F24" s="22">
        <v>452</v>
      </c>
      <c r="G24" s="270">
        <v>417</v>
      </c>
      <c r="H24" s="22">
        <v>75</v>
      </c>
      <c r="I24" s="22">
        <v>-512</v>
      </c>
      <c r="J24" s="22">
        <v>-1230</v>
      </c>
      <c r="K24" s="22">
        <v>-29</v>
      </c>
      <c r="L24" s="22">
        <v>-397</v>
      </c>
      <c r="M24" s="22">
        <v>-159</v>
      </c>
      <c r="N24" s="22">
        <v>-16</v>
      </c>
      <c r="O24" s="22">
        <v>-17</v>
      </c>
      <c r="P24" s="22">
        <v>-1081</v>
      </c>
      <c r="Q24" s="22">
        <v>-701</v>
      </c>
      <c r="R24" s="22">
        <v>-107</v>
      </c>
      <c r="S24" s="22">
        <v>-53</v>
      </c>
      <c r="T24" s="400"/>
      <c r="U24" s="400"/>
      <c r="V24" s="400"/>
      <c r="W24" s="400"/>
      <c r="X24" s="22">
        <v>164</v>
      </c>
      <c r="Y24" s="22">
        <v>93</v>
      </c>
      <c r="Z24" s="22">
        <v>-75</v>
      </c>
      <c r="AA24" s="22">
        <v>-60</v>
      </c>
      <c r="AB24" s="22">
        <v>-141</v>
      </c>
      <c r="AC24" s="22">
        <v>-149.624</v>
      </c>
      <c r="AD24" s="22">
        <v>-165.11099999999999</v>
      </c>
      <c r="AE24" s="22">
        <v>-37.848999999999997</v>
      </c>
      <c r="AF24" s="22">
        <v>103.85599999999999</v>
      </c>
      <c r="AG24" s="22"/>
      <c r="AH24" s="22"/>
      <c r="AI24" s="22"/>
      <c r="AJ24" s="22">
        <v>586.51099999999997</v>
      </c>
      <c r="AK24" s="22">
        <v>586.51099999999997</v>
      </c>
      <c r="AL24" s="22">
        <v>382.23399999999998</v>
      </c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</row>
    <row r="25" spans="1:71" s="25" customFormat="1" ht="26.25" x14ac:dyDescent="0.25">
      <c r="A25" s="74">
        <v>25</v>
      </c>
      <c r="B25" s="148" t="s">
        <v>385</v>
      </c>
      <c r="C25" s="93"/>
      <c r="D25" s="88"/>
      <c r="E25" s="94"/>
      <c r="F25" s="22"/>
      <c r="G25" s="270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400"/>
      <c r="U25" s="400"/>
      <c r="V25" s="400"/>
      <c r="W25" s="400"/>
      <c r="X25" s="22"/>
      <c r="Y25" s="22"/>
      <c r="Z25" s="22"/>
      <c r="AA25" s="22"/>
      <c r="AB25" s="22"/>
      <c r="AC25" s="22">
        <v>-2.2200000000000002</v>
      </c>
      <c r="AD25" s="22"/>
      <c r="AE25" s="22"/>
      <c r="AF25" s="22">
        <v>-335.33199999999999</v>
      </c>
      <c r="AG25" s="22">
        <v>-255.53</v>
      </c>
      <c r="AH25" s="22">
        <v>-255.529</v>
      </c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</row>
    <row r="26" spans="1:71" s="25" customFormat="1" x14ac:dyDescent="0.25">
      <c r="A26" s="74">
        <v>26</v>
      </c>
      <c r="B26" s="148" t="s">
        <v>374</v>
      </c>
      <c r="C26" s="93"/>
      <c r="D26" s="88"/>
      <c r="E26" s="94"/>
      <c r="F26" s="22"/>
      <c r="G26" s="270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400"/>
      <c r="U26" s="400"/>
      <c r="V26" s="400"/>
      <c r="W26" s="400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>
        <v>-47.634999999999998</v>
      </c>
      <c r="AK26" s="22">
        <v>-47.634999999999998</v>
      </c>
      <c r="AL26" s="22"/>
      <c r="AM26" s="22"/>
      <c r="AN26" s="22"/>
      <c r="AO26" s="268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</row>
    <row r="27" spans="1:71" s="25" customFormat="1" ht="15" customHeight="1" x14ac:dyDescent="0.25">
      <c r="A27" s="74">
        <v>27</v>
      </c>
      <c r="B27" s="339" t="s">
        <v>358</v>
      </c>
      <c r="C27" s="93"/>
      <c r="D27" s="88"/>
      <c r="E27" s="94"/>
      <c r="F27" s="22"/>
      <c r="G27" s="270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400"/>
      <c r="U27" s="400"/>
      <c r="V27" s="400"/>
      <c r="W27" s="400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>
        <v>-1164.4570000000001</v>
      </c>
      <c r="AK27" s="22">
        <v>64.302999999999997</v>
      </c>
      <c r="AL27" s="22">
        <v>64.302999999999997</v>
      </c>
      <c r="AM27" s="22"/>
      <c r="AN27" s="22">
        <f>AN87+AO87+AP87+AQ87</f>
        <v>-308.99299999999999</v>
      </c>
      <c r="AO27" s="22"/>
      <c r="AP27" s="22"/>
      <c r="AQ27" s="22"/>
      <c r="AR27" s="22">
        <f>AR87+AS87+AT87+AU87</f>
        <v>-18.470000000000027</v>
      </c>
      <c r="AS27" s="22">
        <f>AS87+AT87+AU87</f>
        <v>-598.01900000000001</v>
      </c>
      <c r="AT27" s="22">
        <f>AT87+AU87</f>
        <v>-348.01799999999997</v>
      </c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>
        <f>BQ87+BP87+BR87+BS87</f>
        <v>-213.79900000000001</v>
      </c>
      <c r="BQ27" s="22">
        <f>BR87+BQ87+BS87</f>
        <v>-213.79500000000002</v>
      </c>
      <c r="BR27" s="22">
        <f>BS87+BR87</f>
        <v>-213.79500000000002</v>
      </c>
      <c r="BS27" s="22">
        <f>BS87</f>
        <v>-213.79900000000001</v>
      </c>
    </row>
    <row r="28" spans="1:71" s="25" customFormat="1" x14ac:dyDescent="0.25">
      <c r="A28" s="74">
        <v>28</v>
      </c>
      <c r="B28" s="30" t="s">
        <v>359</v>
      </c>
      <c r="C28" s="93"/>
      <c r="D28" s="88"/>
      <c r="E28" s="94"/>
      <c r="F28" s="22"/>
      <c r="G28" s="270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400"/>
      <c r="U28" s="400"/>
      <c r="V28" s="400"/>
      <c r="W28" s="400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>
        <v>8.6340000000000003</v>
      </c>
      <c r="AL28" s="22">
        <v>53.021999999999998</v>
      </c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</row>
    <row r="29" spans="1:71" s="25" customFormat="1" ht="15" customHeight="1" x14ac:dyDescent="0.25">
      <c r="A29" s="74">
        <v>29</v>
      </c>
      <c r="B29" s="30" t="s">
        <v>277</v>
      </c>
      <c r="C29" s="93"/>
      <c r="D29" s="88"/>
      <c r="E29" s="94"/>
      <c r="F29" s="22"/>
      <c r="G29" s="270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400"/>
      <c r="U29" s="400"/>
      <c r="V29" s="400"/>
      <c r="W29" s="400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>
        <v>0</v>
      </c>
      <c r="AK29" s="22">
        <v>0</v>
      </c>
      <c r="AL29" s="22">
        <v>0</v>
      </c>
      <c r="AM29" s="22"/>
      <c r="AN29" s="22">
        <f t="shared" ref="AN29:AN37" si="17">AN89+AO89+AP89+AQ89</f>
        <v>0</v>
      </c>
      <c r="AO29" s="22"/>
      <c r="AP29" s="22"/>
      <c r="AQ29" s="22"/>
      <c r="AR29" s="22">
        <f>AR89+AS89+AT89+AU89</f>
        <v>-261.01400000000001</v>
      </c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</row>
    <row r="30" spans="1:71" s="25" customFormat="1" x14ac:dyDescent="0.25">
      <c r="A30" s="74">
        <v>30</v>
      </c>
      <c r="B30" s="30" t="s">
        <v>224</v>
      </c>
      <c r="C30" s="93"/>
      <c r="D30" s="88"/>
      <c r="E30" s="94"/>
      <c r="F30" s="22"/>
      <c r="G30" s="270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400"/>
      <c r="U30" s="400"/>
      <c r="V30" s="400"/>
      <c r="W30" s="400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>
        <v>0</v>
      </c>
      <c r="AK30" s="22"/>
      <c r="AL30" s="22"/>
      <c r="AM30" s="22"/>
      <c r="AN30" s="22">
        <f t="shared" si="17"/>
        <v>0</v>
      </c>
      <c r="AO30" s="22"/>
      <c r="AP30" s="22"/>
      <c r="AQ30" s="22"/>
      <c r="AR30" s="22">
        <f>AR90+AS90+AT90+AU90</f>
        <v>0</v>
      </c>
      <c r="AS30" s="22"/>
      <c r="AT30" s="22"/>
      <c r="AU30" s="22"/>
      <c r="AV30" s="22">
        <f>AV90+AW90+AX90+AY90</f>
        <v>0</v>
      </c>
      <c r="AW30" s="22"/>
      <c r="AX30" s="22">
        <f>AX90+AY90</f>
        <v>0</v>
      </c>
      <c r="AY30" s="22"/>
      <c r="AZ30" s="22"/>
      <c r="BA30" s="22"/>
      <c r="BB30" s="22"/>
      <c r="BC30" s="22"/>
      <c r="BD30" s="22"/>
      <c r="BE30" s="22">
        <f>BF90+BE90+BG90</f>
        <v>-18.294</v>
      </c>
      <c r="BF30" s="22">
        <f>BG90+BF90</f>
        <v>-5.2270000000000003</v>
      </c>
      <c r="BG30" s="22">
        <f>BG90</f>
        <v>-5.2270000000000003</v>
      </c>
      <c r="BH30" s="22"/>
      <c r="BI30" s="22"/>
      <c r="BJ30" s="22"/>
      <c r="BK30" s="22"/>
      <c r="BL30" s="22">
        <f>BM90+BL90+BN90+BO90</f>
        <v>-1.881</v>
      </c>
      <c r="BM30" s="22">
        <f>BN90+BM90+BO90</f>
        <v>-1.9849999999999999</v>
      </c>
      <c r="BN30" s="22">
        <f>BO90+BN90</f>
        <v>0</v>
      </c>
      <c r="BO30" s="22">
        <f>BO90</f>
        <v>1.6E-2</v>
      </c>
      <c r="BP30" s="22">
        <f>BQ90+BP90+BR90+BS90</f>
        <v>0.52300000000000002</v>
      </c>
      <c r="BQ30" s="22">
        <f>BR90+BQ90+BS90</f>
        <v>0.53900000000000003</v>
      </c>
      <c r="BR30" s="22">
        <f>BS90+BR90</f>
        <v>0.52400000000000002</v>
      </c>
      <c r="BS30" s="22">
        <f>BS90</f>
        <v>0.502</v>
      </c>
    </row>
    <row r="31" spans="1:71" s="25" customFormat="1" x14ac:dyDescent="0.25">
      <c r="A31" s="74">
        <v>31</v>
      </c>
      <c r="B31" s="148" t="s">
        <v>289</v>
      </c>
      <c r="C31" s="93"/>
      <c r="D31" s="88"/>
      <c r="E31" s="94"/>
      <c r="F31" s="22"/>
      <c r="G31" s="270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400"/>
      <c r="U31" s="400"/>
      <c r="V31" s="400"/>
      <c r="W31" s="400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>
        <v>0</v>
      </c>
      <c r="AK31" s="22"/>
      <c r="AL31" s="22"/>
      <c r="AM31" s="22"/>
      <c r="AN31" s="22">
        <f t="shared" si="17"/>
        <v>0</v>
      </c>
      <c r="AO31" s="22"/>
      <c r="AP31" s="22"/>
      <c r="AQ31" s="22">
        <f>AQ91</f>
        <v>0</v>
      </c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</row>
    <row r="32" spans="1:71" s="25" customFormat="1" ht="26.25" x14ac:dyDescent="0.25">
      <c r="A32" s="74">
        <v>32</v>
      </c>
      <c r="B32" s="30" t="s">
        <v>276</v>
      </c>
      <c r="C32" s="93"/>
      <c r="D32" s="88"/>
      <c r="E32" s="94"/>
      <c r="F32" s="22"/>
      <c r="G32" s="270"/>
      <c r="H32" s="22"/>
      <c r="I32" s="22"/>
      <c r="J32" s="22"/>
      <c r="K32" s="22"/>
      <c r="L32" s="22"/>
      <c r="M32" s="22"/>
      <c r="N32" s="22"/>
      <c r="O32" s="22"/>
      <c r="P32" s="22"/>
      <c r="Q32" s="22">
        <v>157</v>
      </c>
      <c r="R32" s="22">
        <v>117</v>
      </c>
      <c r="S32" s="22">
        <v>53</v>
      </c>
      <c r="T32" s="400"/>
      <c r="U32" s="400"/>
      <c r="V32" s="400"/>
      <c r="W32" s="400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>
        <v>0</v>
      </c>
      <c r="AK32" s="22"/>
      <c r="AL32" s="22"/>
      <c r="AM32" s="22"/>
      <c r="AN32" s="22">
        <f t="shared" si="17"/>
        <v>0</v>
      </c>
      <c r="AO32" s="22"/>
      <c r="AP32" s="22"/>
      <c r="AQ32" s="22">
        <f>AQ92</f>
        <v>0</v>
      </c>
      <c r="AR32" s="22">
        <f>AR92+AS92+AT92+AU92</f>
        <v>0</v>
      </c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</row>
    <row r="33" spans="1:71" s="25" customFormat="1" x14ac:dyDescent="0.25">
      <c r="A33" s="74">
        <v>33</v>
      </c>
      <c r="B33" s="30" t="s">
        <v>252</v>
      </c>
      <c r="C33" s="93"/>
      <c r="D33" s="88"/>
      <c r="E33" s="94"/>
      <c r="F33" s="22">
        <v>0</v>
      </c>
      <c r="G33" s="270">
        <v>0</v>
      </c>
      <c r="H33" s="22">
        <v>632</v>
      </c>
      <c r="I33" s="22">
        <v>695</v>
      </c>
      <c r="J33" s="22">
        <v>775</v>
      </c>
      <c r="K33" s="22">
        <v>752</v>
      </c>
      <c r="L33" s="22">
        <v>19</v>
      </c>
      <c r="M33" s="22">
        <v>3</v>
      </c>
      <c r="N33" s="22">
        <v>6</v>
      </c>
      <c r="O33" s="22"/>
      <c r="P33" s="22">
        <v>620</v>
      </c>
      <c r="Q33" s="22">
        <v>398</v>
      </c>
      <c r="R33" s="22">
        <v>407</v>
      </c>
      <c r="S33" s="22"/>
      <c r="T33" s="400"/>
      <c r="U33" s="400"/>
      <c r="V33" s="400"/>
      <c r="W33" s="400"/>
      <c r="X33" s="22">
        <v>-707</v>
      </c>
      <c r="Y33" s="22">
        <v>-625</v>
      </c>
      <c r="Z33" s="22"/>
      <c r="AA33" s="22"/>
      <c r="AB33" s="22">
        <v>-891</v>
      </c>
      <c r="AC33" s="22">
        <v>-820.04899999999998</v>
      </c>
      <c r="AD33" s="22">
        <v>-305.05799999999999</v>
      </c>
      <c r="AE33" s="22"/>
      <c r="AF33" s="22">
        <v>55.286000000000001</v>
      </c>
      <c r="AG33" s="22">
        <v>0.628</v>
      </c>
      <c r="AH33" s="22"/>
      <c r="AI33" s="22"/>
      <c r="AJ33" s="22"/>
      <c r="AK33" s="22"/>
      <c r="AL33" s="22"/>
      <c r="AM33" s="22"/>
      <c r="AN33" s="22">
        <f t="shared" si="17"/>
        <v>0</v>
      </c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>
        <f>AZ93+BA93+BB93+BC93</f>
        <v>-53.442</v>
      </c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165"/>
      <c r="BS33" s="22"/>
    </row>
    <row r="34" spans="1:71" s="25" customFormat="1" x14ac:dyDescent="0.25">
      <c r="A34" s="74">
        <v>34</v>
      </c>
      <c r="B34" s="30" t="s">
        <v>310</v>
      </c>
      <c r="C34" s="93"/>
      <c r="D34" s="88"/>
      <c r="E34" s="94"/>
      <c r="F34" s="22"/>
      <c r="G34" s="270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400"/>
      <c r="U34" s="400"/>
      <c r="V34" s="400"/>
      <c r="W34" s="400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>
        <f t="shared" si="17"/>
        <v>-29.486999999999998</v>
      </c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>
        <f>AZ94+BA94+BB94+BC94</f>
        <v>0.188</v>
      </c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</row>
    <row r="35" spans="1:71" s="25" customFormat="1" x14ac:dyDescent="0.25">
      <c r="A35" s="74">
        <v>35</v>
      </c>
      <c r="B35" s="30" t="s">
        <v>134</v>
      </c>
      <c r="C35" s="93"/>
      <c r="D35" s="88"/>
      <c r="E35" s="94"/>
      <c r="F35" s="22"/>
      <c r="G35" s="270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400"/>
      <c r="U35" s="400"/>
      <c r="V35" s="400"/>
      <c r="W35" s="400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>
        <f t="shared" si="17"/>
        <v>0</v>
      </c>
      <c r="AO35" s="22"/>
      <c r="AP35" s="22"/>
      <c r="AQ35" s="22"/>
      <c r="AR35" s="22">
        <f>AR95+AS95+AT95+AU95</f>
        <v>0</v>
      </c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>
        <f>BK95+BJ95</f>
        <v>0</v>
      </c>
      <c r="BK35" s="22">
        <f>BK95</f>
        <v>1E-3</v>
      </c>
      <c r="BL35" s="22">
        <f>BM95+BL95+BN95+BO95</f>
        <v>-7.0000000000000001E-3</v>
      </c>
      <c r="BM35" s="22"/>
      <c r="BN35" s="22"/>
      <c r="BO35" s="22"/>
      <c r="BP35" s="22">
        <f>BQ95+BP95+BR95+BS95</f>
        <v>-67.343999999999994</v>
      </c>
      <c r="BQ35" s="22">
        <f>BR95+BQ95+BS95</f>
        <v>5.2830000000000004</v>
      </c>
      <c r="BR35" s="22">
        <f>BS95+BR95</f>
        <v>5.1050000000000004</v>
      </c>
      <c r="BS35" s="22">
        <f>BS95</f>
        <v>0</v>
      </c>
    </row>
    <row r="36" spans="1:71" s="25" customFormat="1" ht="26.25" x14ac:dyDescent="0.25">
      <c r="A36" s="74">
        <v>36</v>
      </c>
      <c r="B36" s="30" t="s">
        <v>135</v>
      </c>
      <c r="C36" s="93"/>
      <c r="D36" s="88"/>
      <c r="E36" s="94"/>
      <c r="F36" s="22"/>
      <c r="G36" s="270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400"/>
      <c r="U36" s="400"/>
      <c r="V36" s="400"/>
      <c r="W36" s="400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>
        <f t="shared" si="17"/>
        <v>0</v>
      </c>
      <c r="AO36" s="22"/>
      <c r="AP36" s="22"/>
      <c r="AQ36" s="22"/>
      <c r="AR36" s="22">
        <f>AR96+AS96+AT96+AU96</f>
        <v>0</v>
      </c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>
        <f>BM96+BL96+BN96+BO96</f>
        <v>61.160999999999987</v>
      </c>
      <c r="BM36" s="22">
        <f>BN96+BM96+BO96</f>
        <v>5.8439999999999941</v>
      </c>
      <c r="BN36" s="22">
        <f>BO96+BN96</f>
        <v>-2.9490000000000123</v>
      </c>
      <c r="BO36" s="22">
        <f>BO96</f>
        <v>68.956999999999994</v>
      </c>
      <c r="BP36" s="22">
        <f>BQ96+BP96+BR96+BS96</f>
        <v>-525.06100000000004</v>
      </c>
      <c r="BQ36" s="22">
        <f>BR96+BQ96+BS96</f>
        <v>0</v>
      </c>
      <c r="BR36" s="22">
        <f>BS96+BR96</f>
        <v>0</v>
      </c>
      <c r="BS36" s="22">
        <f>BS96</f>
        <v>5.1769999999999996</v>
      </c>
    </row>
    <row r="37" spans="1:71" s="25" customFormat="1" x14ac:dyDescent="0.25">
      <c r="A37" s="74">
        <v>37</v>
      </c>
      <c r="B37" s="322" t="s">
        <v>403</v>
      </c>
      <c r="C37" s="93"/>
      <c r="D37" s="88"/>
      <c r="E37" s="94"/>
      <c r="F37" s="22"/>
      <c r="G37" s="270"/>
      <c r="H37" s="22"/>
      <c r="I37" s="22"/>
      <c r="J37" s="22"/>
      <c r="K37" s="22"/>
      <c r="L37" s="22"/>
      <c r="M37" s="22"/>
      <c r="N37" s="22"/>
      <c r="O37" s="22"/>
      <c r="P37" s="22"/>
      <c r="Q37" s="22">
        <v>52</v>
      </c>
      <c r="R37" s="22">
        <v>88</v>
      </c>
      <c r="S37" s="22">
        <v>89</v>
      </c>
      <c r="T37" s="400"/>
      <c r="U37" s="400"/>
      <c r="V37" s="400"/>
      <c r="W37" s="400"/>
      <c r="X37" s="22"/>
      <c r="Y37" s="22"/>
      <c r="Z37" s="22"/>
      <c r="AA37" s="22"/>
      <c r="AB37" s="22">
        <v>336</v>
      </c>
      <c r="AC37" s="22">
        <v>355.10300000000001</v>
      </c>
      <c r="AD37" s="22">
        <v>355.10300000000001</v>
      </c>
      <c r="AE37" s="22">
        <v>350.95699999999999</v>
      </c>
      <c r="AF37" s="22"/>
      <c r="AG37" s="22"/>
      <c r="AH37" s="22"/>
      <c r="AI37" s="22"/>
      <c r="AJ37" s="22"/>
      <c r="AK37" s="22"/>
      <c r="AL37" s="22"/>
      <c r="AM37" s="22"/>
      <c r="AN37" s="22">
        <f t="shared" si="17"/>
        <v>0</v>
      </c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>
        <f>AZ97+BA97+BB97+BC97</f>
        <v>488.58699999999999</v>
      </c>
      <c r="BA37" s="22">
        <f>BA97+BB97+BC97</f>
        <v>488.58699999999999</v>
      </c>
      <c r="BB37" s="22">
        <f>BB97+BC97</f>
        <v>488.58699999999999</v>
      </c>
      <c r="BC37" s="22">
        <f>BC97</f>
        <v>488.58699999999999</v>
      </c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</row>
    <row r="38" spans="1:71" s="25" customFormat="1" ht="26.25" x14ac:dyDescent="0.25">
      <c r="A38" s="74">
        <v>38</v>
      </c>
      <c r="B38" s="322" t="s">
        <v>411</v>
      </c>
      <c r="C38" s="93"/>
      <c r="D38" s="88"/>
      <c r="E38" s="94"/>
      <c r="F38" s="22"/>
      <c r="G38" s="270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400"/>
      <c r="U38" s="400"/>
      <c r="V38" s="400"/>
      <c r="W38" s="400"/>
      <c r="X38" s="22"/>
      <c r="Y38" s="22"/>
      <c r="Z38" s="22"/>
      <c r="AA38" s="22"/>
      <c r="AB38" s="22">
        <v>810</v>
      </c>
      <c r="AC38" s="22">
        <v>809.697</v>
      </c>
      <c r="AD38" s="22">
        <v>420.2</v>
      </c>
      <c r="AE38" s="22">
        <v>81.745999999999995</v>
      </c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</row>
    <row r="39" spans="1:71" s="25" customFormat="1" x14ac:dyDescent="0.25">
      <c r="A39" s="74">
        <v>39</v>
      </c>
      <c r="B39" s="30" t="s">
        <v>219</v>
      </c>
      <c r="C39" s="93"/>
      <c r="D39" s="88"/>
      <c r="E39" s="94"/>
      <c r="F39" s="22">
        <v>1017</v>
      </c>
      <c r="G39" s="270">
        <v>505</v>
      </c>
      <c r="H39" s="270">
        <v>1700</v>
      </c>
      <c r="I39" s="22">
        <v>1193</v>
      </c>
      <c r="J39" s="22">
        <v>601</v>
      </c>
      <c r="K39" s="22">
        <v>379</v>
      </c>
      <c r="L39" s="270">
        <v>1307</v>
      </c>
      <c r="M39" s="22">
        <v>876</v>
      </c>
      <c r="N39" s="22">
        <v>549</v>
      </c>
      <c r="O39" s="22">
        <v>246</v>
      </c>
      <c r="P39" s="270">
        <v>997</v>
      </c>
      <c r="Q39" s="22">
        <v>632</v>
      </c>
      <c r="R39" s="22">
        <v>390</v>
      </c>
      <c r="S39" s="22">
        <v>153</v>
      </c>
      <c r="T39" s="400"/>
      <c r="U39" s="400"/>
      <c r="V39" s="400"/>
      <c r="W39" s="400"/>
      <c r="X39" s="22">
        <v>2096</v>
      </c>
      <c r="Y39" s="22">
        <v>1018</v>
      </c>
      <c r="Z39" s="22">
        <v>675</v>
      </c>
      <c r="AA39" s="22">
        <v>285</v>
      </c>
      <c r="AB39" s="22">
        <v>1489</v>
      </c>
      <c r="AC39" s="22">
        <v>1242.998</v>
      </c>
      <c r="AD39" s="22">
        <v>569.803</v>
      </c>
      <c r="AE39" s="22">
        <v>334.38099999999997</v>
      </c>
      <c r="AF39" s="22">
        <v>1522.751</v>
      </c>
      <c r="AG39" s="22">
        <v>1106.559</v>
      </c>
      <c r="AH39" s="22">
        <v>798.88799999999992</v>
      </c>
      <c r="AI39" s="22">
        <v>480.87799999999999</v>
      </c>
      <c r="AJ39" s="149">
        <v>1685.508</v>
      </c>
      <c r="AK39" s="22">
        <v>1235.7604999999999</v>
      </c>
      <c r="AL39" s="22">
        <v>895.31600000000003</v>
      </c>
      <c r="AM39" s="22">
        <f>(((AM99))-87.238)+152.5305</f>
        <v>466.79449999999997</v>
      </c>
      <c r="AN39" s="149">
        <f>AN99+AO99+AP99+AQ99</f>
        <v>979.66999999999985</v>
      </c>
      <c r="AO39" s="22">
        <v>804.87599999999998</v>
      </c>
      <c r="AP39" s="22">
        <f>AP99+AQ99</f>
        <v>450.072</v>
      </c>
      <c r="AQ39" s="22">
        <f>AQ99</f>
        <v>107.61799999999999</v>
      </c>
      <c r="AR39" s="22">
        <f>AR99+AS99+AT99+AU99</f>
        <v>335.46100000000001</v>
      </c>
      <c r="AS39" s="22">
        <f>AS99+AT99+AU99</f>
        <v>217.82100000000003</v>
      </c>
      <c r="AT39" s="22">
        <f>AT99+AU99</f>
        <v>155.33099999999999</v>
      </c>
      <c r="AU39" s="22">
        <f>AU99</f>
        <v>79.42</v>
      </c>
      <c r="AV39" s="22">
        <f>AV99+AW99+AX99+AY99</f>
        <v>317.43799999999999</v>
      </c>
      <c r="AW39" s="22">
        <f>AY99+AX99+AW99</f>
        <v>248.334</v>
      </c>
      <c r="AX39" s="22">
        <f>AX99+AY99</f>
        <v>164.74</v>
      </c>
      <c r="AY39" s="149">
        <f>AY99</f>
        <v>78.215999999999994</v>
      </c>
      <c r="AZ39" s="22">
        <f>AZ99+BA99+BB99+BC99</f>
        <v>440.57500000000005</v>
      </c>
      <c r="BA39" s="22">
        <f>BA99+BB99+BC99</f>
        <v>302.21800000000002</v>
      </c>
      <c r="BB39" s="22">
        <f>BB99+BC99</f>
        <v>155.31299999999999</v>
      </c>
      <c r="BC39" s="149">
        <f>BC99</f>
        <v>95.206000000000003</v>
      </c>
      <c r="BD39" s="22">
        <f>BE99+BD99+BF99+BG99</f>
        <v>73.935999999999993</v>
      </c>
      <c r="BE39" s="22">
        <f>BF99+BE99+BG99</f>
        <v>11.371999999999993</v>
      </c>
      <c r="BF39" s="22">
        <f>BG99+BF99</f>
        <v>120.125</v>
      </c>
      <c r="BG39" s="22">
        <f>BG99</f>
        <v>54.93</v>
      </c>
      <c r="BH39" s="22">
        <f>BI99+BH99+BJ99+BK99</f>
        <v>-57.436999999999991</v>
      </c>
      <c r="BI39" s="22">
        <f>BJ99+BI99+BK99</f>
        <v>11.21</v>
      </c>
      <c r="BJ39" s="22">
        <f>BK99+BJ99</f>
        <v>-35.022999999999996</v>
      </c>
      <c r="BK39" s="22">
        <f>BK99</f>
        <v>-54.104999999999997</v>
      </c>
      <c r="BL39" s="22">
        <f>BM99+BL99+BN99+BO99</f>
        <v>495.96000000000004</v>
      </c>
      <c r="BM39" s="22">
        <f>BN99+BM99+BO99</f>
        <v>883.86300000000006</v>
      </c>
      <c r="BN39" s="22">
        <f>BO99+BN99</f>
        <v>179.322</v>
      </c>
      <c r="BO39" s="22">
        <f>BO99</f>
        <v>45.975999999999999</v>
      </c>
      <c r="BP39" s="22">
        <f>BQ99+BP99+BR99+BS99</f>
        <v>107.29600000000001</v>
      </c>
      <c r="BQ39" s="22">
        <f>BR99+BQ99+BS99</f>
        <v>99.841000000000008</v>
      </c>
      <c r="BR39" s="22">
        <f>BS99+BR99</f>
        <v>90.682000000000002</v>
      </c>
      <c r="BS39" s="22">
        <f>BS99</f>
        <v>12.166</v>
      </c>
    </row>
    <row r="40" spans="1:71" s="67" customFormat="1" ht="15" customHeight="1" x14ac:dyDescent="0.25">
      <c r="A40" s="74">
        <v>40</v>
      </c>
      <c r="B40" s="65" t="s">
        <v>138</v>
      </c>
      <c r="C40" s="93"/>
      <c r="D40" s="88"/>
      <c r="E40" s="96">
        <f ca="1">OFFSET($E$7,$A40-$A$7,1,1,1)/OFFSET($E$7,$A40-$A$7,5,1,1)-1</f>
        <v>-0.16431924882629112</v>
      </c>
      <c r="F40" s="66">
        <f t="shared" ref="F40" si="18">SUM(F16:F19)+SUM(F20:F39)</f>
        <v>37380</v>
      </c>
      <c r="G40" s="271">
        <f t="shared" ref="G40" si="19">SUM(G16:G19)+SUM(G20:G39)</f>
        <v>21326.592000000001</v>
      </c>
      <c r="H40" s="66">
        <f t="shared" ref="H40" si="20">SUM(H16:H19)+SUM(H20:H39)</f>
        <v>82133</v>
      </c>
      <c r="I40" s="66">
        <f t="shared" ref="I40" si="21">SUM(I16:I19)+SUM(I20:I39)</f>
        <v>63483</v>
      </c>
      <c r="J40" s="66">
        <f t="shared" ref="J40" si="22">SUM(J16:J19)+SUM(J20:J39)</f>
        <v>44730</v>
      </c>
      <c r="K40" s="66">
        <f t="shared" ref="K40" si="23">SUM(K16:K19)+SUM(K20:K39)</f>
        <v>26171</v>
      </c>
      <c r="L40" s="66">
        <f t="shared" ref="L40:S40" si="24">SUM(L16:L19)+SUM(L20:L39)</f>
        <v>88651</v>
      </c>
      <c r="M40" s="66">
        <f t="shared" si="24"/>
        <v>64445</v>
      </c>
      <c r="N40" s="66">
        <f t="shared" si="24"/>
        <v>41476</v>
      </c>
      <c r="O40" s="66">
        <f t="shared" si="24"/>
        <v>22065</v>
      </c>
      <c r="P40" s="66">
        <f t="shared" si="24"/>
        <v>84829</v>
      </c>
      <c r="Q40" s="66">
        <f t="shared" si="24"/>
        <v>64394</v>
      </c>
      <c r="R40" s="66">
        <f t="shared" si="24"/>
        <v>47386</v>
      </c>
      <c r="S40" s="66">
        <f t="shared" si="24"/>
        <v>24262</v>
      </c>
      <c r="T40" s="412"/>
      <c r="U40" s="412"/>
      <c r="V40" s="412"/>
      <c r="W40" s="412"/>
      <c r="X40" s="66">
        <f t="shared" ref="X40:AC40" si="25">SUM(X16:X19)+SUM(X20:X39)</f>
        <v>39435</v>
      </c>
      <c r="Y40" s="66">
        <f t="shared" si="25"/>
        <v>25813</v>
      </c>
      <c r="Z40" s="66">
        <f t="shared" si="25"/>
        <v>16898</v>
      </c>
      <c r="AA40" s="66">
        <f t="shared" si="25"/>
        <v>7300</v>
      </c>
      <c r="AB40" s="66">
        <f t="shared" si="25"/>
        <v>28717</v>
      </c>
      <c r="AC40" s="66">
        <f t="shared" si="25"/>
        <v>19090.161999999997</v>
      </c>
      <c r="AD40" s="66">
        <f>SUM(AD16:AD19)+SUM(AD20:AD39)</f>
        <v>11964.935000000001</v>
      </c>
      <c r="AE40" s="66">
        <f t="shared" ref="AE40:BS40" si="26">SUM(AE16:AE19)+SUM(AE20:AE39)</f>
        <v>6224.7159999999994</v>
      </c>
      <c r="AF40" s="66">
        <f t="shared" si="26"/>
        <v>23803.718000000004</v>
      </c>
      <c r="AG40" s="66">
        <f t="shared" si="26"/>
        <v>17012.401000000002</v>
      </c>
      <c r="AH40" s="66">
        <f t="shared" si="26"/>
        <v>11234.031999999999</v>
      </c>
      <c r="AI40" s="66">
        <f t="shared" si="26"/>
        <v>5094.0820000000003</v>
      </c>
      <c r="AJ40" s="66">
        <f t="shared" si="26"/>
        <v>24254.538</v>
      </c>
      <c r="AK40" s="66">
        <f t="shared" si="26"/>
        <v>17718.251999999993</v>
      </c>
      <c r="AL40" s="66">
        <f t="shared" si="26"/>
        <v>12190.800999999999</v>
      </c>
      <c r="AM40" s="66">
        <f t="shared" si="26"/>
        <v>5224.1459999999988</v>
      </c>
      <c r="AN40" s="173">
        <f t="shared" si="26"/>
        <v>21719.980999999992</v>
      </c>
      <c r="AO40" s="66">
        <f t="shared" si="26"/>
        <v>16309.508</v>
      </c>
      <c r="AP40" s="66">
        <f t="shared" si="26"/>
        <v>10120.547999999999</v>
      </c>
      <c r="AQ40" s="66">
        <f t="shared" si="26"/>
        <v>4603.8060000000005</v>
      </c>
      <c r="AR40" s="66">
        <f t="shared" si="26"/>
        <v>17084.55</v>
      </c>
      <c r="AS40" s="66">
        <f t="shared" si="26"/>
        <v>12238.488999999998</v>
      </c>
      <c r="AT40" s="66">
        <f t="shared" si="26"/>
        <v>8063.4169999999986</v>
      </c>
      <c r="AU40" s="66">
        <f t="shared" si="26"/>
        <v>4214.996000000001</v>
      </c>
      <c r="AV40" s="66">
        <f t="shared" si="26"/>
        <v>14980.759999999997</v>
      </c>
      <c r="AW40" s="66">
        <f t="shared" si="26"/>
        <v>10389.237999999998</v>
      </c>
      <c r="AX40" s="66">
        <f t="shared" si="26"/>
        <v>6691.6000000000022</v>
      </c>
      <c r="AY40" s="66">
        <f t="shared" si="26"/>
        <v>2839.5749999999998</v>
      </c>
      <c r="AZ40" s="66">
        <f t="shared" si="26"/>
        <v>15196.544000000005</v>
      </c>
      <c r="BA40" s="66">
        <f t="shared" si="26"/>
        <v>11547.609</v>
      </c>
      <c r="BB40" s="66">
        <f t="shared" si="26"/>
        <v>7819.7909999999993</v>
      </c>
      <c r="BC40" s="66">
        <f t="shared" si="26"/>
        <v>3852.3650000000007</v>
      </c>
      <c r="BD40" s="66">
        <f t="shared" si="26"/>
        <v>15733.200000000003</v>
      </c>
      <c r="BE40" s="66">
        <f t="shared" si="26"/>
        <v>9713.2979999999989</v>
      </c>
      <c r="BF40" s="66">
        <f t="shared" si="26"/>
        <v>5809.0560000000005</v>
      </c>
      <c r="BG40" s="66">
        <f t="shared" si="26"/>
        <v>2925.4609999999998</v>
      </c>
      <c r="BH40" s="66">
        <f t="shared" si="26"/>
        <v>8636.7279999999992</v>
      </c>
      <c r="BI40" s="66">
        <f t="shared" si="26"/>
        <v>6117.1130000000003</v>
      </c>
      <c r="BJ40" s="66">
        <f t="shared" si="26"/>
        <v>3582.8369999999982</v>
      </c>
      <c r="BK40" s="66">
        <f t="shared" si="26"/>
        <v>1796.9929999999999</v>
      </c>
      <c r="BL40" s="66">
        <f t="shared" si="26"/>
        <v>13117.083000000002</v>
      </c>
      <c r="BM40" s="66">
        <f t="shared" si="26"/>
        <v>11011.208999999997</v>
      </c>
      <c r="BN40" s="66">
        <f t="shared" si="26"/>
        <v>8075.143</v>
      </c>
      <c r="BO40" s="66">
        <f t="shared" si="26"/>
        <v>3588.6140000000005</v>
      </c>
      <c r="BP40" s="66">
        <f t="shared" si="26"/>
        <v>9332.1</v>
      </c>
      <c r="BQ40" s="66">
        <f t="shared" si="26"/>
        <v>5808.4289999999983</v>
      </c>
      <c r="BR40" s="66">
        <f t="shared" si="26"/>
        <v>3249.583000000001</v>
      </c>
      <c r="BS40" s="66">
        <f t="shared" si="26"/>
        <v>1283.7600000000002</v>
      </c>
    </row>
    <row r="41" spans="1:71" s="67" customFormat="1" ht="15" customHeight="1" x14ac:dyDescent="0.25">
      <c r="A41" s="74">
        <v>41</v>
      </c>
      <c r="B41" s="65" t="s">
        <v>136</v>
      </c>
      <c r="C41" s="93"/>
      <c r="D41" s="88"/>
      <c r="E41" s="96">
        <f ca="1">OFFSET($E$7,$A41-$A$7,1,1,1)/OFFSET($E$7,$A41-$A$7,5,1,1)-1</f>
        <v>0.28362573099415211</v>
      </c>
      <c r="F41" s="66">
        <f>F42+F43</f>
        <v>-15804</v>
      </c>
      <c r="G41" s="271">
        <f t="shared" ref="G41" si="27">G42+G43</f>
        <v>-6959</v>
      </c>
      <c r="H41" s="66">
        <f>H42+H43</f>
        <v>-30401</v>
      </c>
      <c r="I41" s="66">
        <f>I42+I43</f>
        <v>-19505</v>
      </c>
      <c r="J41" s="66">
        <f>J42+J43</f>
        <v>-12312</v>
      </c>
      <c r="K41" s="66">
        <f t="shared" ref="K41" si="28">K42+K43</f>
        <v>-5715</v>
      </c>
      <c r="L41" s="66">
        <f>L42+L43</f>
        <v>-25935</v>
      </c>
      <c r="M41" s="66">
        <f>M42+M43</f>
        <v>-18002</v>
      </c>
      <c r="N41" s="66">
        <f>N42+N43</f>
        <v>-11443</v>
      </c>
      <c r="O41" s="66">
        <f t="shared" ref="O41:BS41" si="29">O42+O43</f>
        <v>-5975</v>
      </c>
      <c r="P41" s="66">
        <f t="shared" si="29"/>
        <v>-23614</v>
      </c>
      <c r="Q41" s="66">
        <f t="shared" si="29"/>
        <v>-18281</v>
      </c>
      <c r="R41" s="66">
        <f t="shared" si="29"/>
        <v>-11962</v>
      </c>
      <c r="S41" s="66">
        <f t="shared" si="29"/>
        <v>-6018</v>
      </c>
      <c r="T41" s="412"/>
      <c r="U41" s="412"/>
      <c r="V41" s="412"/>
      <c r="W41" s="412"/>
      <c r="X41" s="66">
        <f t="shared" si="29"/>
        <v>-16812</v>
      </c>
      <c r="Y41" s="66">
        <f t="shared" si="29"/>
        <v>-11556</v>
      </c>
      <c r="Z41" s="66">
        <f t="shared" si="29"/>
        <v>-7812</v>
      </c>
      <c r="AA41" s="66">
        <f t="shared" si="29"/>
        <v>-4210</v>
      </c>
      <c r="AB41" s="66">
        <f t="shared" si="29"/>
        <v>-15207</v>
      </c>
      <c r="AC41" s="66">
        <f t="shared" si="29"/>
        <v>-10891.248</v>
      </c>
      <c r="AD41" s="66">
        <f t="shared" si="29"/>
        <v>-7545.9970000000003</v>
      </c>
      <c r="AE41" s="66">
        <f t="shared" si="29"/>
        <v>-4133.4210000000003</v>
      </c>
      <c r="AF41" s="66">
        <f t="shared" si="29"/>
        <v>-14085.782999999999</v>
      </c>
      <c r="AG41" s="66">
        <f t="shared" si="29"/>
        <v>-10256.893</v>
      </c>
      <c r="AH41" s="66">
        <f t="shared" si="29"/>
        <v>-6957.0450000000001</v>
      </c>
      <c r="AI41" s="66">
        <f t="shared" si="29"/>
        <v>-3551.4989999999998</v>
      </c>
      <c r="AJ41" s="66">
        <f t="shared" si="29"/>
        <v>-13047.489</v>
      </c>
      <c r="AK41" s="66">
        <f t="shared" si="29"/>
        <v>-9777.0689999999995</v>
      </c>
      <c r="AL41" s="66">
        <f t="shared" si="29"/>
        <v>-6676.8310000000001</v>
      </c>
      <c r="AM41" s="66">
        <f t="shared" si="29"/>
        <v>-2953.2669999999998</v>
      </c>
      <c r="AN41" s="173">
        <f t="shared" si="29"/>
        <v>-12364.661999999998</v>
      </c>
      <c r="AO41" s="66">
        <f t="shared" si="29"/>
        <v>-9156.8559999999998</v>
      </c>
      <c r="AP41" s="66">
        <f t="shared" si="29"/>
        <v>-5986.2039999999997</v>
      </c>
      <c r="AQ41" s="66">
        <f t="shared" si="29"/>
        <v>-2767.43</v>
      </c>
      <c r="AR41" s="66">
        <f t="shared" si="29"/>
        <v>-11951.294999999998</v>
      </c>
      <c r="AS41" s="66">
        <f t="shared" si="29"/>
        <v>-8553.9770000000008</v>
      </c>
      <c r="AT41" s="66">
        <f t="shared" si="29"/>
        <v>-5640.13</v>
      </c>
      <c r="AU41" s="66">
        <f t="shared" si="29"/>
        <v>-2700.2290000000003</v>
      </c>
      <c r="AV41" s="66">
        <f t="shared" si="29"/>
        <v>-10233.736000000001</v>
      </c>
      <c r="AW41" s="66">
        <f t="shared" si="29"/>
        <v>-7026.4920000000002</v>
      </c>
      <c r="AX41" s="66">
        <f t="shared" si="29"/>
        <v>-4672.0959999999995</v>
      </c>
      <c r="AY41" s="66">
        <f t="shared" si="29"/>
        <v>-2123.9540000000002</v>
      </c>
      <c r="AZ41" s="66">
        <f t="shared" si="29"/>
        <v>-9147.9180000000015</v>
      </c>
      <c r="BA41" s="66">
        <f t="shared" si="29"/>
        <v>-6425.2340000000004</v>
      </c>
      <c r="BB41" s="66">
        <f t="shared" si="29"/>
        <v>-4228.6769999999997</v>
      </c>
      <c r="BC41" s="66">
        <f t="shared" si="29"/>
        <v>-1905.8420000000001</v>
      </c>
      <c r="BD41" s="66">
        <f t="shared" si="29"/>
        <v>-7249.7340000000004</v>
      </c>
      <c r="BE41" s="66">
        <f t="shared" si="29"/>
        <v>-5103.3799999999992</v>
      </c>
      <c r="BF41" s="66">
        <f t="shared" si="29"/>
        <v>-3247.67</v>
      </c>
      <c r="BG41" s="66">
        <f t="shared" si="29"/>
        <v>-1551.1420000000003</v>
      </c>
      <c r="BH41" s="66">
        <f t="shared" si="29"/>
        <v>-6853.7150000000001</v>
      </c>
      <c r="BI41" s="66">
        <f t="shared" si="29"/>
        <v>-4895.6470000000008</v>
      </c>
      <c r="BJ41" s="66">
        <f t="shared" si="29"/>
        <v>-3236.4229999999998</v>
      </c>
      <c r="BK41" s="66">
        <f t="shared" si="29"/>
        <v>-1605.1480000000001</v>
      </c>
      <c r="BL41" s="66">
        <f t="shared" si="29"/>
        <v>-5829.9570000000003</v>
      </c>
      <c r="BM41" s="66">
        <f t="shared" si="29"/>
        <v>-4062.7569999999996</v>
      </c>
      <c r="BN41" s="66">
        <f t="shared" si="29"/>
        <v>-2541.953</v>
      </c>
      <c r="BO41" s="66">
        <f t="shared" si="29"/>
        <v>-1118.546</v>
      </c>
      <c r="BP41" s="66">
        <f t="shared" si="29"/>
        <v>-4195.0840000000007</v>
      </c>
      <c r="BQ41" s="66">
        <f t="shared" si="29"/>
        <v>-2958.3670000000002</v>
      </c>
      <c r="BR41" s="66">
        <f t="shared" si="29"/>
        <v>-1686.6790000000001</v>
      </c>
      <c r="BS41" s="66">
        <f t="shared" si="29"/>
        <v>-798.61599999999999</v>
      </c>
    </row>
    <row r="42" spans="1:71" s="25" customFormat="1" ht="15" customHeight="1" x14ac:dyDescent="0.25">
      <c r="A42" s="74">
        <v>42</v>
      </c>
      <c r="B42" s="68" t="s">
        <v>142</v>
      </c>
      <c r="C42" s="93"/>
      <c r="D42" s="88"/>
      <c r="E42" s="94">
        <f ca="1">OFFSET($E$7,$A42-$A$7,1,1,1)/OFFSET($E$7,$A42-$A$7,5,1,1)-1</f>
        <v>0.30906453952139223</v>
      </c>
      <c r="F42" s="22">
        <v>-9026</v>
      </c>
      <c r="G42" s="270">
        <v>-4010</v>
      </c>
      <c r="H42" s="22">
        <v>-16403</v>
      </c>
      <c r="I42" s="22">
        <v>-10587</v>
      </c>
      <c r="J42" s="22">
        <v>-6895</v>
      </c>
      <c r="K42" s="22">
        <v>-3429</v>
      </c>
      <c r="L42" s="22">
        <v>-15360</v>
      </c>
      <c r="M42" s="22">
        <v>-11043</v>
      </c>
      <c r="N42" s="22">
        <v>-6927</v>
      </c>
      <c r="O42" s="22">
        <v>-4041</v>
      </c>
      <c r="P42" s="22">
        <v>-13847</v>
      </c>
      <c r="Q42" s="22">
        <v>-11558</v>
      </c>
      <c r="R42" s="22">
        <v>-7544</v>
      </c>
      <c r="S42" s="22">
        <v>-4020</v>
      </c>
      <c r="T42" s="400"/>
      <c r="U42" s="400"/>
      <c r="V42" s="400"/>
      <c r="W42" s="400"/>
      <c r="X42" s="22">
        <v>-8508</v>
      </c>
      <c r="Y42" s="22">
        <v>-6012</v>
      </c>
      <c r="Z42" s="22">
        <v>-4125</v>
      </c>
      <c r="AA42" s="22">
        <v>-2502</v>
      </c>
      <c r="AB42" s="22">
        <v>-7576</v>
      </c>
      <c r="AC42" s="22">
        <v>-5557.7420000000002</v>
      </c>
      <c r="AD42" s="22">
        <v>-4069.3580000000002</v>
      </c>
      <c r="AE42" s="22">
        <v>-2295.9749999999999</v>
      </c>
      <c r="AF42" s="22">
        <v>-6453.9309999999996</v>
      </c>
      <c r="AG42" s="22">
        <v>-4883.2240000000002</v>
      </c>
      <c r="AH42" s="22">
        <v>-3383.08</v>
      </c>
      <c r="AI42" s="22">
        <v>-1767.37</v>
      </c>
      <c r="AJ42" s="22">
        <v>-5942.0010000000002</v>
      </c>
      <c r="AK42" s="22">
        <v>-4661.1930000000002</v>
      </c>
      <c r="AL42" s="22">
        <v>-3276.3609999999999</v>
      </c>
      <c r="AM42" s="22">
        <f>AM102</f>
        <v>-1766.6030000000001</v>
      </c>
      <c r="AN42" s="149">
        <f>AN102+AO102+AP102+AQ102</f>
        <v>-5970.5569999999989</v>
      </c>
      <c r="AO42" s="22">
        <f>AO102+AP102+AQ102</f>
        <v>-4564.5469999999996</v>
      </c>
      <c r="AP42" s="22">
        <f>AP102+AQ102</f>
        <v>-2980.7060000000001</v>
      </c>
      <c r="AQ42" s="22">
        <f>AQ102</f>
        <v>-1530.3009999999999</v>
      </c>
      <c r="AR42" s="22">
        <f>AR102+AS102+AT102+AU102</f>
        <v>-5628.5609999999997</v>
      </c>
      <c r="AS42" s="22">
        <f>AS102+AT102+AU102</f>
        <v>-4056.8470000000002</v>
      </c>
      <c r="AT42" s="22">
        <f>AT102+AU102</f>
        <v>-2693.0459999999998</v>
      </c>
      <c r="AU42" s="22">
        <f>AU102</f>
        <v>-1382.9259999999999</v>
      </c>
      <c r="AV42" s="22">
        <f>AV102+AW102+AX102+AY102</f>
        <v>-4473.777</v>
      </c>
      <c r="AW42" s="22">
        <f>AY102+AX102+AW102</f>
        <v>-3463.1790000000001</v>
      </c>
      <c r="AX42" s="22">
        <f>AX102+AY102</f>
        <v>-2404.66</v>
      </c>
      <c r="AY42" s="22">
        <f>AY102</f>
        <v>-1107.0070000000001</v>
      </c>
      <c r="AZ42" s="22">
        <f>AZ102+BA102+BB102+BC102</f>
        <v>-4477.1390000000001</v>
      </c>
      <c r="BA42" s="22">
        <f>BA102+BB102+BC102</f>
        <v>-3309.82</v>
      </c>
      <c r="BB42" s="22">
        <f>BB102+BC102</f>
        <v>-2160.2649999999999</v>
      </c>
      <c r="BC42" s="22">
        <f>BC102</f>
        <v>-1064.819</v>
      </c>
      <c r="BD42" s="22">
        <f>BE102+BD102+BF102+BG102</f>
        <v>-3309.7750000000001</v>
      </c>
      <c r="BE42" s="22">
        <f>BF102+BE102+BG102</f>
        <v>-2438.0819999999999</v>
      </c>
      <c r="BF42" s="22">
        <f>BG102+BF102</f>
        <v>-1577.3240000000001</v>
      </c>
      <c r="BG42" s="22">
        <f>BG102</f>
        <v>-809.58900000000006</v>
      </c>
      <c r="BH42" s="22">
        <f>BI102+BH102+BJ102+BK102</f>
        <v>-3059.0230000000001</v>
      </c>
      <c r="BI42" s="64">
        <f>BJ102+BI102+BK102</f>
        <v>-2275.9360000000001</v>
      </c>
      <c r="BJ42" s="22">
        <f>BK102+BJ102</f>
        <v>-1467.567</v>
      </c>
      <c r="BK42" s="22">
        <f>BK102</f>
        <v>-744.68600000000004</v>
      </c>
      <c r="BL42" s="22">
        <f>BM102+BL102+BN102+BO102</f>
        <v>-2944.4560000000001</v>
      </c>
      <c r="BM42" s="22">
        <f>BN102+BM102+BO102</f>
        <v>-2171.0909999999999</v>
      </c>
      <c r="BN42" s="22">
        <f>BO102+BN102</f>
        <v>-1401.0329999999999</v>
      </c>
      <c r="BO42" s="22">
        <f>BO102</f>
        <v>-632.68700000000001</v>
      </c>
      <c r="BP42" s="22">
        <f>BQ102+BP102+BR102+BS102</f>
        <v>-2154.1800000000003</v>
      </c>
      <c r="BQ42" s="22">
        <f>BR102+BQ102+BS102</f>
        <v>-1600.3019999999999</v>
      </c>
      <c r="BR42" s="22">
        <f>BS102+BR102</f>
        <v>-962.31099999999992</v>
      </c>
      <c r="BS42" s="22">
        <f>BS102</f>
        <v>-460.358</v>
      </c>
    </row>
    <row r="43" spans="1:71" s="25" customFormat="1" ht="15" customHeight="1" x14ac:dyDescent="0.25">
      <c r="A43" s="74">
        <v>43</v>
      </c>
      <c r="B43" s="68" t="s">
        <v>143</v>
      </c>
      <c r="C43" s="93"/>
      <c r="D43" s="88"/>
      <c r="E43" s="94">
        <f ca="1">OFFSET($E$7,$A43-$A$7,1,1,1)/OFFSET($E$7,$A43-$A$7,5,1,1)-1</f>
        <v>0.25124607716448222</v>
      </c>
      <c r="F43" s="22">
        <v>-6778</v>
      </c>
      <c r="G43" s="270">
        <v>-2949</v>
      </c>
      <c r="H43" s="270">
        <v>-13998</v>
      </c>
      <c r="I43" s="22">
        <v>-8918</v>
      </c>
      <c r="J43" s="22">
        <v>-5417</v>
      </c>
      <c r="K43" s="22">
        <v>-2286</v>
      </c>
      <c r="L43" s="270">
        <v>-10575</v>
      </c>
      <c r="M43" s="22">
        <v>-6959</v>
      </c>
      <c r="N43" s="22">
        <v>-4516</v>
      </c>
      <c r="O43" s="22">
        <v>-1934</v>
      </c>
      <c r="P43" s="270">
        <v>-9767</v>
      </c>
      <c r="Q43" s="22">
        <v>-6723</v>
      </c>
      <c r="R43" s="22">
        <v>-4418</v>
      </c>
      <c r="S43" s="22">
        <v>-1998</v>
      </c>
      <c r="T43" s="400"/>
      <c r="U43" s="400"/>
      <c r="V43" s="400"/>
      <c r="W43" s="400"/>
      <c r="X43" s="22">
        <v>-8304</v>
      </c>
      <c r="Y43" s="22">
        <v>-5544</v>
      </c>
      <c r="Z43" s="22">
        <v>-3687</v>
      </c>
      <c r="AA43" s="22">
        <v>-1708</v>
      </c>
      <c r="AB43" s="22">
        <v>-7631</v>
      </c>
      <c r="AC43" s="22">
        <v>-5333.5059999999994</v>
      </c>
      <c r="AD43" s="22">
        <v>-3476.6390000000001</v>
      </c>
      <c r="AE43" s="22">
        <v>-1837.4459999999999</v>
      </c>
      <c r="AF43" s="22">
        <v>-7631.8520000000008</v>
      </c>
      <c r="AG43" s="22">
        <v>-5373.6689999999999</v>
      </c>
      <c r="AH43" s="22">
        <v>-3573.9650000000001</v>
      </c>
      <c r="AI43" s="22">
        <f>(-1241.123+77)+-620.006</f>
        <v>-1784.1289999999999</v>
      </c>
      <c r="AJ43" s="22">
        <v>-7105.4879999999994</v>
      </c>
      <c r="AK43" s="22">
        <v>-5115.8760000000002</v>
      </c>
      <c r="AL43" s="22">
        <v>-3400.4700000000003</v>
      </c>
      <c r="AM43" s="22">
        <f>(AM103)+-413.555</f>
        <v>-1186.664</v>
      </c>
      <c r="AN43" s="149">
        <f>(AN103+AO103+AP103+AQ103)+-1775.543</f>
        <v>-6394.1049999999996</v>
      </c>
      <c r="AO43" s="22">
        <f>(AO103+AP103+AQ103)+-1245.438</f>
        <v>-4592.3090000000002</v>
      </c>
      <c r="AP43" s="22">
        <f>(AP103+AQ103)+-799.387</f>
        <v>-3005.4979999999996</v>
      </c>
      <c r="AQ43" s="22">
        <f>(AQ103)+-360.012</f>
        <v>-1237.1289999999999</v>
      </c>
      <c r="AR43" s="22">
        <f>(AR103+AS103+AT103+AU103)+-1673.593</f>
        <v>-6322.7339999999995</v>
      </c>
      <c r="AS43" s="22">
        <f>(AS103+AT103+AU103)+-1207.994</f>
        <v>-4497.13</v>
      </c>
      <c r="AT43" s="22">
        <f>(AT103+AU103)+-812.31</f>
        <v>-2947.0840000000003</v>
      </c>
      <c r="AU43" s="22">
        <f>(AU103)+-385.077</f>
        <v>-1317.3030000000001</v>
      </c>
      <c r="AV43" s="22">
        <f>(AV103+AW103+AX103+AY103)+-1328.5</f>
        <v>-5759.9589999999998</v>
      </c>
      <c r="AW43" s="22">
        <f>(AY103+AX103+AW103)+-906.079</f>
        <v>-3563.3130000000001</v>
      </c>
      <c r="AX43" s="22">
        <f>(AX103+AY103)+-606.325</f>
        <v>-2267.4360000000001</v>
      </c>
      <c r="AY43" s="22">
        <f>(AY103)+-293.947</f>
        <v>-1016.947</v>
      </c>
      <c r="AZ43" s="22">
        <f>(AZ103+BA103+BB103+BC103)+-1247.321</f>
        <v>-4670.7790000000005</v>
      </c>
      <c r="BA43" s="22">
        <f>(BA103+BB103+BC103)+-854.056</f>
        <v>-3115.4140000000002</v>
      </c>
      <c r="BB43" s="22">
        <f>(BB103+BC103)+-549.217</f>
        <v>-2068.4120000000003</v>
      </c>
      <c r="BC43" s="22">
        <f>(BC103)+-244.669</f>
        <v>-841.02300000000002</v>
      </c>
      <c r="BD43" s="22">
        <f>(BE103+BD103+BF103+BG103)+-1179.54</f>
        <v>-3939.9590000000003</v>
      </c>
      <c r="BE43" s="22">
        <f>(BF103+BE103+BG103)+-842.854</f>
        <v>-2665.2979999999998</v>
      </c>
      <c r="BF43" s="22">
        <f>(BG103+BF103)+-542.11</f>
        <v>-1670.346</v>
      </c>
      <c r="BG43" s="22">
        <f>(BG103)+-258.325</f>
        <v>-741.55300000000011</v>
      </c>
      <c r="BH43" s="22">
        <f>(BI103+BH103+BJ103+BK103)+-1181.178</f>
        <v>-3794.692</v>
      </c>
      <c r="BI43" s="64">
        <f>(BJ103+BI103+BK103)+-917.245</f>
        <v>-2619.7110000000002</v>
      </c>
      <c r="BJ43" s="22">
        <f>(BK103+BJ103)+-653.441</f>
        <v>-1768.856</v>
      </c>
      <c r="BK43" s="22">
        <f>(BK103)+-328.925</f>
        <v>-860.46199999999999</v>
      </c>
      <c r="BL43" s="22">
        <f>(BM103+BL103+BN103+BO103)+-860.376</f>
        <v>-2885.5009999999997</v>
      </c>
      <c r="BM43" s="22">
        <f>(BN103+BM103+BO103)+-582.959</f>
        <v>-1891.6659999999997</v>
      </c>
      <c r="BN43" s="22">
        <f>(BO103+BN103)+-353.879</f>
        <v>-1140.92</v>
      </c>
      <c r="BO43" s="22">
        <f>(BO103)+-167.491</f>
        <v>-485.85900000000004</v>
      </c>
      <c r="BP43" s="22">
        <f>(BQ103+BP103+BR103+BS103)+-566.083</f>
        <v>-2040.904</v>
      </c>
      <c r="BQ43" s="22">
        <f>(BR103+BQ103+BS103)+-404.471</f>
        <v>-1358.0650000000001</v>
      </c>
      <c r="BR43" s="22">
        <f>(BS103+BR103)+-261.206</f>
        <v>-724.36800000000005</v>
      </c>
      <c r="BS43" s="22">
        <f>(BS103)+-119.283</f>
        <v>-338.25800000000004</v>
      </c>
    </row>
    <row r="44" spans="1:71" s="19" customFormat="1" ht="26.1" customHeight="1" x14ac:dyDescent="0.25">
      <c r="A44" s="74">
        <v>44</v>
      </c>
      <c r="B44" s="55" t="s">
        <v>139</v>
      </c>
      <c r="C44" s="93"/>
      <c r="D44" s="88"/>
      <c r="E44" s="96">
        <f ca="1">OFFSET($E$7,$A44-$A$7,1,1,1)/OFFSET($E$7,$A44-$A$7,5,1,1)-1</f>
        <v>-0.33444382750323898</v>
      </c>
      <c r="F44" s="66">
        <f t="shared" ref="F44" si="30">F40+F42+F43</f>
        <v>21576</v>
      </c>
      <c r="G44" s="271">
        <f t="shared" ref="G44" si="31">G40+G42+G43</f>
        <v>14367.592000000001</v>
      </c>
      <c r="H44" s="66">
        <f t="shared" ref="H44" si="32">H40+H42+H43</f>
        <v>51732</v>
      </c>
      <c r="I44" s="66">
        <f t="shared" ref="I44" si="33">I40+I42+I43</f>
        <v>43978</v>
      </c>
      <c r="J44" s="66">
        <f t="shared" ref="J44" si="34">J40+J42+J43</f>
        <v>32418</v>
      </c>
      <c r="K44" s="66">
        <f t="shared" ref="K44" si="35">K40+K42+K43</f>
        <v>20456</v>
      </c>
      <c r="L44" s="66">
        <f t="shared" ref="L44:R44" si="36">L40+L42+L43</f>
        <v>62716</v>
      </c>
      <c r="M44" s="66">
        <f t="shared" si="36"/>
        <v>46443</v>
      </c>
      <c r="N44" s="66">
        <f t="shared" si="36"/>
        <v>30033</v>
      </c>
      <c r="O44" s="66">
        <f t="shared" si="36"/>
        <v>16090</v>
      </c>
      <c r="P44" s="66">
        <f t="shared" si="36"/>
        <v>61215</v>
      </c>
      <c r="Q44" s="66">
        <f t="shared" si="36"/>
        <v>46113</v>
      </c>
      <c r="R44" s="66">
        <f t="shared" si="36"/>
        <v>35424</v>
      </c>
      <c r="S44" s="66">
        <f t="shared" ref="S44:X44" si="37">S40+S42+S43</f>
        <v>18244</v>
      </c>
      <c r="T44" s="412"/>
      <c r="U44" s="412"/>
      <c r="V44" s="412"/>
      <c r="W44" s="412"/>
      <c r="X44" s="66">
        <f t="shared" si="37"/>
        <v>22623</v>
      </c>
      <c r="Y44" s="66">
        <f t="shared" ref="Y44:BS44" si="38">Y40+Y42+Y43</f>
        <v>14257</v>
      </c>
      <c r="Z44" s="66">
        <f t="shared" si="38"/>
        <v>9086</v>
      </c>
      <c r="AA44" s="66">
        <f t="shared" si="38"/>
        <v>3090</v>
      </c>
      <c r="AB44" s="66">
        <f t="shared" si="38"/>
        <v>13510</v>
      </c>
      <c r="AC44" s="66">
        <f t="shared" si="38"/>
        <v>8198.913999999997</v>
      </c>
      <c r="AD44" s="66">
        <f t="shared" si="38"/>
        <v>4418.938000000001</v>
      </c>
      <c r="AE44" s="66">
        <f t="shared" si="38"/>
        <v>2091.2949999999996</v>
      </c>
      <c r="AF44" s="66">
        <f t="shared" si="38"/>
        <v>9717.9350000000031</v>
      </c>
      <c r="AG44" s="66">
        <f t="shared" si="38"/>
        <v>6755.5080000000016</v>
      </c>
      <c r="AH44" s="66">
        <f t="shared" si="38"/>
        <v>4276.9869999999992</v>
      </c>
      <c r="AI44" s="66">
        <f t="shared" si="38"/>
        <v>1542.5830000000005</v>
      </c>
      <c r="AJ44" s="66">
        <f t="shared" si="38"/>
        <v>11207.049000000001</v>
      </c>
      <c r="AK44" s="66">
        <f t="shared" si="38"/>
        <v>7941.1829999999936</v>
      </c>
      <c r="AL44" s="66">
        <f t="shared" si="38"/>
        <v>5513.9699999999984</v>
      </c>
      <c r="AM44" s="66">
        <f t="shared" si="38"/>
        <v>2270.878999999999</v>
      </c>
      <c r="AN44" s="66">
        <f t="shared" si="38"/>
        <v>9355.318999999994</v>
      </c>
      <c r="AO44" s="66">
        <f t="shared" si="38"/>
        <v>7152.6519999999991</v>
      </c>
      <c r="AP44" s="66">
        <f t="shared" si="38"/>
        <v>4134.3439999999991</v>
      </c>
      <c r="AQ44" s="66">
        <f t="shared" si="38"/>
        <v>1836.3760000000007</v>
      </c>
      <c r="AR44" s="66">
        <f t="shared" si="38"/>
        <v>5133.2550000000001</v>
      </c>
      <c r="AS44" s="66">
        <f t="shared" si="38"/>
        <v>3684.5119999999979</v>
      </c>
      <c r="AT44" s="66">
        <f t="shared" si="38"/>
        <v>2423.2869999999989</v>
      </c>
      <c r="AU44" s="66">
        <f t="shared" si="38"/>
        <v>1514.767000000001</v>
      </c>
      <c r="AV44" s="66">
        <f t="shared" si="38"/>
        <v>4747.0239999999967</v>
      </c>
      <c r="AW44" s="66">
        <f t="shared" si="38"/>
        <v>3362.7459999999974</v>
      </c>
      <c r="AX44" s="66">
        <f t="shared" si="38"/>
        <v>2019.5040000000022</v>
      </c>
      <c r="AY44" s="66">
        <f t="shared" si="38"/>
        <v>715.62099999999975</v>
      </c>
      <c r="AZ44" s="66">
        <f t="shared" si="38"/>
        <v>6048.6260000000057</v>
      </c>
      <c r="BA44" s="66">
        <f t="shared" si="38"/>
        <v>5122.375</v>
      </c>
      <c r="BB44" s="66">
        <f t="shared" si="38"/>
        <v>3591.1139999999996</v>
      </c>
      <c r="BC44" s="66">
        <f t="shared" si="38"/>
        <v>1946.5230000000006</v>
      </c>
      <c r="BD44" s="66">
        <f t="shared" si="38"/>
        <v>8483.4660000000022</v>
      </c>
      <c r="BE44" s="66">
        <f t="shared" si="38"/>
        <v>4609.9179999999988</v>
      </c>
      <c r="BF44" s="66">
        <f t="shared" si="38"/>
        <v>2561.386</v>
      </c>
      <c r="BG44" s="66">
        <f t="shared" si="38"/>
        <v>1374.3189999999997</v>
      </c>
      <c r="BH44" s="66">
        <f t="shared" si="38"/>
        <v>1783.012999999999</v>
      </c>
      <c r="BI44" s="66">
        <f t="shared" si="38"/>
        <v>1221.4659999999999</v>
      </c>
      <c r="BJ44" s="66">
        <f t="shared" si="38"/>
        <v>346.41399999999817</v>
      </c>
      <c r="BK44" s="66">
        <f t="shared" si="38"/>
        <v>191.8449999999998</v>
      </c>
      <c r="BL44" s="66">
        <f t="shared" si="38"/>
        <v>7287.126000000002</v>
      </c>
      <c r="BM44" s="66">
        <f t="shared" si="38"/>
        <v>6948.4519999999975</v>
      </c>
      <c r="BN44" s="66">
        <f t="shared" si="38"/>
        <v>5533.1900000000005</v>
      </c>
      <c r="BO44" s="66">
        <f t="shared" si="38"/>
        <v>2470.0680000000007</v>
      </c>
      <c r="BP44" s="66">
        <f t="shared" si="38"/>
        <v>5137.0159999999996</v>
      </c>
      <c r="BQ44" s="66">
        <f t="shared" si="38"/>
        <v>2850.0619999999985</v>
      </c>
      <c r="BR44" s="66">
        <f t="shared" si="38"/>
        <v>1562.9040000000009</v>
      </c>
      <c r="BS44" s="66">
        <f t="shared" si="38"/>
        <v>485.14400000000023</v>
      </c>
    </row>
    <row r="45" spans="1:71" s="25" customFormat="1" ht="15" customHeight="1" x14ac:dyDescent="0.25">
      <c r="A45" s="74">
        <v>45</v>
      </c>
      <c r="B45" s="30" t="s">
        <v>137</v>
      </c>
      <c r="C45" s="93"/>
      <c r="D45" s="88"/>
      <c r="E45" s="94"/>
      <c r="F45" s="22">
        <v>-5062</v>
      </c>
      <c r="G45" s="270">
        <v>-3457</v>
      </c>
      <c r="H45" s="22">
        <v>-13885</v>
      </c>
      <c r="I45" s="270">
        <v>-10563</v>
      </c>
      <c r="J45" s="22">
        <v>-7766</v>
      </c>
      <c r="K45" s="22">
        <v>-4929</v>
      </c>
      <c r="L45" s="22">
        <v>-11937</v>
      </c>
      <c r="M45" s="270">
        <v>-8873</v>
      </c>
      <c r="N45" s="22">
        <v>-5726</v>
      </c>
      <c r="O45" s="22">
        <v>-3070</v>
      </c>
      <c r="P45" s="22">
        <v>-13900</v>
      </c>
      <c r="Q45" s="270">
        <v>-9233</v>
      </c>
      <c r="R45" s="22">
        <v>-7069</v>
      </c>
      <c r="S45" s="22">
        <v>-3623</v>
      </c>
      <c r="T45" s="400"/>
      <c r="U45" s="400"/>
      <c r="V45" s="400"/>
      <c r="W45" s="400"/>
      <c r="X45" s="22">
        <v>-4540</v>
      </c>
      <c r="Y45" s="22">
        <v>-2851</v>
      </c>
      <c r="Z45" s="22">
        <v>-1817</v>
      </c>
      <c r="AA45" s="22">
        <v>-697</v>
      </c>
      <c r="AB45" s="22">
        <v>-2683</v>
      </c>
      <c r="AC45" s="22">
        <v>-1850.374</v>
      </c>
      <c r="AD45" s="22">
        <v>-820.64200000000005</v>
      </c>
      <c r="AE45" s="22">
        <v>-510.13200000000001</v>
      </c>
      <c r="AF45" s="22">
        <v>-1812.0440000000001</v>
      </c>
      <c r="AG45" s="22">
        <v>-1253.424</v>
      </c>
      <c r="AH45" s="22">
        <v>-805.31</v>
      </c>
      <c r="AI45" s="22">
        <v>-260.92899999999997</v>
      </c>
      <c r="AJ45" s="22">
        <v>-2160.1210000000001</v>
      </c>
      <c r="AK45" s="22">
        <v>-1469.2339999999999</v>
      </c>
      <c r="AL45" s="22">
        <v>-1124.018</v>
      </c>
      <c r="AM45" s="22">
        <f>AM105</f>
        <v>-423.80799999999999</v>
      </c>
      <c r="AN45" s="149">
        <f>AN105+AO105+AP105+AQ105</f>
        <v>-1864.2630000000001</v>
      </c>
      <c r="AO45" s="22">
        <f>AO105+AP105+AQ105</f>
        <v>-1415.519</v>
      </c>
      <c r="AP45" s="22">
        <f>AP105+AQ105</f>
        <v>-810.18</v>
      </c>
      <c r="AQ45" s="22">
        <f>AQ105</f>
        <v>-359.54599999999999</v>
      </c>
      <c r="AR45" s="22">
        <f>AR105+AS105+AT105+AU105</f>
        <v>-855.44500000000005</v>
      </c>
      <c r="AS45" s="22">
        <f>AS105+AT105+AU105</f>
        <v>-653.84</v>
      </c>
      <c r="AT45" s="22">
        <f>AT105+AU105</f>
        <v>-427.48</v>
      </c>
      <c r="AU45" s="22">
        <f>AU105</f>
        <v>-345.25700000000001</v>
      </c>
      <c r="AV45" s="22">
        <f>AV105+AW105+AX105+AY105</f>
        <v>-1128.509</v>
      </c>
      <c r="AW45" s="22">
        <f>AY105+AX105+AW105</f>
        <v>-675.18499999999995</v>
      </c>
      <c r="AX45" s="22">
        <f>AX105+AY105</f>
        <v>-451.86700000000002</v>
      </c>
      <c r="AY45" s="22">
        <f>AY105</f>
        <v>-146.68</v>
      </c>
      <c r="AZ45" s="22">
        <f>AZ105+BA105+BB105+BC105</f>
        <v>-1252.952</v>
      </c>
      <c r="BA45" s="22">
        <f>BA105+BB105+BC105</f>
        <v>-1017.8579999999999</v>
      </c>
      <c r="BB45" s="22">
        <f>BB105+BC105</f>
        <v>-671.59799999999996</v>
      </c>
      <c r="BC45" s="22">
        <f>BC105</f>
        <v>-270.96100000000001</v>
      </c>
      <c r="BD45" s="22">
        <f>BE105+BD105+BF105+BG105</f>
        <v>-1788.203</v>
      </c>
      <c r="BE45" s="22">
        <f>BF105+BE105+BG105</f>
        <v>-994.03200000000004</v>
      </c>
      <c r="BF45" s="22">
        <f>BG105+BF105</f>
        <v>-558.23900000000003</v>
      </c>
      <c r="BG45" s="22">
        <f>BG105</f>
        <v>-294.38900000000001</v>
      </c>
      <c r="BH45" s="22">
        <f>BI105+BH105+BJ105+BK105</f>
        <v>-479.51300000000003</v>
      </c>
      <c r="BI45" s="22">
        <f>BJ105+BI105+BK105</f>
        <v>-291.19</v>
      </c>
      <c r="BJ45" s="22">
        <f>BK105+BJ105</f>
        <v>-109.06100000000001</v>
      </c>
      <c r="BK45" s="22">
        <f>BK105</f>
        <v>-68.561000000000007</v>
      </c>
      <c r="BL45" s="22">
        <f>BM105+BL105+BN105+BO105</f>
        <v>-1401.644</v>
      </c>
      <c r="BM45" s="22">
        <f>BN105+BM105+BO105</f>
        <v>-1310.3789999999999</v>
      </c>
      <c r="BN45" s="22">
        <f>BO105+BN105</f>
        <v>-1037.73</v>
      </c>
      <c r="BO45" s="22">
        <f>BO105</f>
        <v>-379.68099999999998</v>
      </c>
      <c r="BP45" s="22">
        <f>BQ105+BP105+BR105+BS105</f>
        <v>-1022.272</v>
      </c>
      <c r="BQ45" s="22">
        <f>BR105+BQ105+BS105</f>
        <v>-550.09199999999998</v>
      </c>
      <c r="BR45" s="22">
        <f>BS105+BR105</f>
        <v>-435.79300000000001</v>
      </c>
      <c r="BS45" s="22">
        <f>BS105</f>
        <v>-135.26499999999999</v>
      </c>
    </row>
    <row r="46" spans="1:71" s="19" customFormat="1" ht="26.25" customHeight="1" x14ac:dyDescent="0.25">
      <c r="A46" s="74">
        <v>46</v>
      </c>
      <c r="B46" s="55" t="s">
        <v>294</v>
      </c>
      <c r="C46" s="93"/>
      <c r="D46" s="88"/>
      <c r="E46" s="96"/>
      <c r="F46" s="66"/>
      <c r="G46" s="271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412"/>
      <c r="U46" s="412"/>
      <c r="V46" s="412"/>
      <c r="W46" s="412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149"/>
      <c r="AO46" s="22"/>
      <c r="AP46" s="22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20"/>
      <c r="BG46" s="20"/>
      <c r="BH46" s="66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</row>
    <row r="47" spans="1:71" s="19" customFormat="1" ht="15" customHeight="1" x14ac:dyDescent="0.25">
      <c r="A47" s="74">
        <v>47</v>
      </c>
      <c r="B47" s="30" t="s">
        <v>295</v>
      </c>
      <c r="C47" s="93"/>
      <c r="D47" s="88"/>
      <c r="E47" s="96"/>
      <c r="F47" s="22">
        <v>16491</v>
      </c>
      <c r="G47" s="270">
        <f t="shared" ref="G47" si="39">SUM(G44:G45)</f>
        <v>10910.592000000001</v>
      </c>
      <c r="H47" s="22">
        <f t="shared" ref="H47" si="40">SUM(H44:H45)</f>
        <v>37847</v>
      </c>
      <c r="I47" s="22">
        <f t="shared" ref="I47" si="41">SUM(I44:I45)</f>
        <v>33415</v>
      </c>
      <c r="J47" s="22">
        <f t="shared" ref="J47" si="42">SUM(J44:J45)</f>
        <v>24652</v>
      </c>
      <c r="K47" s="22">
        <f t="shared" ref="K47" si="43">SUM(K44:K45)</f>
        <v>15527</v>
      </c>
      <c r="L47" s="22">
        <f t="shared" ref="L47:S47" si="44">SUM(L44:L45)</f>
        <v>50779</v>
      </c>
      <c r="M47" s="22">
        <f t="shared" si="44"/>
        <v>37570</v>
      </c>
      <c r="N47" s="22">
        <f t="shared" si="44"/>
        <v>24307</v>
      </c>
      <c r="O47" s="22">
        <f t="shared" si="44"/>
        <v>13020</v>
      </c>
      <c r="P47" s="22">
        <f t="shared" si="44"/>
        <v>47315</v>
      </c>
      <c r="Q47" s="22">
        <f t="shared" si="44"/>
        <v>36880</v>
      </c>
      <c r="R47" s="22">
        <f t="shared" si="44"/>
        <v>28355</v>
      </c>
      <c r="S47" s="22">
        <f t="shared" si="44"/>
        <v>14621</v>
      </c>
      <c r="T47" s="400"/>
      <c r="U47" s="400"/>
      <c r="V47" s="400"/>
      <c r="W47" s="400"/>
      <c r="X47" s="22">
        <f t="shared" ref="X47:AA47" si="45">SUM(X44:X45)</f>
        <v>18083</v>
      </c>
      <c r="Y47" s="22">
        <f t="shared" si="45"/>
        <v>11406</v>
      </c>
      <c r="Z47" s="22">
        <f t="shared" si="45"/>
        <v>7269</v>
      </c>
      <c r="AA47" s="22">
        <f t="shared" si="45"/>
        <v>2393</v>
      </c>
      <c r="AB47" s="22">
        <v>10827</v>
      </c>
      <c r="AC47" s="22">
        <f>SUM(AC44:AC45)</f>
        <v>6348.5399999999972</v>
      </c>
      <c r="AD47" s="22">
        <f>SUM(AD44:AD45)</f>
        <v>3598.2960000000012</v>
      </c>
      <c r="AE47" s="22">
        <v>1581.163</v>
      </c>
      <c r="AF47" s="22">
        <v>7905.8909999999996</v>
      </c>
      <c r="AG47" s="22">
        <v>5528.6180000000004</v>
      </c>
      <c r="AH47" s="22">
        <v>3471.9580000000001</v>
      </c>
      <c r="AI47" s="22">
        <v>1281.037</v>
      </c>
      <c r="AJ47" s="22">
        <v>8937.0409999999993</v>
      </c>
      <c r="AK47" s="22">
        <v>6383.19</v>
      </c>
      <c r="AL47" s="22">
        <v>4344.8379999999997</v>
      </c>
      <c r="AM47" s="22">
        <f>AM107</f>
        <v>1834.075</v>
      </c>
      <c r="AN47" s="149">
        <f>AN107+AO107+AP107+AQ107</f>
        <v>7625.0909999999985</v>
      </c>
      <c r="AO47" s="22">
        <f>AO107+AP107+AQ107</f>
        <v>5878.4290000000001</v>
      </c>
      <c r="AP47" s="22">
        <f>AP107+AQ107</f>
        <v>3491.2549999999997</v>
      </c>
      <c r="AQ47" s="22">
        <f>AQ49</f>
        <v>1476.8300000000006</v>
      </c>
      <c r="AR47" s="22">
        <f t="shared" ref="AR47:BS47" si="46">AR49</f>
        <v>4277.8100000000004</v>
      </c>
      <c r="AS47" s="22">
        <f t="shared" si="46"/>
        <v>3030.6719999999978</v>
      </c>
      <c r="AT47" s="22">
        <f t="shared" si="46"/>
        <v>1995.8069999999989</v>
      </c>
      <c r="AU47" s="22">
        <f t="shared" si="46"/>
        <v>1169.5100000000009</v>
      </c>
      <c r="AV47" s="22">
        <f t="shared" si="46"/>
        <v>3618.5149999999967</v>
      </c>
      <c r="AW47" s="22">
        <f t="shared" si="46"/>
        <v>2687.5609999999974</v>
      </c>
      <c r="AX47" s="22">
        <f t="shared" si="46"/>
        <v>1567.6370000000022</v>
      </c>
      <c r="AY47" s="22">
        <f t="shared" si="46"/>
        <v>568.9409999999998</v>
      </c>
      <c r="AZ47" s="22">
        <f t="shared" si="46"/>
        <v>4795.6740000000054</v>
      </c>
      <c r="BA47" s="22">
        <f t="shared" si="46"/>
        <v>4104.5169999999998</v>
      </c>
      <c r="BB47" s="22">
        <f t="shared" si="46"/>
        <v>2919.5159999999996</v>
      </c>
      <c r="BC47" s="22">
        <f t="shared" si="46"/>
        <v>1675.5620000000006</v>
      </c>
      <c r="BD47" s="22">
        <f t="shared" si="46"/>
        <v>6695.2630000000026</v>
      </c>
      <c r="BE47" s="22">
        <f t="shared" si="46"/>
        <v>3615.8859999999986</v>
      </c>
      <c r="BF47" s="22">
        <f t="shared" si="46"/>
        <v>2003.1469999999999</v>
      </c>
      <c r="BG47" s="22">
        <f t="shared" si="46"/>
        <v>1079.9299999999998</v>
      </c>
      <c r="BH47" s="22">
        <f t="shared" si="46"/>
        <v>1303.4999999999991</v>
      </c>
      <c r="BI47" s="22">
        <f t="shared" si="46"/>
        <v>930.27599999999984</v>
      </c>
      <c r="BJ47" s="22">
        <f t="shared" si="46"/>
        <v>237.35299999999816</v>
      </c>
      <c r="BK47" s="22">
        <f t="shared" si="46"/>
        <v>123.28399999999979</v>
      </c>
      <c r="BL47" s="22">
        <f t="shared" si="46"/>
        <v>5885.4820000000018</v>
      </c>
      <c r="BM47" s="22">
        <f t="shared" si="46"/>
        <v>5638.0729999999976</v>
      </c>
      <c r="BN47" s="22">
        <f t="shared" si="46"/>
        <v>4495.4600000000009</v>
      </c>
      <c r="BO47" s="22">
        <f t="shared" si="46"/>
        <v>2090.3870000000006</v>
      </c>
      <c r="BP47" s="22">
        <f t="shared" si="46"/>
        <v>4114.7439999999997</v>
      </c>
      <c r="BQ47" s="22">
        <f t="shared" si="46"/>
        <v>2299.9699999999984</v>
      </c>
      <c r="BR47" s="22">
        <f t="shared" si="46"/>
        <v>1127.1110000000008</v>
      </c>
      <c r="BS47" s="22">
        <f t="shared" si="46"/>
        <v>349.87900000000025</v>
      </c>
    </row>
    <row r="48" spans="1:71" s="19" customFormat="1" ht="15" customHeight="1" x14ac:dyDescent="0.25">
      <c r="A48" s="74">
        <v>48</v>
      </c>
      <c r="B48" s="30" t="s">
        <v>293</v>
      </c>
      <c r="C48" s="93"/>
      <c r="D48" s="88"/>
      <c r="E48" s="96"/>
      <c r="F48" s="22">
        <v>23</v>
      </c>
      <c r="G48" s="387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429"/>
      <c r="U48" s="429"/>
      <c r="V48" s="429"/>
      <c r="W48" s="429"/>
      <c r="X48" s="343"/>
      <c r="Y48" s="343"/>
      <c r="Z48" s="343"/>
      <c r="AA48" s="343"/>
      <c r="AB48" s="22"/>
      <c r="AC48" s="22"/>
      <c r="AD48" s="22"/>
      <c r="AE48" s="22"/>
      <c r="AF48" s="22">
        <v>0</v>
      </c>
      <c r="AG48" s="22">
        <v>-26.533000000000001</v>
      </c>
      <c r="AH48" s="22">
        <v>-0.28100000000000003</v>
      </c>
      <c r="AI48" s="22">
        <v>0.61699999999999999</v>
      </c>
      <c r="AJ48" s="22">
        <v>109.887</v>
      </c>
      <c r="AK48" s="22">
        <v>88.759</v>
      </c>
      <c r="AL48" s="22">
        <v>45.113999999999997</v>
      </c>
      <c r="AM48" s="22">
        <f>AM108</f>
        <v>12.996</v>
      </c>
      <c r="AN48" s="149">
        <f>AN108+AO108+AP108+AQ108</f>
        <v>61.978999999999999</v>
      </c>
      <c r="AO48" s="22">
        <f>AO108+AP108+AQ108</f>
        <v>54.718000000000004</v>
      </c>
      <c r="AP48" s="22">
        <f>AP108+AQ108</f>
        <v>28.922999999999998</v>
      </c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20"/>
      <c r="BG48" s="20"/>
      <c r="BH48" s="66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</row>
    <row r="49" spans="1:71" s="19" customFormat="1" ht="26.1" customHeight="1" x14ac:dyDescent="0.25">
      <c r="A49" s="74">
        <v>49</v>
      </c>
      <c r="B49" s="55" t="s">
        <v>144</v>
      </c>
      <c r="C49" s="93"/>
      <c r="D49" s="88"/>
      <c r="E49" s="96">
        <f ca="1">OFFSET($E$7,$A49-$A$7,1,1,1)/OFFSET($E$7,$A49-$A$7,5,1,1)-1</f>
        <v>-0.33011520363459357</v>
      </c>
      <c r="F49" s="66">
        <f t="shared" ref="F49" si="47">SUM(F47:F48)</f>
        <v>16514</v>
      </c>
      <c r="G49" s="271">
        <f t="shared" ref="G49" si="48">SUM(G47:G48)</f>
        <v>10910.592000000001</v>
      </c>
      <c r="H49" s="66">
        <f t="shared" ref="H49" si="49">SUM(H47:H48)</f>
        <v>37847</v>
      </c>
      <c r="I49" s="66">
        <f t="shared" ref="I49" si="50">SUM(I47:I48)</f>
        <v>33415</v>
      </c>
      <c r="J49" s="66">
        <f t="shared" ref="J49" si="51">SUM(J47:J48)</f>
        <v>24652</v>
      </c>
      <c r="K49" s="66">
        <f t="shared" ref="K49" si="52">SUM(K47:K48)</f>
        <v>15527</v>
      </c>
      <c r="L49" s="66">
        <f t="shared" ref="L49:X49" si="53">SUM(L47:L48)</f>
        <v>50779</v>
      </c>
      <c r="M49" s="66">
        <f t="shared" si="53"/>
        <v>37570</v>
      </c>
      <c r="N49" s="66">
        <f t="shared" si="53"/>
        <v>24307</v>
      </c>
      <c r="O49" s="66">
        <f t="shared" si="53"/>
        <v>13020</v>
      </c>
      <c r="P49" s="66">
        <f t="shared" si="53"/>
        <v>47315</v>
      </c>
      <c r="Q49" s="66">
        <f t="shared" si="53"/>
        <v>36880</v>
      </c>
      <c r="R49" s="66">
        <f t="shared" si="53"/>
        <v>28355</v>
      </c>
      <c r="S49" s="66">
        <f t="shared" si="53"/>
        <v>14621</v>
      </c>
      <c r="T49" s="412"/>
      <c r="U49" s="412"/>
      <c r="V49" s="412"/>
      <c r="W49" s="412"/>
      <c r="X49" s="66">
        <f t="shared" si="53"/>
        <v>18083</v>
      </c>
      <c r="Y49" s="66">
        <f t="shared" ref="Y49:AD49" si="54">SUM(Y47:Y48)</f>
        <v>11406</v>
      </c>
      <c r="Z49" s="66">
        <f t="shared" si="54"/>
        <v>7269</v>
      </c>
      <c r="AA49" s="66">
        <f t="shared" si="54"/>
        <v>2393</v>
      </c>
      <c r="AB49" s="66">
        <f t="shared" si="54"/>
        <v>10827</v>
      </c>
      <c r="AC49" s="66">
        <f t="shared" si="54"/>
        <v>6348.5399999999972</v>
      </c>
      <c r="AD49" s="66">
        <f t="shared" si="54"/>
        <v>3598.2960000000012</v>
      </c>
      <c r="AE49" s="66">
        <f>SUM(AE44:AE45)</f>
        <v>1581.1629999999996</v>
      </c>
      <c r="AF49" s="66">
        <f t="shared" ref="AF49:AL49" si="55">SUM(AF44:AF45)</f>
        <v>7905.8910000000033</v>
      </c>
      <c r="AG49" s="66">
        <f t="shared" si="55"/>
        <v>5502.0840000000017</v>
      </c>
      <c r="AH49" s="66">
        <f t="shared" si="55"/>
        <v>3471.6769999999992</v>
      </c>
      <c r="AI49" s="66">
        <f t="shared" si="55"/>
        <v>1281.6540000000005</v>
      </c>
      <c r="AJ49" s="66">
        <f t="shared" si="55"/>
        <v>9046.9279999999999</v>
      </c>
      <c r="AK49" s="66">
        <f t="shared" si="55"/>
        <v>6471.9489999999932</v>
      </c>
      <c r="AL49" s="66">
        <f t="shared" si="55"/>
        <v>4389.9519999999984</v>
      </c>
      <c r="AM49" s="66">
        <f>AM44+AM45</f>
        <v>1847.070999999999</v>
      </c>
      <c r="AN49" s="173">
        <f>AN44+AN45</f>
        <v>7491.0559999999941</v>
      </c>
      <c r="AO49" s="66">
        <f>AO44+AO45</f>
        <v>5737.1329999999989</v>
      </c>
      <c r="AP49" s="66">
        <f t="shared" ref="AP49:AU49" si="56">AP44+AP45</f>
        <v>3324.1639999999993</v>
      </c>
      <c r="AQ49" s="66">
        <f t="shared" si="56"/>
        <v>1476.8300000000006</v>
      </c>
      <c r="AR49" s="66">
        <f t="shared" si="56"/>
        <v>4277.8100000000004</v>
      </c>
      <c r="AS49" s="66">
        <f t="shared" si="56"/>
        <v>3030.6719999999978</v>
      </c>
      <c r="AT49" s="66">
        <f t="shared" si="56"/>
        <v>1995.8069999999989</v>
      </c>
      <c r="AU49" s="66">
        <f t="shared" si="56"/>
        <v>1169.5100000000009</v>
      </c>
      <c r="AV49" s="66">
        <f t="shared" ref="AV49:BB49" si="57">AV44+AV45</f>
        <v>3618.5149999999967</v>
      </c>
      <c r="AW49" s="66">
        <f t="shared" si="57"/>
        <v>2687.5609999999974</v>
      </c>
      <c r="AX49" s="66">
        <f t="shared" si="57"/>
        <v>1567.6370000000022</v>
      </c>
      <c r="AY49" s="66">
        <f t="shared" si="57"/>
        <v>568.9409999999998</v>
      </c>
      <c r="AZ49" s="66">
        <f t="shared" si="57"/>
        <v>4795.6740000000054</v>
      </c>
      <c r="BA49" s="66">
        <f t="shared" si="57"/>
        <v>4104.5169999999998</v>
      </c>
      <c r="BB49" s="66">
        <f t="shared" si="57"/>
        <v>2919.5159999999996</v>
      </c>
      <c r="BC49" s="66">
        <f t="shared" ref="BC49:BS49" si="58">BC44+BC45</f>
        <v>1675.5620000000006</v>
      </c>
      <c r="BD49" s="66">
        <f t="shared" si="58"/>
        <v>6695.2630000000026</v>
      </c>
      <c r="BE49" s="66">
        <f t="shared" si="58"/>
        <v>3615.8859999999986</v>
      </c>
      <c r="BF49" s="20">
        <f t="shared" si="58"/>
        <v>2003.1469999999999</v>
      </c>
      <c r="BG49" s="20">
        <f t="shared" si="58"/>
        <v>1079.9299999999998</v>
      </c>
      <c r="BH49" s="66">
        <f t="shared" si="58"/>
        <v>1303.4999999999991</v>
      </c>
      <c r="BI49" s="20">
        <f t="shared" si="58"/>
        <v>930.27599999999984</v>
      </c>
      <c r="BJ49" s="20">
        <f t="shared" si="58"/>
        <v>237.35299999999816</v>
      </c>
      <c r="BK49" s="20">
        <f t="shared" si="58"/>
        <v>123.28399999999979</v>
      </c>
      <c r="BL49" s="20">
        <f t="shared" si="58"/>
        <v>5885.4820000000018</v>
      </c>
      <c r="BM49" s="20">
        <f t="shared" si="58"/>
        <v>5638.0729999999976</v>
      </c>
      <c r="BN49" s="20">
        <f t="shared" si="58"/>
        <v>4495.4600000000009</v>
      </c>
      <c r="BO49" s="20">
        <f t="shared" si="58"/>
        <v>2090.3870000000006</v>
      </c>
      <c r="BP49" s="20">
        <f t="shared" si="58"/>
        <v>4114.7439999999997</v>
      </c>
      <c r="BQ49" s="20">
        <f t="shared" si="58"/>
        <v>2299.9699999999984</v>
      </c>
      <c r="BR49" s="20">
        <f t="shared" si="58"/>
        <v>1127.1110000000008</v>
      </c>
      <c r="BS49" s="20">
        <f t="shared" si="58"/>
        <v>349.87900000000025</v>
      </c>
    </row>
    <row r="50" spans="1:71" ht="26.1" customHeight="1" x14ac:dyDescent="0.25">
      <c r="A50" s="74">
        <v>50</v>
      </c>
      <c r="B50" s="28" t="s">
        <v>248</v>
      </c>
      <c r="C50" s="93"/>
      <c r="D50" s="88"/>
      <c r="E50" s="94"/>
      <c r="F50" s="344"/>
      <c r="G50" s="388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430"/>
      <c r="U50" s="430"/>
      <c r="V50" s="430"/>
      <c r="W50" s="430"/>
      <c r="X50" s="344"/>
      <c r="Y50" s="344"/>
      <c r="Z50" s="344"/>
      <c r="AA50" s="344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220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88"/>
      <c r="BG50" s="11"/>
      <c r="BH50" s="22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</row>
    <row r="51" spans="1:71" ht="26.1" customHeight="1" x14ac:dyDescent="0.25">
      <c r="A51" s="74">
        <v>51</v>
      </c>
      <c r="B51" s="163" t="s">
        <v>249</v>
      </c>
      <c r="C51" s="93"/>
      <c r="D51" s="88"/>
      <c r="E51" s="94"/>
      <c r="G51" s="301"/>
      <c r="T51" s="405"/>
      <c r="U51" s="430"/>
      <c r="V51" s="430"/>
      <c r="W51" s="430"/>
      <c r="X51" s="344"/>
      <c r="Y51" s="344"/>
      <c r="Z51" s="344"/>
      <c r="AA51" s="344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220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88"/>
      <c r="BG51" s="11"/>
      <c r="BH51" s="22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</row>
    <row r="52" spans="1:71" s="301" customFormat="1" ht="27" customHeight="1" x14ac:dyDescent="0.25">
      <c r="A52" s="289">
        <v>52</v>
      </c>
      <c r="B52" s="372" t="s">
        <v>362</v>
      </c>
      <c r="C52" s="365"/>
      <c r="D52" s="291"/>
      <c r="E52" s="286"/>
      <c r="F52" s="270">
        <v>7</v>
      </c>
      <c r="G52" s="270">
        <v>5</v>
      </c>
      <c r="H52" s="270">
        <v>17</v>
      </c>
      <c r="I52" s="270">
        <v>4</v>
      </c>
      <c r="J52" s="270">
        <v>1</v>
      </c>
      <c r="K52" s="270"/>
      <c r="L52" s="270">
        <v>-455</v>
      </c>
      <c r="M52" s="270">
        <v>-456</v>
      </c>
      <c r="N52" s="270">
        <v>-19</v>
      </c>
      <c r="O52" s="270"/>
      <c r="P52" s="270">
        <v>1006</v>
      </c>
      <c r="Q52" s="270">
        <v>121</v>
      </c>
      <c r="R52" s="270">
        <v>16</v>
      </c>
      <c r="S52" s="270">
        <v>15</v>
      </c>
      <c r="T52" s="400"/>
      <c r="U52" s="400"/>
      <c r="V52" s="400"/>
      <c r="W52" s="400"/>
      <c r="X52" s="270">
        <v>372</v>
      </c>
      <c r="Y52" s="270">
        <v>191</v>
      </c>
      <c r="Z52" s="270">
        <v>182</v>
      </c>
      <c r="AA52" s="270">
        <v>43</v>
      </c>
      <c r="AB52" s="270">
        <v>-17</v>
      </c>
      <c r="AC52" s="270">
        <v>-11.898</v>
      </c>
      <c r="AD52" s="270">
        <v>-10.782</v>
      </c>
      <c r="AE52" s="270">
        <v>-9.8420000000000005</v>
      </c>
      <c r="AF52" s="270">
        <v>-147.06399999999999</v>
      </c>
      <c r="AG52" s="270">
        <v>-23.719000000000001</v>
      </c>
      <c r="AH52" s="270">
        <v>-22.945</v>
      </c>
      <c r="AI52" s="270">
        <v>-29.420999999999999</v>
      </c>
      <c r="AJ52" s="270">
        <v>-409.97199999999998</v>
      </c>
      <c r="AK52" s="270">
        <v>-483.18</v>
      </c>
      <c r="AL52" s="270">
        <v>-533.45000000000005</v>
      </c>
      <c r="AM52" s="270">
        <v>-158.79499999999999</v>
      </c>
      <c r="AN52" s="270">
        <v>-1198.694</v>
      </c>
      <c r="AO52" s="270">
        <v>-1033.498</v>
      </c>
      <c r="AP52" s="270">
        <v>-303.53300000000002</v>
      </c>
      <c r="AQ52" s="270">
        <v>-163.99799999999999</v>
      </c>
      <c r="AR52" s="270">
        <v>-982.91200000000003</v>
      </c>
      <c r="AS52" s="270">
        <v>-692.84699999999998</v>
      </c>
      <c r="AT52" s="270">
        <v>-578.25400000000002</v>
      </c>
      <c r="AU52" s="270">
        <v>-375.73599999999999</v>
      </c>
      <c r="AV52" s="270">
        <v>-727.65200000000004</v>
      </c>
      <c r="AW52" s="270">
        <v>-289.601</v>
      </c>
      <c r="AX52" s="270">
        <v>-183.142</v>
      </c>
      <c r="AY52" s="270"/>
      <c r="AZ52" s="270">
        <v>-372.32299999999998</v>
      </c>
      <c r="BA52" s="270"/>
      <c r="BB52" s="270"/>
      <c r="BC52" s="270"/>
      <c r="BD52" s="270">
        <v>-2424.6950000000002</v>
      </c>
      <c r="BE52" s="320"/>
      <c r="BF52" s="291"/>
      <c r="BG52" s="342"/>
      <c r="BH52" s="270"/>
      <c r="BI52" s="342"/>
      <c r="BJ52" s="342"/>
      <c r="BK52" s="342"/>
      <c r="BL52" s="342"/>
      <c r="BM52" s="342"/>
      <c r="BN52" s="342"/>
      <c r="BO52" s="342"/>
      <c r="BP52" s="342"/>
      <c r="BQ52" s="342"/>
      <c r="BR52" s="342"/>
      <c r="BS52" s="342"/>
    </row>
    <row r="53" spans="1:71" s="373" customFormat="1" ht="27.75" customHeight="1" x14ac:dyDescent="0.25">
      <c r="A53" s="289">
        <v>53</v>
      </c>
      <c r="B53" s="372" t="s">
        <v>363</v>
      </c>
      <c r="C53" s="365"/>
      <c r="D53" s="291"/>
      <c r="E53" s="286"/>
      <c r="F53" s="270">
        <v>-186</v>
      </c>
      <c r="G53" s="270">
        <v>306</v>
      </c>
      <c r="H53" s="270">
        <v>-21</v>
      </c>
      <c r="I53" s="270">
        <v>-4</v>
      </c>
      <c r="J53" s="270">
        <v>20</v>
      </c>
      <c r="K53" s="270">
        <v>3</v>
      </c>
      <c r="L53" s="270">
        <v>61</v>
      </c>
      <c r="M53" s="270">
        <v>62</v>
      </c>
      <c r="N53" s="270">
        <v>13</v>
      </c>
      <c r="O53" s="270">
        <v>-4</v>
      </c>
      <c r="P53" s="270">
        <v>-801</v>
      </c>
      <c r="Q53" s="270">
        <v>-674</v>
      </c>
      <c r="R53" s="270">
        <v>-1</v>
      </c>
      <c r="S53" s="270">
        <v>64</v>
      </c>
      <c r="T53" s="400"/>
      <c r="U53" s="400"/>
      <c r="V53" s="400"/>
      <c r="W53" s="400"/>
      <c r="X53" s="270">
        <v>-6</v>
      </c>
      <c r="Y53" s="270">
        <v>-44</v>
      </c>
      <c r="Z53" s="270">
        <v>-44</v>
      </c>
      <c r="AA53" s="270">
        <v>-23</v>
      </c>
      <c r="AB53" s="270">
        <v>58</v>
      </c>
      <c r="AC53" s="270">
        <v>124.08799999999999</v>
      </c>
      <c r="AD53" s="270">
        <v>-7.5129999999999999</v>
      </c>
      <c r="AE53" s="270">
        <v>-25.337</v>
      </c>
      <c r="AF53" s="270">
        <v>558.303</v>
      </c>
      <c r="AG53" s="270">
        <v>421.58800000000002</v>
      </c>
      <c r="AH53" s="270">
        <v>297.89999999999998</v>
      </c>
      <c r="AI53" s="270">
        <v>9.52</v>
      </c>
      <c r="AJ53" s="270">
        <v>-879.54</v>
      </c>
      <c r="AK53" s="270">
        <v>-438.33199999999999</v>
      </c>
      <c r="AL53" s="270">
        <v>252.37299999999999</v>
      </c>
      <c r="AM53" s="270">
        <v>745.02200000000005</v>
      </c>
      <c r="AN53" s="270">
        <v>538.13499999999999</v>
      </c>
      <c r="AO53" s="270">
        <v>143.87100000000001</v>
      </c>
      <c r="AP53" s="270">
        <v>130.82599999999999</v>
      </c>
      <c r="AQ53" s="270">
        <v>28.870999999999999</v>
      </c>
      <c r="AR53" s="270">
        <v>1228.9770000000001</v>
      </c>
      <c r="AS53" s="270">
        <v>1703.287</v>
      </c>
      <c r="AT53" s="270">
        <v>1480.0809999999999</v>
      </c>
      <c r="AU53" s="270">
        <v>1072.9000000000001</v>
      </c>
      <c r="AV53" s="270">
        <v>3265.377</v>
      </c>
      <c r="AW53" s="270">
        <v>2688.7829999999999</v>
      </c>
      <c r="AX53" s="270">
        <v>2342.623</v>
      </c>
      <c r="AY53" s="270">
        <v>1285.864</v>
      </c>
      <c r="AZ53" s="270">
        <v>-669.63800000000003</v>
      </c>
      <c r="BA53" s="270">
        <v>-370.55</v>
      </c>
      <c r="BB53" s="270">
        <v>-390.80700000000002</v>
      </c>
      <c r="BC53" s="270">
        <v>-95.221000000000004</v>
      </c>
      <c r="BD53" s="270">
        <v>643.94000000000017</v>
      </c>
      <c r="BE53" s="270">
        <v>-63.951999999999998</v>
      </c>
      <c r="BF53" s="270">
        <v>-84.64100000000002</v>
      </c>
      <c r="BG53" s="270">
        <v>-315.52499999999998</v>
      </c>
      <c r="BH53" s="270">
        <v>-492.21699999999998</v>
      </c>
      <c r="BI53" s="270">
        <v>88.182000000000002</v>
      </c>
      <c r="BJ53" s="270">
        <v>86.832999999999998</v>
      </c>
      <c r="BK53" s="270">
        <v>2.94</v>
      </c>
      <c r="BL53" s="270">
        <v>2739.6329999999998</v>
      </c>
      <c r="BM53" s="270">
        <v>9.0030000000000001</v>
      </c>
      <c r="BN53" s="270">
        <v>3.3919999999999999</v>
      </c>
      <c r="BO53" s="270">
        <v>-8.4039999999999999</v>
      </c>
      <c r="BP53" s="270">
        <v>-7.6050000000000004</v>
      </c>
      <c r="BQ53" s="270">
        <v>-5.9260000000000002</v>
      </c>
      <c r="BR53" s="270">
        <v>-6.6520000000000001</v>
      </c>
      <c r="BS53" s="270">
        <v>0.501</v>
      </c>
    </row>
    <row r="54" spans="1:71" s="25" customFormat="1" ht="27.75" customHeight="1" x14ac:dyDescent="0.25">
      <c r="A54" s="74">
        <v>54</v>
      </c>
      <c r="B54" s="68" t="s">
        <v>250</v>
      </c>
      <c r="C54" s="93"/>
      <c r="D54" s="88"/>
      <c r="E54" s="94"/>
      <c r="F54" s="270">
        <v>45</v>
      </c>
      <c r="G54" s="270">
        <v>-78</v>
      </c>
      <c r="H54" s="270">
        <v>1</v>
      </c>
      <c r="I54" s="270"/>
      <c r="J54" s="270">
        <v>-5</v>
      </c>
      <c r="K54" s="270">
        <v>-1</v>
      </c>
      <c r="L54" s="270">
        <v>79</v>
      </c>
      <c r="M54" s="270">
        <v>79</v>
      </c>
      <c r="N54" s="270">
        <v>1</v>
      </c>
      <c r="O54" s="270">
        <v>1</v>
      </c>
      <c r="P54" s="270">
        <v>-41</v>
      </c>
      <c r="Q54" s="270">
        <v>111</v>
      </c>
      <c r="R54" s="270">
        <v>-3</v>
      </c>
      <c r="S54" s="270">
        <v>-16</v>
      </c>
      <c r="T54" s="400"/>
      <c r="U54" s="400"/>
      <c r="V54" s="400"/>
      <c r="W54" s="400"/>
      <c r="X54" s="270">
        <v>-74</v>
      </c>
      <c r="Y54" s="270">
        <v>-30</v>
      </c>
      <c r="Z54" s="270">
        <v>-28</v>
      </c>
      <c r="AA54" s="270">
        <v>-5</v>
      </c>
      <c r="AB54" s="270">
        <v>-9</v>
      </c>
      <c r="AC54" s="270">
        <v>-22.823</v>
      </c>
      <c r="AD54" s="22">
        <v>3.4649999999999999</v>
      </c>
      <c r="AE54" s="22">
        <v>6.9580000000000002</v>
      </c>
      <c r="AF54" s="22">
        <v>-96.123000000000005</v>
      </c>
      <c r="AG54" s="22">
        <v>-91.674999999999997</v>
      </c>
      <c r="AH54" s="22">
        <v>-65.165000000000006</v>
      </c>
      <c r="AI54" s="22">
        <v>-3.62</v>
      </c>
      <c r="AJ54" s="22">
        <v>241.791</v>
      </c>
      <c r="AK54" s="22">
        <v>170.78200000000001</v>
      </c>
      <c r="AL54" s="22">
        <v>45.610999999999997</v>
      </c>
      <c r="AM54" s="22">
        <v>-119.333</v>
      </c>
      <c r="AN54" s="149">
        <v>132.11199999999999</v>
      </c>
      <c r="AO54" s="22">
        <v>177.92500000000001</v>
      </c>
      <c r="AP54" s="22">
        <v>34.540999999999997</v>
      </c>
      <c r="AQ54" s="22">
        <v>27.024999999999999</v>
      </c>
      <c r="AR54" s="22">
        <v>-49.213000000000001</v>
      </c>
      <c r="AS54" s="22">
        <v>-202.08799999999999</v>
      </c>
      <c r="AT54" s="22">
        <v>-180.36600000000001</v>
      </c>
      <c r="AU54" s="22">
        <v>-139.43299999999999</v>
      </c>
      <c r="AV54" s="22">
        <v>-507.54500000000002</v>
      </c>
      <c r="AW54" s="22">
        <v>-479.83699999999999</v>
      </c>
      <c r="AX54" s="22">
        <v>-432.04700000000003</v>
      </c>
      <c r="AY54" s="149">
        <v>-257.173</v>
      </c>
      <c r="AZ54" s="22">
        <v>208.39300000000003</v>
      </c>
      <c r="BA54" s="22">
        <v>74.11</v>
      </c>
      <c r="BB54" s="22">
        <v>78.162000000000006</v>
      </c>
      <c r="BC54" s="149">
        <v>19.045000000000002</v>
      </c>
      <c r="BD54" s="22">
        <v>291.74299999999999</v>
      </c>
      <c r="BE54" s="22">
        <v>-16.473000000000006</v>
      </c>
      <c r="BF54" s="22">
        <v>16.928000000000004</v>
      </c>
      <c r="BG54" s="22">
        <v>63.104999999999997</v>
      </c>
      <c r="BH54" s="22">
        <v>47.494999999999997</v>
      </c>
      <c r="BI54" s="22">
        <v>-17.637</v>
      </c>
      <c r="BJ54" s="22">
        <v>-17.367000000000001</v>
      </c>
      <c r="BK54" s="22">
        <v>-0.58799999999999997</v>
      </c>
      <c r="BL54" s="22">
        <v>-830.34</v>
      </c>
      <c r="BM54" s="22">
        <v>-1.8009999999999999</v>
      </c>
      <c r="BN54" s="22">
        <v>-0.67900000000000005</v>
      </c>
      <c r="BO54" s="22">
        <v>1.68</v>
      </c>
      <c r="BP54" s="22">
        <v>1.5209999999999999</v>
      </c>
      <c r="BQ54" s="22">
        <v>1.1850000000000001</v>
      </c>
      <c r="BR54" s="22">
        <v>1.33</v>
      </c>
      <c r="BS54" s="22">
        <v>-0.10100000000000001</v>
      </c>
    </row>
    <row r="55" spans="1:71" s="25" customFormat="1" ht="14.25" customHeight="1" x14ac:dyDescent="0.25">
      <c r="A55" s="74">
        <v>55</v>
      </c>
      <c r="B55" s="68" t="s">
        <v>300</v>
      </c>
      <c r="C55" s="93"/>
      <c r="D55" s="88"/>
      <c r="E55" s="94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>
        <v>-94</v>
      </c>
      <c r="Q55" s="270">
        <v>-94</v>
      </c>
      <c r="R55" s="270">
        <v>-94</v>
      </c>
      <c r="S55" s="270">
        <v>-94</v>
      </c>
      <c r="T55" s="400"/>
      <c r="U55" s="400"/>
      <c r="V55" s="400"/>
      <c r="W55" s="400"/>
      <c r="X55" s="270">
        <v>1</v>
      </c>
      <c r="Y55" s="270"/>
      <c r="Z55" s="270">
        <v>1</v>
      </c>
      <c r="AA55" s="270">
        <v>10</v>
      </c>
      <c r="AB55" s="270">
        <v>32</v>
      </c>
      <c r="AC55" s="270">
        <v>31.457999999999998</v>
      </c>
      <c r="AD55" s="22">
        <v>31.859000000000002</v>
      </c>
      <c r="AE55" s="22">
        <v>20.779</v>
      </c>
      <c r="AF55" s="22">
        <v>-11.036</v>
      </c>
      <c r="AG55" s="22">
        <v>-19.664000000000001</v>
      </c>
      <c r="AH55" s="22">
        <v>-20.945</v>
      </c>
      <c r="AI55" s="22">
        <v>-21.003</v>
      </c>
      <c r="AJ55" s="22">
        <v>3.4980000000000002</v>
      </c>
      <c r="AK55" s="22">
        <v>-7.2320000000000002</v>
      </c>
      <c r="AL55" s="22">
        <v>-2.1240000000000001</v>
      </c>
      <c r="AM55" s="22">
        <v>-0.03</v>
      </c>
      <c r="AN55" s="149">
        <v>-1.4510000000000001</v>
      </c>
      <c r="AO55" s="22">
        <v>-1.286</v>
      </c>
      <c r="AP55" s="22">
        <v>-1.339</v>
      </c>
      <c r="AQ55" s="22"/>
      <c r="AR55" s="22"/>
      <c r="AS55" s="22"/>
      <c r="AT55" s="22"/>
      <c r="AU55" s="22"/>
      <c r="AV55" s="22"/>
      <c r="AW55" s="22"/>
      <c r="AX55" s="22"/>
      <c r="AY55" s="149"/>
      <c r="AZ55" s="22"/>
      <c r="BA55" s="22"/>
      <c r="BB55" s="22"/>
      <c r="BC55" s="149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</row>
    <row r="56" spans="1:71" s="25" customFormat="1" ht="27.75" customHeight="1" x14ac:dyDescent="0.25">
      <c r="A56" s="74">
        <v>56</v>
      </c>
      <c r="B56" s="162" t="s">
        <v>247</v>
      </c>
      <c r="C56" s="93"/>
      <c r="D56" s="88"/>
      <c r="E56" s="94"/>
      <c r="F56" s="22"/>
      <c r="G56" s="270"/>
      <c r="H56" s="270"/>
      <c r="I56" s="22"/>
      <c r="J56" s="22"/>
      <c r="K56" s="22"/>
      <c r="L56" s="270"/>
      <c r="M56" s="22"/>
      <c r="N56" s="22"/>
      <c r="O56" s="22"/>
      <c r="P56" s="270"/>
      <c r="Q56" s="22"/>
      <c r="R56" s="22"/>
      <c r="S56" s="22"/>
      <c r="T56" s="400"/>
      <c r="U56" s="400"/>
      <c r="V56" s="400"/>
      <c r="W56" s="400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49"/>
      <c r="AO56" s="22"/>
      <c r="AP56" s="22"/>
      <c r="AQ56" s="22"/>
      <c r="AR56" s="22"/>
      <c r="AS56" s="22"/>
      <c r="AT56" s="22"/>
      <c r="AU56" s="22"/>
      <c r="AV56" s="22"/>
      <c r="AW56" s="149"/>
      <c r="AX56" s="149"/>
      <c r="AY56" s="149"/>
      <c r="AZ56" s="22"/>
      <c r="BA56" s="22"/>
      <c r="BB56" s="22"/>
      <c r="BC56" s="149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</row>
    <row r="57" spans="1:71" s="25" customFormat="1" ht="27.75" customHeight="1" x14ac:dyDescent="0.25">
      <c r="A57" s="74">
        <v>57</v>
      </c>
      <c r="B57" s="68" t="s">
        <v>382</v>
      </c>
      <c r="C57" s="93"/>
      <c r="D57" s="88"/>
      <c r="E57" s="94"/>
      <c r="F57" s="22"/>
      <c r="G57" s="270"/>
      <c r="H57" s="270"/>
      <c r="I57" s="22"/>
      <c r="J57" s="22"/>
      <c r="K57" s="22"/>
      <c r="L57" s="270"/>
      <c r="M57" s="22"/>
      <c r="N57" s="22"/>
      <c r="O57" s="22"/>
      <c r="P57" s="270"/>
      <c r="Q57" s="22"/>
      <c r="R57" s="22"/>
      <c r="S57" s="22"/>
      <c r="T57" s="400"/>
      <c r="U57" s="400"/>
      <c r="V57" s="400"/>
      <c r="W57" s="400"/>
      <c r="X57" s="22"/>
      <c r="Y57" s="22"/>
      <c r="Z57" s="22"/>
      <c r="AA57" s="22"/>
      <c r="AB57" s="22"/>
      <c r="AC57" s="22"/>
      <c r="AD57" s="22"/>
      <c r="AE57" s="22"/>
      <c r="AF57" s="22">
        <v>70.578000000000003</v>
      </c>
      <c r="AG57" s="22">
        <v>70.578000000000003</v>
      </c>
      <c r="AH57" s="22">
        <v>91.244</v>
      </c>
      <c r="AI57" s="22">
        <v>9.6170000000000009</v>
      </c>
      <c r="AJ57" s="22"/>
      <c r="AK57" s="22"/>
      <c r="AL57" s="22"/>
      <c r="AM57" s="22"/>
      <c r="AN57" s="149"/>
      <c r="AO57" s="22"/>
      <c r="AP57" s="22"/>
      <c r="AQ57" s="22"/>
      <c r="AR57" s="22"/>
      <c r="AS57" s="22"/>
      <c r="AT57" s="22"/>
      <c r="AU57" s="22"/>
      <c r="AV57" s="22"/>
      <c r="AW57" s="149"/>
      <c r="AX57" s="149"/>
      <c r="AY57" s="149"/>
      <c r="AZ57" s="22"/>
      <c r="BA57" s="22"/>
      <c r="BB57" s="22"/>
      <c r="BC57" s="149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</row>
    <row r="58" spans="1:71" s="25" customFormat="1" ht="15" customHeight="1" x14ac:dyDescent="0.25">
      <c r="A58" s="74">
        <v>58</v>
      </c>
      <c r="B58" s="68" t="s">
        <v>246</v>
      </c>
      <c r="C58" s="93"/>
      <c r="D58" s="88"/>
      <c r="E58" s="94"/>
      <c r="F58" s="22"/>
      <c r="G58" s="270"/>
      <c r="H58" s="270"/>
      <c r="I58" s="22"/>
      <c r="J58" s="22"/>
      <c r="K58" s="22"/>
      <c r="L58" s="270"/>
      <c r="M58" s="22"/>
      <c r="N58" s="22"/>
      <c r="O58" s="22"/>
      <c r="P58" s="270">
        <v>504</v>
      </c>
      <c r="Q58" s="22"/>
      <c r="R58" s="22"/>
      <c r="S58" s="22"/>
      <c r="T58" s="400"/>
      <c r="U58" s="400"/>
      <c r="V58" s="400"/>
      <c r="W58" s="400"/>
      <c r="X58" s="22"/>
      <c r="Y58" s="22"/>
      <c r="Z58" s="22"/>
      <c r="AA58" s="22"/>
      <c r="AB58" s="22">
        <v>25</v>
      </c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49">
        <v>-205.83099999999999</v>
      </c>
      <c r="AO58" s="22"/>
      <c r="AP58" s="22"/>
      <c r="AQ58" s="22"/>
      <c r="AR58" s="22"/>
      <c r="AS58" s="22"/>
      <c r="AT58" s="22"/>
      <c r="AU58" s="22"/>
      <c r="AV58" s="22"/>
      <c r="AW58" s="149"/>
      <c r="AX58" s="149"/>
      <c r="AY58" s="149"/>
      <c r="AZ58" s="22">
        <v>757.79899999999998</v>
      </c>
      <c r="BA58" s="22"/>
      <c r="BB58" s="22"/>
      <c r="BC58" s="149"/>
      <c r="BD58" s="22"/>
      <c r="BE58" s="22"/>
      <c r="BF58" s="22"/>
      <c r="BG58" s="22"/>
      <c r="BH58" s="22">
        <v>254.74</v>
      </c>
      <c r="BI58" s="22"/>
      <c r="BJ58" s="22"/>
      <c r="BK58" s="22"/>
      <c r="BL58" s="22">
        <v>1734.105</v>
      </c>
      <c r="BM58" s="22"/>
      <c r="BN58" s="22"/>
      <c r="BO58" s="22"/>
      <c r="BP58" s="22"/>
      <c r="BQ58" s="22"/>
      <c r="BR58" s="22"/>
      <c r="BS58" s="22"/>
    </row>
    <row r="59" spans="1:71" s="25" customFormat="1" ht="26.25" x14ac:dyDescent="0.25">
      <c r="A59" s="74">
        <v>59</v>
      </c>
      <c r="B59" s="68" t="s">
        <v>241</v>
      </c>
      <c r="C59" s="93"/>
      <c r="D59" s="88"/>
      <c r="E59" s="94"/>
      <c r="F59" s="22"/>
      <c r="G59" s="270"/>
      <c r="H59" s="270"/>
      <c r="I59" s="22"/>
      <c r="J59" s="22"/>
      <c r="K59" s="22"/>
      <c r="L59" s="270">
        <v>-190</v>
      </c>
      <c r="M59" s="22"/>
      <c r="N59" s="22"/>
      <c r="O59" s="22"/>
      <c r="P59" s="270">
        <v>-101</v>
      </c>
      <c r="Q59" s="22"/>
      <c r="R59" s="22"/>
      <c r="S59" s="22"/>
      <c r="T59" s="400"/>
      <c r="U59" s="400"/>
      <c r="V59" s="400"/>
      <c r="W59" s="400"/>
      <c r="X59" s="22"/>
      <c r="Y59" s="22"/>
      <c r="Z59" s="22"/>
      <c r="AA59" s="22"/>
      <c r="AB59" s="22">
        <v>-5</v>
      </c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49">
        <v>41.165999999999997</v>
      </c>
      <c r="AO59" s="22"/>
      <c r="AP59" s="22"/>
      <c r="AQ59" s="22"/>
      <c r="AR59" s="22"/>
      <c r="AS59" s="22"/>
      <c r="AT59" s="22"/>
      <c r="AU59" s="22"/>
      <c r="AV59" s="22"/>
      <c r="AW59" s="149"/>
      <c r="AX59" s="149"/>
      <c r="AY59" s="149"/>
      <c r="AZ59" s="22">
        <v>-151.56</v>
      </c>
      <c r="BA59" s="22"/>
      <c r="BB59" s="22"/>
      <c r="BC59" s="149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</row>
    <row r="60" spans="1:71" s="19" customFormat="1" ht="26.25" customHeight="1" x14ac:dyDescent="0.25">
      <c r="A60" s="74">
        <v>60</v>
      </c>
      <c r="B60" s="55" t="s">
        <v>296</v>
      </c>
      <c r="C60" s="93"/>
      <c r="D60" s="88"/>
      <c r="E60" s="96"/>
      <c r="F60" s="66"/>
      <c r="G60" s="271"/>
      <c r="H60" s="271"/>
      <c r="I60" s="66"/>
      <c r="J60" s="66"/>
      <c r="K60" s="66"/>
      <c r="L60" s="271"/>
      <c r="M60" s="66"/>
      <c r="N60" s="66"/>
      <c r="O60" s="66"/>
      <c r="P60" s="271"/>
      <c r="Q60" s="66"/>
      <c r="R60" s="66"/>
      <c r="S60" s="66"/>
      <c r="T60" s="412"/>
      <c r="U60" s="412"/>
      <c r="V60" s="412"/>
      <c r="W60" s="412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149"/>
      <c r="AO60" s="22"/>
      <c r="AP60" s="22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20"/>
      <c r="BG60" s="20"/>
      <c r="BH60" s="66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</row>
    <row r="61" spans="1:71" s="19" customFormat="1" ht="15" customHeight="1" x14ac:dyDescent="0.25">
      <c r="A61" s="74">
        <v>61</v>
      </c>
      <c r="B61" s="30" t="s">
        <v>295</v>
      </c>
      <c r="C61" s="93"/>
      <c r="D61" s="88"/>
      <c r="E61" s="96"/>
      <c r="F61" s="22">
        <v>16357</v>
      </c>
      <c r="G61" s="270">
        <f t="shared" ref="G61" si="59">G49+G52+G59+G53+G54+G58+G55+G57</f>
        <v>11143.592000000001</v>
      </c>
      <c r="H61" s="22">
        <f>H49+H52+H59+H53+H54+H58+H55+H57</f>
        <v>37844</v>
      </c>
      <c r="I61" s="22">
        <f>I49+I52+I59+I53+I54+I58+I55+I57</f>
        <v>33415</v>
      </c>
      <c r="J61" s="22">
        <f>J49+J52+J59+J53+J54+J58+J55+J57</f>
        <v>24668</v>
      </c>
      <c r="K61" s="22">
        <f t="shared" ref="K61" si="60">K49+K52+K59+K53+K54+K58+K55+K57</f>
        <v>15529</v>
      </c>
      <c r="L61" s="22">
        <f>L49+L52+L59+L53+L54+L58+L55+L57</f>
        <v>50274</v>
      </c>
      <c r="M61" s="22">
        <f>M49+M52+M59+M53+M54+M58+M55+M57</f>
        <v>37255</v>
      </c>
      <c r="N61" s="22">
        <f>N49+N52+N59+N53+N54+N58+N55+N57</f>
        <v>24302</v>
      </c>
      <c r="O61" s="22">
        <f t="shared" ref="O61:S61" si="61">O49+O52+O59+O53+O54+O58+O55+O57</f>
        <v>13017</v>
      </c>
      <c r="P61" s="22">
        <f t="shared" si="61"/>
        <v>47788</v>
      </c>
      <c r="Q61" s="22">
        <f t="shared" si="61"/>
        <v>36344</v>
      </c>
      <c r="R61" s="22">
        <f t="shared" si="61"/>
        <v>28273</v>
      </c>
      <c r="S61" s="22">
        <f t="shared" si="61"/>
        <v>14590</v>
      </c>
      <c r="T61" s="400"/>
      <c r="U61" s="400"/>
      <c r="V61" s="400"/>
      <c r="W61" s="400"/>
      <c r="X61" s="22">
        <f>X49+X53+X59+X52+X54+X58+X55+X57</f>
        <v>18376</v>
      </c>
      <c r="Y61" s="22">
        <f t="shared" ref="Y61:AD61" si="62">Y49+Y53+Y59+Y52+Y54+Y58+Y55+Y57</f>
        <v>11523</v>
      </c>
      <c r="Z61" s="22">
        <f t="shared" si="62"/>
        <v>7380</v>
      </c>
      <c r="AA61" s="22">
        <f t="shared" si="62"/>
        <v>2418</v>
      </c>
      <c r="AB61" s="22">
        <f t="shared" si="62"/>
        <v>10911</v>
      </c>
      <c r="AC61" s="22">
        <f t="shared" si="62"/>
        <v>6469.3649999999961</v>
      </c>
      <c r="AD61" s="22">
        <f t="shared" si="62"/>
        <v>3615.3250000000012</v>
      </c>
      <c r="AE61" s="22">
        <v>1573.721</v>
      </c>
      <c r="AF61" s="22">
        <v>8280.5489999999991</v>
      </c>
      <c r="AG61" s="22">
        <v>5856.768</v>
      </c>
      <c r="AH61" s="22">
        <v>3752.047</v>
      </c>
      <c r="AI61" s="22">
        <v>1246.1300000000001</v>
      </c>
      <c r="AJ61" s="22">
        <v>7892.8180000000002</v>
      </c>
      <c r="AK61" s="22">
        <v>5625.2280000000001</v>
      </c>
      <c r="AL61" s="22">
        <v>4107.2479999999996</v>
      </c>
      <c r="AM61" s="22">
        <f>AM121</f>
        <v>2300.9389999999999</v>
      </c>
      <c r="AN61" s="149">
        <f>AN121+AO121+AP121+AQ121</f>
        <v>6930.5279999999993</v>
      </c>
      <c r="AO61" s="22">
        <f>AO121+AP121+AQ121</f>
        <v>5165.4409999999989</v>
      </c>
      <c r="AP61" s="22">
        <f>AP121+AQ121</f>
        <v>3351.7499999999995</v>
      </c>
      <c r="AQ61" s="22">
        <f>AQ63</f>
        <v>1368.7280000000007</v>
      </c>
      <c r="AR61" s="22">
        <f t="shared" ref="AR61:BS61" si="63">AR63</f>
        <v>4474.6620000000003</v>
      </c>
      <c r="AS61" s="22">
        <f t="shared" si="63"/>
        <v>3839.0239999999981</v>
      </c>
      <c r="AT61" s="22">
        <f t="shared" si="63"/>
        <v>2717.2679999999991</v>
      </c>
      <c r="AU61" s="22">
        <f t="shared" si="63"/>
        <v>1727.2410000000009</v>
      </c>
      <c r="AV61" s="22">
        <f t="shared" si="63"/>
        <v>5648.6949999999961</v>
      </c>
      <c r="AW61" s="22">
        <f t="shared" si="63"/>
        <v>4606.9059999999972</v>
      </c>
      <c r="AX61" s="22">
        <f t="shared" si="63"/>
        <v>3295.0710000000022</v>
      </c>
      <c r="AY61" s="22">
        <f t="shared" si="63"/>
        <v>1597.6319999999998</v>
      </c>
      <c r="AZ61" s="22">
        <f t="shared" si="63"/>
        <v>4568.3450000000057</v>
      </c>
      <c r="BA61" s="22">
        <f t="shared" si="63"/>
        <v>3808.0769999999998</v>
      </c>
      <c r="BB61" s="22">
        <f t="shared" si="63"/>
        <v>2606.8709999999996</v>
      </c>
      <c r="BC61" s="22">
        <f t="shared" si="63"/>
        <v>1599.3860000000006</v>
      </c>
      <c r="BD61" s="22">
        <f t="shared" si="63"/>
        <v>5206.2510000000038</v>
      </c>
      <c r="BE61" s="22">
        <f t="shared" si="63"/>
        <v>3535.4609999999984</v>
      </c>
      <c r="BF61" s="22">
        <f t="shared" si="63"/>
        <v>1935.434</v>
      </c>
      <c r="BG61" s="22">
        <f t="shared" si="63"/>
        <v>827.50999999999988</v>
      </c>
      <c r="BH61" s="22">
        <f t="shared" si="63"/>
        <v>1113.5179999999991</v>
      </c>
      <c r="BI61" s="22">
        <f t="shared" si="63"/>
        <v>1000.8209999999999</v>
      </c>
      <c r="BJ61" s="22">
        <f t="shared" si="63"/>
        <v>306.81899999999814</v>
      </c>
      <c r="BK61" s="22">
        <f t="shared" si="63"/>
        <v>125.6359999999998</v>
      </c>
      <c r="BL61" s="22">
        <f t="shared" si="63"/>
        <v>9528.880000000001</v>
      </c>
      <c r="BM61" s="22">
        <f t="shared" si="63"/>
        <v>5645.2749999999969</v>
      </c>
      <c r="BN61" s="22">
        <f t="shared" si="63"/>
        <v>4498.1730000000007</v>
      </c>
      <c r="BO61" s="22">
        <f t="shared" si="63"/>
        <v>2083.6630000000005</v>
      </c>
      <c r="BP61" s="22">
        <f t="shared" si="63"/>
        <v>4108.66</v>
      </c>
      <c r="BQ61" s="22">
        <f t="shared" si="63"/>
        <v>2295.2289999999985</v>
      </c>
      <c r="BR61" s="22">
        <f t="shared" si="63"/>
        <v>1121.7890000000007</v>
      </c>
      <c r="BS61" s="22">
        <f t="shared" si="63"/>
        <v>350.27900000000022</v>
      </c>
    </row>
    <row r="62" spans="1:71" s="19" customFormat="1" ht="15" customHeight="1" x14ac:dyDescent="0.25">
      <c r="A62" s="74">
        <v>62</v>
      </c>
      <c r="B62" s="30" t="s">
        <v>293</v>
      </c>
      <c r="C62" s="93"/>
      <c r="D62" s="88"/>
      <c r="E62" s="96"/>
      <c r="F62" s="22">
        <v>23</v>
      </c>
      <c r="G62" s="270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400"/>
      <c r="U62" s="400"/>
      <c r="V62" s="400"/>
      <c r="W62" s="400"/>
      <c r="X62" s="22"/>
      <c r="Y62" s="22"/>
      <c r="Z62" s="22"/>
      <c r="AA62" s="22"/>
      <c r="AB62" s="22"/>
      <c r="AC62" s="22"/>
      <c r="AD62" s="22"/>
      <c r="AE62" s="22"/>
      <c r="AF62" s="22">
        <v>0</v>
      </c>
      <c r="AG62" s="22">
        <v>2.4249999999999998</v>
      </c>
      <c r="AH62" s="22">
        <v>-0.28100000000000003</v>
      </c>
      <c r="AI62" s="22">
        <v>0.61699999999999999</v>
      </c>
      <c r="AJ62" s="22">
        <v>109.887</v>
      </c>
      <c r="AK62" s="22">
        <v>88.759</v>
      </c>
      <c r="AL62" s="22">
        <v>45.113999999999997</v>
      </c>
      <c r="AM62" s="22">
        <f>AM122</f>
        <v>12.996</v>
      </c>
      <c r="AN62" s="149">
        <f>AN122+AO122+AP122+AQ122</f>
        <v>61.978999999999999</v>
      </c>
      <c r="AO62" s="22">
        <f>AO122+AP122+AQ122</f>
        <v>54.718000000000004</v>
      </c>
      <c r="AP62" s="22">
        <f>AP122+AQ122</f>
        <v>28.922999999999998</v>
      </c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20"/>
      <c r="BG62" s="20"/>
      <c r="BH62" s="66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</row>
    <row r="63" spans="1:71" s="19" customFormat="1" ht="27" customHeight="1" x14ac:dyDescent="0.25">
      <c r="A63" s="74">
        <v>63</v>
      </c>
      <c r="B63" s="55" t="s">
        <v>251</v>
      </c>
      <c r="C63" s="93"/>
      <c r="D63" s="88"/>
      <c r="E63" s="96"/>
      <c r="F63" s="66">
        <f t="shared" ref="F63" si="64">SUM(F61:F62)</f>
        <v>16380</v>
      </c>
      <c r="G63" s="271">
        <f t="shared" ref="G63" si="65">SUM(G61:G62)</f>
        <v>11143.592000000001</v>
      </c>
      <c r="H63" s="66">
        <f t="shared" ref="H63" si="66">SUM(H61:H62)</f>
        <v>37844</v>
      </c>
      <c r="I63" s="66">
        <f t="shared" ref="I63" si="67">SUM(I61:I62)</f>
        <v>33415</v>
      </c>
      <c r="J63" s="66">
        <f t="shared" ref="J63" si="68">SUM(J61:J62)</f>
        <v>24668</v>
      </c>
      <c r="K63" s="66">
        <f t="shared" ref="K63" si="69">SUM(K61:K62)</f>
        <v>15529</v>
      </c>
      <c r="L63" s="66">
        <f t="shared" ref="L63:R63" si="70">SUM(L61:L62)</f>
        <v>50274</v>
      </c>
      <c r="M63" s="66">
        <f t="shared" si="70"/>
        <v>37255</v>
      </c>
      <c r="N63" s="66">
        <f t="shared" si="70"/>
        <v>24302</v>
      </c>
      <c r="O63" s="66">
        <f t="shared" si="70"/>
        <v>13017</v>
      </c>
      <c r="P63" s="66">
        <f t="shared" si="70"/>
        <v>47788</v>
      </c>
      <c r="Q63" s="66">
        <f t="shared" si="70"/>
        <v>36344</v>
      </c>
      <c r="R63" s="66">
        <f t="shared" si="70"/>
        <v>28273</v>
      </c>
      <c r="S63" s="66">
        <f t="shared" ref="S63:X63" si="71">SUM(S61:S62)</f>
        <v>14590</v>
      </c>
      <c r="T63" s="412"/>
      <c r="U63" s="412"/>
      <c r="V63" s="412"/>
      <c r="W63" s="412"/>
      <c r="X63" s="66">
        <f t="shared" si="71"/>
        <v>18376</v>
      </c>
      <c r="Y63" s="66">
        <f t="shared" ref="Y63:AD63" si="72">SUM(Y61:Y62)</f>
        <v>11523</v>
      </c>
      <c r="Z63" s="66">
        <f t="shared" si="72"/>
        <v>7380</v>
      </c>
      <c r="AA63" s="66">
        <f t="shared" si="72"/>
        <v>2418</v>
      </c>
      <c r="AB63" s="66">
        <f t="shared" si="72"/>
        <v>10911</v>
      </c>
      <c r="AC63" s="66">
        <f t="shared" si="72"/>
        <v>6469.3649999999961</v>
      </c>
      <c r="AD63" s="66">
        <f t="shared" si="72"/>
        <v>3615.3250000000012</v>
      </c>
      <c r="AE63" s="66">
        <f>AE49+AE53+AE59+AE52+AE54+AE58+AE55+AE57</f>
        <v>1573.7209999999995</v>
      </c>
      <c r="AF63" s="66">
        <f>AF49+AF53+AF59+AF52+AF54+AF58+AF55+AF57</f>
        <v>8280.5490000000027</v>
      </c>
      <c r="AG63" s="66">
        <f>AG49+AG53+AG59+AG52+AG54+AG58+AG55+AG57</f>
        <v>5859.1920000000018</v>
      </c>
      <c r="AH63" s="66">
        <f>AH49+AH53+AH59+AH52+AH54+AH58+AH55+AH57</f>
        <v>3751.7659999999992</v>
      </c>
      <c r="AI63" s="66">
        <f>AI49+AI53+AI59+AI52+AI54+AI58+AI55+AI57</f>
        <v>1246.7470000000005</v>
      </c>
      <c r="AJ63" s="66">
        <f>AJ49+AJ53+AJ59+AJ52+AJ54+AJ58+AJ55</f>
        <v>8002.7049999999999</v>
      </c>
      <c r="AK63" s="66">
        <f>AK49+AK53+AK59+AK52+AK54+AK58+AK55</f>
        <v>5713.9869999999928</v>
      </c>
      <c r="AL63" s="66">
        <f>AL49+AL53+AL59+AL52+AL54+AL58+AL55</f>
        <v>4152.3619999999983</v>
      </c>
      <c r="AM63" s="66">
        <f>AM49+AM53+AM59+AM52+AM54+AM58</f>
        <v>2313.9649999999988</v>
      </c>
      <c r="AN63" s="173">
        <f>AN49+AN53+AN59+AN52+AN54+AN55+AN58</f>
        <v>6796.4929999999949</v>
      </c>
      <c r="AO63" s="66">
        <f>AO49+AO53+AO59+AO52+AO54+AO55+AO58</f>
        <v>5024.1449999999995</v>
      </c>
      <c r="AP63" s="66">
        <f>AP49+AP53+AP59+AP52+AP54+AP55+AP58</f>
        <v>3184.6589999999997</v>
      </c>
      <c r="AQ63" s="66">
        <f t="shared" ref="AQ63:BS63" si="73">AQ49+AQ53+AQ59+AQ52+AQ54+AQ58</f>
        <v>1368.7280000000007</v>
      </c>
      <c r="AR63" s="66">
        <f t="shared" si="73"/>
        <v>4474.6620000000003</v>
      </c>
      <c r="AS63" s="66">
        <f t="shared" si="73"/>
        <v>3839.0239999999981</v>
      </c>
      <c r="AT63" s="66">
        <f t="shared" si="73"/>
        <v>2717.2679999999991</v>
      </c>
      <c r="AU63" s="66">
        <f t="shared" si="73"/>
        <v>1727.2410000000009</v>
      </c>
      <c r="AV63" s="66">
        <f t="shared" si="73"/>
        <v>5648.6949999999961</v>
      </c>
      <c r="AW63" s="66">
        <f t="shared" si="73"/>
        <v>4606.9059999999972</v>
      </c>
      <c r="AX63" s="66">
        <f t="shared" si="73"/>
        <v>3295.0710000000022</v>
      </c>
      <c r="AY63" s="66">
        <f t="shared" si="73"/>
        <v>1597.6319999999998</v>
      </c>
      <c r="AZ63" s="66">
        <f t="shared" si="73"/>
        <v>4568.3450000000057</v>
      </c>
      <c r="BA63" s="66">
        <f t="shared" si="73"/>
        <v>3808.0769999999998</v>
      </c>
      <c r="BB63" s="66">
        <f t="shared" si="73"/>
        <v>2606.8709999999996</v>
      </c>
      <c r="BC63" s="66">
        <f t="shared" si="73"/>
        <v>1599.3860000000006</v>
      </c>
      <c r="BD63" s="66">
        <f t="shared" si="73"/>
        <v>5206.2510000000038</v>
      </c>
      <c r="BE63" s="66">
        <f t="shared" si="73"/>
        <v>3535.4609999999984</v>
      </c>
      <c r="BF63" s="66">
        <f t="shared" si="73"/>
        <v>1935.434</v>
      </c>
      <c r="BG63" s="66">
        <f t="shared" si="73"/>
        <v>827.50999999999988</v>
      </c>
      <c r="BH63" s="66">
        <f t="shared" si="73"/>
        <v>1113.5179999999991</v>
      </c>
      <c r="BI63" s="66">
        <f t="shared" si="73"/>
        <v>1000.8209999999999</v>
      </c>
      <c r="BJ63" s="66">
        <f t="shared" si="73"/>
        <v>306.81899999999814</v>
      </c>
      <c r="BK63" s="66">
        <f t="shared" si="73"/>
        <v>125.6359999999998</v>
      </c>
      <c r="BL63" s="66">
        <f t="shared" si="73"/>
        <v>9528.880000000001</v>
      </c>
      <c r="BM63" s="66">
        <f t="shared" si="73"/>
        <v>5645.2749999999969</v>
      </c>
      <c r="BN63" s="66">
        <f t="shared" si="73"/>
        <v>4498.1730000000007</v>
      </c>
      <c r="BO63" s="66">
        <f t="shared" si="73"/>
        <v>2083.6630000000005</v>
      </c>
      <c r="BP63" s="66">
        <f t="shared" si="73"/>
        <v>4108.66</v>
      </c>
      <c r="BQ63" s="66">
        <f t="shared" si="73"/>
        <v>2295.2289999999985</v>
      </c>
      <c r="BR63" s="66">
        <f t="shared" si="73"/>
        <v>1121.7890000000007</v>
      </c>
      <c r="BS63" s="66">
        <f t="shared" si="73"/>
        <v>350.27900000000022</v>
      </c>
    </row>
    <row r="64" spans="1:71" ht="15" customHeight="1" x14ac:dyDescent="0.25">
      <c r="A64" s="74">
        <v>64</v>
      </c>
      <c r="G64" s="301"/>
      <c r="AN64" s="151"/>
      <c r="AO64" s="25"/>
      <c r="AP64" s="25"/>
    </row>
    <row r="65" spans="1:71" ht="15" customHeight="1" x14ac:dyDescent="0.25">
      <c r="A65" s="74">
        <v>65</v>
      </c>
      <c r="G65" s="301"/>
      <c r="AN65" s="151"/>
      <c r="AO65" s="25"/>
      <c r="AP65" s="25"/>
      <c r="AZ65" s="25"/>
    </row>
    <row r="66" spans="1:71" ht="15" customHeight="1" x14ac:dyDescent="0.25">
      <c r="A66" s="74">
        <v>66</v>
      </c>
      <c r="G66" s="301"/>
      <c r="AN66" s="151"/>
      <c r="AO66" s="25"/>
      <c r="AP66" s="25"/>
    </row>
    <row r="67" spans="1:71" ht="15.75" customHeight="1" x14ac:dyDescent="0.25">
      <c r="A67" s="74">
        <v>67</v>
      </c>
      <c r="B67" s="453" t="s">
        <v>188</v>
      </c>
      <c r="C67" s="506" t="str">
        <f ca="1">OFFSET($E$67,0,1,1,1)&amp;"/ "&amp;OFFSET($E$67,0,2,1,1)</f>
        <v>2Q 2026/ 1Q 2026</v>
      </c>
      <c r="D67" s="292"/>
      <c r="E67" s="506" t="str">
        <f ca="1">OFFSET($E$66,1,1,1,1)&amp;"/ "&amp;OFFSET($E$66,1,5,1,1)</f>
        <v>2Q 2026/ 2Q 2025</v>
      </c>
      <c r="F67" s="446" t="s">
        <v>475</v>
      </c>
      <c r="G67" s="479" t="s">
        <v>472</v>
      </c>
      <c r="H67" s="446" t="s">
        <v>471</v>
      </c>
      <c r="I67" s="446" t="s">
        <v>468</v>
      </c>
      <c r="J67" s="446" t="s">
        <v>466</v>
      </c>
      <c r="K67" s="446" t="s">
        <v>462</v>
      </c>
      <c r="L67" s="446" t="s">
        <v>459</v>
      </c>
      <c r="M67" s="446" t="s">
        <v>457</v>
      </c>
      <c r="N67" s="446" t="s">
        <v>454</v>
      </c>
      <c r="O67" s="446" t="s">
        <v>452</v>
      </c>
      <c r="P67" s="446" t="s">
        <v>451</v>
      </c>
      <c r="Q67" s="446" t="s">
        <v>449</v>
      </c>
      <c r="R67" s="446" t="s">
        <v>447</v>
      </c>
      <c r="S67" s="446" t="s">
        <v>438</v>
      </c>
      <c r="T67" s="446" t="s">
        <v>437</v>
      </c>
      <c r="U67" s="446" t="s">
        <v>434</v>
      </c>
      <c r="V67" s="446" t="s">
        <v>432</v>
      </c>
      <c r="W67" s="446" t="s">
        <v>429</v>
      </c>
      <c r="X67" s="446" t="s">
        <v>424</v>
      </c>
      <c r="Y67" s="446" t="s">
        <v>421</v>
      </c>
      <c r="Z67" s="446" t="s">
        <v>419</v>
      </c>
      <c r="AA67" s="446" t="s">
        <v>415</v>
      </c>
      <c r="AB67" s="446" t="s">
        <v>410</v>
      </c>
      <c r="AC67" s="446" t="s">
        <v>408</v>
      </c>
      <c r="AD67" s="446" t="s">
        <v>406</v>
      </c>
      <c r="AE67" s="446" t="s">
        <v>402</v>
      </c>
      <c r="AF67" s="449" t="s">
        <v>393</v>
      </c>
      <c r="AG67" s="446" t="s">
        <v>387</v>
      </c>
      <c r="AH67" s="446" t="s">
        <v>384</v>
      </c>
      <c r="AI67" s="446" t="s">
        <v>381</v>
      </c>
      <c r="AJ67" s="449" t="s">
        <v>376</v>
      </c>
      <c r="AK67" s="449" t="s">
        <v>373</v>
      </c>
      <c r="AL67" s="446" t="s">
        <v>347</v>
      </c>
      <c r="AM67" s="446" t="s">
        <v>311</v>
      </c>
      <c r="AN67" s="451" t="s">
        <v>309</v>
      </c>
      <c r="AO67" s="449" t="s">
        <v>307</v>
      </c>
      <c r="AP67" s="449" t="s">
        <v>292</v>
      </c>
      <c r="AQ67" s="446" t="s">
        <v>286</v>
      </c>
      <c r="AR67" s="451" t="s">
        <v>274</v>
      </c>
      <c r="AS67" s="451" t="s">
        <v>271</v>
      </c>
      <c r="AT67" s="451" t="s">
        <v>269</v>
      </c>
      <c r="AU67" s="451" t="s">
        <v>266</v>
      </c>
      <c r="AV67" s="446" t="s">
        <v>264</v>
      </c>
      <c r="AW67" s="446" t="s">
        <v>262</v>
      </c>
      <c r="AX67" s="446" t="s">
        <v>256</v>
      </c>
      <c r="AY67" s="446" t="s">
        <v>253</v>
      </c>
      <c r="AZ67" s="446" t="s">
        <v>245</v>
      </c>
      <c r="BA67" s="446" t="s">
        <v>243</v>
      </c>
      <c r="BB67" s="446" t="s">
        <v>240</v>
      </c>
      <c r="BC67" s="446" t="s">
        <v>231</v>
      </c>
      <c r="BD67" s="446" t="s">
        <v>227</v>
      </c>
      <c r="BE67" s="446" t="s">
        <v>222</v>
      </c>
      <c r="BF67" s="446" t="s">
        <v>205</v>
      </c>
      <c r="BG67" s="446" t="s">
        <v>203</v>
      </c>
      <c r="BH67" s="446" t="s">
        <v>200</v>
      </c>
      <c r="BI67" s="446" t="s">
        <v>65</v>
      </c>
      <c r="BJ67" s="446" t="s">
        <v>66</v>
      </c>
      <c r="BK67" s="446" t="s">
        <v>4</v>
      </c>
      <c r="BL67" s="446" t="s">
        <v>67</v>
      </c>
      <c r="BM67" s="446" t="s">
        <v>68</v>
      </c>
      <c r="BN67" s="446" t="s">
        <v>69</v>
      </c>
      <c r="BO67" s="446" t="s">
        <v>5</v>
      </c>
      <c r="BP67" s="446" t="s">
        <v>70</v>
      </c>
      <c r="BQ67" s="446" t="s">
        <v>71</v>
      </c>
      <c r="BR67" s="446" t="s">
        <v>72</v>
      </c>
      <c r="BS67" s="446" t="s">
        <v>6</v>
      </c>
    </row>
    <row r="68" spans="1:71" ht="15" customHeight="1" x14ac:dyDescent="0.25">
      <c r="A68" s="74">
        <v>68</v>
      </c>
      <c r="B68" s="454"/>
      <c r="C68" s="507"/>
      <c r="D68" s="293"/>
      <c r="E68" s="507"/>
      <c r="F68" s="447"/>
      <c r="G68" s="493"/>
      <c r="H68" s="448"/>
      <c r="I68" s="447"/>
      <c r="J68" s="447"/>
      <c r="K68" s="447"/>
      <c r="L68" s="448"/>
      <c r="M68" s="447"/>
      <c r="N68" s="447"/>
      <c r="O68" s="447"/>
      <c r="P68" s="448"/>
      <c r="Q68" s="447"/>
      <c r="R68" s="447"/>
      <c r="S68" s="447"/>
      <c r="T68" s="448"/>
      <c r="U68" s="447"/>
      <c r="V68" s="447"/>
      <c r="W68" s="447"/>
      <c r="X68" s="448"/>
      <c r="Y68" s="448"/>
      <c r="Z68" s="448"/>
      <c r="AA68" s="448"/>
      <c r="AB68" s="448"/>
      <c r="AC68" s="448"/>
      <c r="AD68" s="448"/>
      <c r="AE68" s="447"/>
      <c r="AF68" s="450"/>
      <c r="AG68" s="448"/>
      <c r="AH68" s="448"/>
      <c r="AI68" s="447"/>
      <c r="AJ68" s="450"/>
      <c r="AK68" s="450"/>
      <c r="AL68" s="447"/>
      <c r="AM68" s="447"/>
      <c r="AN68" s="452"/>
      <c r="AO68" s="450"/>
      <c r="AP68" s="450"/>
      <c r="AQ68" s="447"/>
      <c r="AR68" s="452"/>
      <c r="AS68" s="452"/>
      <c r="AT68" s="452"/>
      <c r="AU68" s="452"/>
      <c r="AV68" s="447"/>
      <c r="AW68" s="447"/>
      <c r="AX68" s="447"/>
      <c r="AY68" s="447"/>
      <c r="AZ68" s="447"/>
      <c r="BA68" s="447"/>
      <c r="BB68" s="447"/>
      <c r="BC68" s="447"/>
      <c r="BD68" s="447"/>
      <c r="BE68" s="447"/>
      <c r="BF68" s="447"/>
      <c r="BG68" s="447"/>
      <c r="BH68" s="447"/>
      <c r="BI68" s="447"/>
      <c r="BJ68" s="447"/>
      <c r="BK68" s="447"/>
      <c r="BL68" s="447"/>
      <c r="BM68" s="447"/>
      <c r="BN68" s="447"/>
      <c r="BO68" s="447"/>
      <c r="BP68" s="447"/>
      <c r="BQ68" s="447"/>
      <c r="BR68" s="447"/>
      <c r="BS68" s="447"/>
    </row>
    <row r="69" spans="1:71" ht="9.75" customHeight="1" x14ac:dyDescent="0.25">
      <c r="A69" s="74">
        <v>69</v>
      </c>
      <c r="B69" s="8" t="s">
        <v>8</v>
      </c>
      <c r="C69" s="89"/>
      <c r="D69" s="57"/>
      <c r="E69" s="90"/>
      <c r="F69" s="57"/>
      <c r="G69" s="303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269"/>
      <c r="AO69" s="191"/>
      <c r="AP69" s="191"/>
      <c r="AQ69" s="57"/>
      <c r="AR69" s="174"/>
      <c r="AS69" s="174"/>
      <c r="AT69" s="174"/>
      <c r="AU69" s="174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8"/>
    </row>
    <row r="70" spans="1:71" s="25" customFormat="1" ht="15" customHeight="1" x14ac:dyDescent="0.25">
      <c r="A70" s="74">
        <v>70</v>
      </c>
      <c r="B70" s="30" t="s">
        <v>127</v>
      </c>
      <c r="C70" s="93">
        <f ca="1">OFFSET($E$7,$A70-$A$7,1,1,1)/OFFSET($E$7,$A70-$A$7,2,1,1)-1</f>
        <v>-5.1774986346258878E-2</v>
      </c>
      <c r="D70" s="88"/>
      <c r="E70" s="94">
        <f ca="1">OFFSET($E$7,$A70-$A$7,1,1,1)/OFFSET($E$7,$A70-$A$7,5,1,1)-1</f>
        <v>-0.14805291669937981</v>
      </c>
      <c r="F70" s="149">
        <f t="shared" ref="F70:R84" si="74">F10-G10</f>
        <v>43405</v>
      </c>
      <c r="G70" s="270">
        <f t="shared" ref="G70:G99" si="75">G10</f>
        <v>45775</v>
      </c>
      <c r="H70" s="149">
        <f t="shared" si="74"/>
        <v>48370</v>
      </c>
      <c r="I70" s="149">
        <f t="shared" si="74"/>
        <v>54554</v>
      </c>
      <c r="J70" s="149">
        <f t="shared" si="74"/>
        <v>50948</v>
      </c>
      <c r="K70" s="149">
        <f t="shared" ref="K70:K99" si="76">K10</f>
        <v>49474</v>
      </c>
      <c r="L70" s="149">
        <f t="shared" si="74"/>
        <v>46911</v>
      </c>
      <c r="M70" s="149">
        <f t="shared" si="74"/>
        <v>38429</v>
      </c>
      <c r="N70" s="149">
        <f t="shared" si="74"/>
        <v>34883</v>
      </c>
      <c r="O70" s="149">
        <f t="shared" ref="O70:O99" si="77">O10</f>
        <v>33965</v>
      </c>
      <c r="P70" s="149">
        <f t="shared" si="74"/>
        <v>30139</v>
      </c>
      <c r="Q70" s="149">
        <f t="shared" si="74"/>
        <v>20386</v>
      </c>
      <c r="R70" s="149">
        <f t="shared" si="74"/>
        <v>17366</v>
      </c>
      <c r="S70" s="149">
        <f t="shared" ref="S70:S75" si="78">S10</f>
        <v>16768</v>
      </c>
      <c r="T70" s="400"/>
      <c r="U70" s="400"/>
      <c r="V70" s="400"/>
      <c r="W70" s="400"/>
      <c r="X70" s="149">
        <f t="shared" ref="X70:Z75" si="79">X10-Y10</f>
        <v>13270</v>
      </c>
      <c r="Y70" s="149">
        <f t="shared" si="79"/>
        <v>11061</v>
      </c>
      <c r="Z70" s="149">
        <f t="shared" si="79"/>
        <v>11385</v>
      </c>
      <c r="AA70" s="149">
        <f t="shared" ref="AA70:AA75" si="80">AA10</f>
        <v>10080</v>
      </c>
      <c r="AB70" s="149">
        <f t="shared" ref="AB70:AD75" si="81">AB10-AC10</f>
        <v>11078.653999999999</v>
      </c>
      <c r="AC70" s="149">
        <f t="shared" si="81"/>
        <v>10374.486000000001</v>
      </c>
      <c r="AD70" s="149">
        <f t="shared" si="81"/>
        <v>10710.966</v>
      </c>
      <c r="AE70" s="149">
        <f t="shared" ref="AE70:AE75" si="82">AE10</f>
        <v>11265.894</v>
      </c>
      <c r="AF70" s="149">
        <f t="shared" ref="AF70:AH75" si="83">AF10-AG10</f>
        <v>12005.321000000004</v>
      </c>
      <c r="AG70" s="149">
        <f t="shared" si="83"/>
        <v>12067.470000000001</v>
      </c>
      <c r="AH70" s="149">
        <f t="shared" si="83"/>
        <v>11574.052999999998</v>
      </c>
      <c r="AI70" s="149">
        <f t="shared" ref="AI70:AI75" si="84">AI10</f>
        <v>12846.710000000001</v>
      </c>
      <c r="AJ70" s="149">
        <f t="shared" ref="AJ70:AL75" si="85">AJ10-AK10</f>
        <v>12330.641000000003</v>
      </c>
      <c r="AK70" s="149">
        <f t="shared" si="85"/>
        <v>11412.367999999999</v>
      </c>
      <c r="AL70" s="149">
        <f t="shared" si="85"/>
        <v>11332.708999999999</v>
      </c>
      <c r="AM70" s="149">
        <f>10962.854</f>
        <v>10962.853999999999</v>
      </c>
      <c r="AN70" s="149">
        <v>11844.102999999996</v>
      </c>
      <c r="AO70" s="149">
        <v>11535.064000000002</v>
      </c>
      <c r="AP70" s="149">
        <v>11674.451999999999</v>
      </c>
      <c r="AQ70" s="149">
        <v>12116.299000000001</v>
      </c>
      <c r="AR70" s="149">
        <v>12844.277999999998</v>
      </c>
      <c r="AS70" s="149">
        <v>13006.412</v>
      </c>
      <c r="AT70" s="149">
        <v>13104.124999999998</v>
      </c>
      <c r="AU70" s="149">
        <v>12896.995000000001</v>
      </c>
      <c r="AV70" s="22">
        <v>13155.93</v>
      </c>
      <c r="AW70" s="22">
        <v>12749.339999999997</v>
      </c>
      <c r="AX70" s="22">
        <v>12609.874000000002</v>
      </c>
      <c r="AY70" s="22">
        <v>12278.331</v>
      </c>
      <c r="AZ70" s="22">
        <v>11134.423000000003</v>
      </c>
      <c r="BA70" s="22">
        <v>9618.6959999999999</v>
      </c>
      <c r="BB70" s="22">
        <v>9285.4740000000002</v>
      </c>
      <c r="BC70" s="22">
        <v>8721.7070000000003</v>
      </c>
      <c r="BD70" s="22">
        <v>8350.9050000000025</v>
      </c>
      <c r="BE70" s="22">
        <v>7937.8519999999999</v>
      </c>
      <c r="BF70" s="22">
        <v>7537.6270000000004</v>
      </c>
      <c r="BG70" s="22">
        <v>7005.1409999999996</v>
      </c>
      <c r="BH70" s="22">
        <v>7155.4580000000024</v>
      </c>
      <c r="BI70" s="22">
        <v>6785.7690000000002</v>
      </c>
      <c r="BJ70" s="22">
        <v>6997.2439999999997</v>
      </c>
      <c r="BK70" s="22">
        <v>6422.6959999999999</v>
      </c>
      <c r="BL70" s="22">
        <v>6577.5379999999996</v>
      </c>
      <c r="BM70" s="22">
        <v>6587.1639999999998</v>
      </c>
      <c r="BN70" s="22">
        <v>6491.2179999999998</v>
      </c>
      <c r="BO70" s="22">
        <v>6121.1850000000004</v>
      </c>
      <c r="BP70" s="22">
        <v>5904.0020000000004</v>
      </c>
      <c r="BQ70" s="22">
        <v>5746.13</v>
      </c>
      <c r="BR70" s="22">
        <v>6112.3770000000004</v>
      </c>
      <c r="BS70" s="22">
        <v>6497.2579999999998</v>
      </c>
    </row>
    <row r="71" spans="1:71" s="25" customFormat="1" ht="15" customHeight="1" x14ac:dyDescent="0.25">
      <c r="A71" s="74">
        <v>71</v>
      </c>
      <c r="B71" s="30" t="s">
        <v>128</v>
      </c>
      <c r="C71" s="93">
        <f t="shared" ref="C71:C76" ca="1" si="86">OFFSET($E$7,$A71-$A$7,1,1,1)/OFFSET($E$7,$A71-$A$7,2,1,1)-1</f>
        <v>-8.4180134238254101E-2</v>
      </c>
      <c r="D71" s="88"/>
      <c r="E71" s="94">
        <f t="shared" ref="E71:E76" ca="1" si="87">OFFSET($E$7,$A71-$A$7,1,1,1)/OFFSET($E$7,$A71-$A$7,5,1,1)-1</f>
        <v>-0.20709021848521247</v>
      </c>
      <c r="F71" s="149">
        <f t="shared" si="74"/>
        <v>-24424</v>
      </c>
      <c r="G71" s="270">
        <f t="shared" si="75"/>
        <v>-26669</v>
      </c>
      <c r="H71" s="149">
        <f t="shared" si="74"/>
        <v>-28976</v>
      </c>
      <c r="I71" s="149">
        <f t="shared" si="74"/>
        <v>-34232</v>
      </c>
      <c r="J71" s="149">
        <f t="shared" si="74"/>
        <v>-30803</v>
      </c>
      <c r="K71" s="149">
        <f t="shared" si="76"/>
        <v>-28915</v>
      </c>
      <c r="L71" s="149">
        <f t="shared" si="74"/>
        <v>-26978</v>
      </c>
      <c r="M71" s="149">
        <f t="shared" si="74"/>
        <v>-20513</v>
      </c>
      <c r="N71" s="149">
        <f t="shared" si="74"/>
        <v>-17635</v>
      </c>
      <c r="O71" s="149">
        <f t="shared" si="77"/>
        <v>-16186</v>
      </c>
      <c r="P71" s="149">
        <f t="shared" si="74"/>
        <v>-13516</v>
      </c>
      <c r="Q71" s="149">
        <f t="shared" si="74"/>
        <v>-7207</v>
      </c>
      <c r="R71" s="149">
        <f t="shared" si="74"/>
        <v>-5960</v>
      </c>
      <c r="S71" s="149">
        <f t="shared" si="78"/>
        <v>-5030</v>
      </c>
      <c r="T71" s="400"/>
      <c r="U71" s="400"/>
      <c r="V71" s="400"/>
      <c r="W71" s="400"/>
      <c r="X71" s="149">
        <f t="shared" si="79"/>
        <v>-4890</v>
      </c>
      <c r="Y71" s="149">
        <f t="shared" si="79"/>
        <v>-3585</v>
      </c>
      <c r="Z71" s="149">
        <f t="shared" si="79"/>
        <v>-3613</v>
      </c>
      <c r="AA71" s="149">
        <f t="shared" si="80"/>
        <v>-3276</v>
      </c>
      <c r="AB71" s="149">
        <f t="shared" si="81"/>
        <v>-3557.9459999999999</v>
      </c>
      <c r="AC71" s="149">
        <f t="shared" si="81"/>
        <v>-4012.3320000000003</v>
      </c>
      <c r="AD71" s="149">
        <f t="shared" si="81"/>
        <v>-4515.8679999999995</v>
      </c>
      <c r="AE71" s="149">
        <f t="shared" si="82"/>
        <v>-4577.8540000000003</v>
      </c>
      <c r="AF71" s="149">
        <f t="shared" si="83"/>
        <v>-5194.0270000000019</v>
      </c>
      <c r="AG71" s="149">
        <f t="shared" si="83"/>
        <v>-5768.9479999999985</v>
      </c>
      <c r="AH71" s="149">
        <f t="shared" si="83"/>
        <v>-5813.1</v>
      </c>
      <c r="AI71" s="149">
        <f t="shared" si="84"/>
        <v>-6668.5190000000002</v>
      </c>
      <c r="AJ71" s="149">
        <f t="shared" si="85"/>
        <v>-5932.4519999999975</v>
      </c>
      <c r="AK71" s="149">
        <f t="shared" si="85"/>
        <v>-5573.8950000000023</v>
      </c>
      <c r="AL71" s="149">
        <f t="shared" si="85"/>
        <v>-5771.6639999999998</v>
      </c>
      <c r="AM71" s="149">
        <v>-5614.9849999999997</v>
      </c>
      <c r="AN71" s="149">
        <v>-5901.4320000000007</v>
      </c>
      <c r="AO71" s="149">
        <v>-6159.7939999999999</v>
      </c>
      <c r="AP71" s="149">
        <v>-7113.2990000000009</v>
      </c>
      <c r="AQ71" s="149">
        <v>-7447.4279999999999</v>
      </c>
      <c r="AR71" s="149">
        <v>-6777.9609999999993</v>
      </c>
      <c r="AS71" s="149">
        <v>-7308.6799999999985</v>
      </c>
      <c r="AT71" s="149">
        <v>-7791.152000000001</v>
      </c>
      <c r="AU71" s="149">
        <v>-7829.1279999999997</v>
      </c>
      <c r="AV71" s="22">
        <v>-8001.0119999999997</v>
      </c>
      <c r="AW71" s="22">
        <v>-8666.6949999999997</v>
      </c>
      <c r="AX71" s="22">
        <v>-8492.0760000000009</v>
      </c>
      <c r="AY71" s="22">
        <v>-8156.21</v>
      </c>
      <c r="AZ71" s="22">
        <v>-5597.8159999999989</v>
      </c>
      <c r="BA71" s="22">
        <v>-5147.905999999999</v>
      </c>
      <c r="BB71" s="22">
        <v>-4871.7350000000006</v>
      </c>
      <c r="BC71" s="22">
        <v>-4631.9470000000001</v>
      </c>
      <c r="BD71" s="22">
        <v>-4532.9549999999999</v>
      </c>
      <c r="BE71" s="22">
        <v>-4532.8829999999998</v>
      </c>
      <c r="BF71" s="22">
        <v>-4375.9110000000001</v>
      </c>
      <c r="BG71" s="22">
        <v>-4017.7829999999999</v>
      </c>
      <c r="BH71" s="22">
        <v>-4054.0440000000017</v>
      </c>
      <c r="BI71" s="22">
        <v>-3866.5369999999998</v>
      </c>
      <c r="BJ71" s="22">
        <v>-3959.0590000000002</v>
      </c>
      <c r="BK71" s="22">
        <v>-3499.3809999999999</v>
      </c>
      <c r="BL71" s="22">
        <v>-3293.4760000000001</v>
      </c>
      <c r="BM71" s="22">
        <v>-3039.11</v>
      </c>
      <c r="BN71" s="22">
        <v>-2971.1779999999999</v>
      </c>
      <c r="BO71" s="22">
        <v>-2853.4140000000002</v>
      </c>
      <c r="BP71" s="22">
        <v>-2926.4079999999999</v>
      </c>
      <c r="BQ71" s="22">
        <v>-2777.5309999999999</v>
      </c>
      <c r="BR71" s="22">
        <v>-3119.1570000000002</v>
      </c>
      <c r="BS71" s="22">
        <v>-3412.2429999999999</v>
      </c>
    </row>
    <row r="72" spans="1:71" s="25" customFormat="1" ht="15" customHeight="1" x14ac:dyDescent="0.25">
      <c r="A72" s="74">
        <v>72</v>
      </c>
      <c r="B72" s="244" t="s">
        <v>356</v>
      </c>
      <c r="C72" s="93">
        <f t="shared" ca="1" si="86"/>
        <v>2.5710419485791558E-2</v>
      </c>
      <c r="D72" s="88"/>
      <c r="E72" s="94">
        <f t="shared" ca="1" si="87"/>
        <v>0.17884914463452573</v>
      </c>
      <c r="F72" s="149">
        <f t="shared" si="74"/>
        <v>-758</v>
      </c>
      <c r="G72" s="270">
        <f t="shared" si="75"/>
        <v>-739</v>
      </c>
      <c r="H72" s="149">
        <f t="shared" si="74"/>
        <v>-708</v>
      </c>
      <c r="I72" s="149">
        <f t="shared" si="74"/>
        <v>-680</v>
      </c>
      <c r="J72" s="149">
        <f t="shared" si="74"/>
        <v>-643</v>
      </c>
      <c r="K72" s="149">
        <f t="shared" si="76"/>
        <v>-631</v>
      </c>
      <c r="L72" s="149">
        <f t="shared" si="74"/>
        <v>-586</v>
      </c>
      <c r="M72" s="149">
        <f t="shared" si="74"/>
        <v>-572</v>
      </c>
      <c r="N72" s="149">
        <f t="shared" si="74"/>
        <v>-584</v>
      </c>
      <c r="O72" s="149">
        <f t="shared" si="77"/>
        <v>-577</v>
      </c>
      <c r="P72" s="149">
        <f t="shared" si="74"/>
        <v>-546</v>
      </c>
      <c r="Q72" s="149">
        <f t="shared" si="74"/>
        <v>-519</v>
      </c>
      <c r="R72" s="149">
        <f t="shared" si="74"/>
        <v>-520</v>
      </c>
      <c r="S72" s="149">
        <f t="shared" si="78"/>
        <v>-529</v>
      </c>
      <c r="T72" s="400"/>
      <c r="U72" s="400"/>
      <c r="V72" s="400"/>
      <c r="W72" s="400"/>
      <c r="X72" s="149">
        <f t="shared" si="79"/>
        <v>-426</v>
      </c>
      <c r="Y72" s="149">
        <f t="shared" si="79"/>
        <v>-419</v>
      </c>
      <c r="Z72" s="149">
        <f t="shared" si="79"/>
        <v>-338</v>
      </c>
      <c r="AA72" s="149">
        <f t="shared" si="80"/>
        <v>-338</v>
      </c>
      <c r="AB72" s="149">
        <f t="shared" si="81"/>
        <v>-330.29499999999996</v>
      </c>
      <c r="AC72" s="149">
        <f t="shared" si="81"/>
        <v>-321.73</v>
      </c>
      <c r="AD72" s="149">
        <f t="shared" si="81"/>
        <v>-137.54000000000002</v>
      </c>
      <c r="AE72" s="149">
        <f t="shared" si="82"/>
        <v>-452.435</v>
      </c>
      <c r="AF72" s="149">
        <f t="shared" si="83"/>
        <v>-443.95900000000006</v>
      </c>
      <c r="AG72" s="149">
        <f t="shared" si="83"/>
        <v>-442.14899999999989</v>
      </c>
      <c r="AH72" s="149">
        <f t="shared" si="83"/>
        <v>-439.58300000000003</v>
      </c>
      <c r="AI72" s="149">
        <f t="shared" si="84"/>
        <v>-441.8</v>
      </c>
      <c r="AJ72" s="149">
        <f t="shared" si="85"/>
        <v>-332.38699999999994</v>
      </c>
      <c r="AK72" s="149">
        <f t="shared" si="85"/>
        <v>-319.024</v>
      </c>
      <c r="AL72" s="149">
        <f t="shared" si="85"/>
        <v>-304.87299999999999</v>
      </c>
      <c r="AM72" s="149">
        <v>-294.02699999999999</v>
      </c>
      <c r="AN72" s="149">
        <v>-226.702</v>
      </c>
      <c r="AO72" s="149">
        <v>-226.97</v>
      </c>
      <c r="AP72" s="149">
        <v>-221.5</v>
      </c>
      <c r="AQ72" s="149">
        <v>-215.27199999999999</v>
      </c>
      <c r="AR72" s="149">
        <v>-215.70500000000004</v>
      </c>
      <c r="AS72" s="149">
        <v>-217.37799999999999</v>
      </c>
      <c r="AT72" s="149">
        <v>-176.01</v>
      </c>
      <c r="AU72" s="149">
        <v>-178.214</v>
      </c>
      <c r="AV72" s="22">
        <v>-163.17199999999997</v>
      </c>
      <c r="AW72" s="22">
        <v>-157.63299999999998</v>
      </c>
      <c r="AX72" s="22">
        <v>-142.501</v>
      </c>
      <c r="AY72" s="22">
        <v>-144.42699999999999</v>
      </c>
      <c r="AZ72" s="22">
        <v>-139.71600000000001</v>
      </c>
      <c r="BA72" s="22">
        <v>-127.61600000000001</v>
      </c>
      <c r="BB72" s="22">
        <v>-121.997</v>
      </c>
      <c r="BC72" s="22">
        <v>-121.867</v>
      </c>
      <c r="BD72" s="22">
        <v>-113.32900000000001</v>
      </c>
      <c r="BE72" s="22">
        <v>-111.905</v>
      </c>
      <c r="BF72" s="22">
        <v>-107.01900000000001</v>
      </c>
      <c r="BG72" s="22">
        <v>-96.717999999999989</v>
      </c>
      <c r="BH72" s="22">
        <v>-87.545999999999992</v>
      </c>
      <c r="BI72" s="22">
        <v>-97.788000000000011</v>
      </c>
      <c r="BJ72" s="22">
        <v>-89.008999999999986</v>
      </c>
      <c r="BK72" s="22">
        <v>-83.703000000000003</v>
      </c>
      <c r="BL72" s="22">
        <v>-79.331999999999994</v>
      </c>
      <c r="BM72" s="22">
        <v>-76.099000000000018</v>
      </c>
      <c r="BN72" s="22">
        <v>-141.93199999999999</v>
      </c>
      <c r="BO72" s="22">
        <v>0</v>
      </c>
      <c r="BP72" s="22">
        <v>-67.200000000000017</v>
      </c>
      <c r="BQ72" s="22">
        <v>69.992000000000019</v>
      </c>
      <c r="BR72" s="22">
        <v>-197.21600000000001</v>
      </c>
      <c r="BS72" s="22">
        <v>-60.643999999999998</v>
      </c>
    </row>
    <row r="73" spans="1:71" s="67" customFormat="1" ht="15" customHeight="1" x14ac:dyDescent="0.25">
      <c r="A73" s="74">
        <v>73</v>
      </c>
      <c r="B73" s="65" t="s">
        <v>129</v>
      </c>
      <c r="C73" s="95">
        <f t="shared" ca="1" si="86"/>
        <v>-7.8401480916862054E-3</v>
      </c>
      <c r="D73" s="125"/>
      <c r="E73" s="96">
        <f t="shared" ca="1" si="87"/>
        <v>-6.558301712644854E-2</v>
      </c>
      <c r="F73" s="173">
        <f t="shared" si="74"/>
        <v>18223</v>
      </c>
      <c r="G73" s="271">
        <f t="shared" si="75"/>
        <v>18367</v>
      </c>
      <c r="H73" s="173">
        <f t="shared" si="74"/>
        <v>18686</v>
      </c>
      <c r="I73" s="173">
        <f t="shared" si="74"/>
        <v>19642</v>
      </c>
      <c r="J73" s="173">
        <f t="shared" si="74"/>
        <v>19502</v>
      </c>
      <c r="K73" s="173">
        <f t="shared" si="76"/>
        <v>19928</v>
      </c>
      <c r="L73" s="173">
        <f t="shared" si="74"/>
        <v>19347</v>
      </c>
      <c r="M73" s="173">
        <f t="shared" si="74"/>
        <v>17344</v>
      </c>
      <c r="N73" s="173">
        <f t="shared" si="74"/>
        <v>16664</v>
      </c>
      <c r="O73" s="173">
        <f t="shared" si="77"/>
        <v>17202</v>
      </c>
      <c r="P73" s="173">
        <f t="shared" si="74"/>
        <v>16077</v>
      </c>
      <c r="Q73" s="173">
        <f t="shared" si="74"/>
        <v>12660</v>
      </c>
      <c r="R73" s="173">
        <f t="shared" si="74"/>
        <v>10886</v>
      </c>
      <c r="S73" s="173">
        <f t="shared" si="78"/>
        <v>11209</v>
      </c>
      <c r="T73" s="412"/>
      <c r="U73" s="412"/>
      <c r="V73" s="412"/>
      <c r="W73" s="412"/>
      <c r="X73" s="173">
        <f t="shared" si="79"/>
        <v>7954</v>
      </c>
      <c r="Y73" s="173">
        <f t="shared" si="79"/>
        <v>7057</v>
      </c>
      <c r="Z73" s="173">
        <f t="shared" si="79"/>
        <v>7434</v>
      </c>
      <c r="AA73" s="173">
        <f t="shared" si="80"/>
        <v>6466</v>
      </c>
      <c r="AB73" s="173">
        <f t="shared" si="81"/>
        <v>7190.4130000000005</v>
      </c>
      <c r="AC73" s="173">
        <f t="shared" si="81"/>
        <v>6040.4239999999991</v>
      </c>
      <c r="AD73" s="173">
        <f t="shared" si="81"/>
        <v>6057.5580000000009</v>
      </c>
      <c r="AE73" s="173">
        <f t="shared" si="82"/>
        <v>6235.6049999999996</v>
      </c>
      <c r="AF73" s="173">
        <f t="shared" si="83"/>
        <v>6367.3350000000028</v>
      </c>
      <c r="AG73" s="173">
        <f t="shared" si="83"/>
        <v>5856.3730000000032</v>
      </c>
      <c r="AH73" s="173">
        <f t="shared" si="83"/>
        <v>5321.3699999999981</v>
      </c>
      <c r="AI73" s="155">
        <f t="shared" si="84"/>
        <v>5736.3910000000005</v>
      </c>
      <c r="AJ73" s="155">
        <f t="shared" si="85"/>
        <v>6065.8020000000033</v>
      </c>
      <c r="AK73" s="155">
        <f t="shared" si="85"/>
        <v>5519.4489999999969</v>
      </c>
      <c r="AL73" s="173">
        <f t="shared" si="85"/>
        <v>5256.1719999999996</v>
      </c>
      <c r="AM73" s="173">
        <f t="shared" ref="AM73:BS73" si="88">AM70+AM71+AM72</f>
        <v>5053.8419999999996</v>
      </c>
      <c r="AN73" s="173">
        <f t="shared" si="88"/>
        <v>5715.9689999999946</v>
      </c>
      <c r="AO73" s="173">
        <f t="shared" si="88"/>
        <v>5148.300000000002</v>
      </c>
      <c r="AP73" s="173">
        <f t="shared" si="88"/>
        <v>4339.6529999999984</v>
      </c>
      <c r="AQ73" s="173">
        <f t="shared" si="88"/>
        <v>4453.5990000000011</v>
      </c>
      <c r="AR73" s="173">
        <f t="shared" si="88"/>
        <v>5850.6119999999992</v>
      </c>
      <c r="AS73" s="173">
        <f t="shared" si="88"/>
        <v>5480.3540000000021</v>
      </c>
      <c r="AT73" s="173">
        <f t="shared" si="88"/>
        <v>5136.962999999997</v>
      </c>
      <c r="AU73" s="173">
        <f t="shared" si="88"/>
        <v>4889.6530000000012</v>
      </c>
      <c r="AV73" s="173">
        <f t="shared" si="88"/>
        <v>4991.746000000001</v>
      </c>
      <c r="AW73" s="173">
        <f t="shared" si="88"/>
        <v>3925.011999999997</v>
      </c>
      <c r="AX73" s="173">
        <f t="shared" si="88"/>
        <v>3975.2970000000005</v>
      </c>
      <c r="AY73" s="173">
        <f t="shared" si="88"/>
        <v>3977.694</v>
      </c>
      <c r="AZ73" s="173">
        <f t="shared" si="88"/>
        <v>5396.8910000000033</v>
      </c>
      <c r="BA73" s="173">
        <f t="shared" si="88"/>
        <v>4343.1740000000009</v>
      </c>
      <c r="BB73" s="173">
        <f t="shared" si="88"/>
        <v>4291.7419999999993</v>
      </c>
      <c r="BC73" s="173">
        <f t="shared" si="88"/>
        <v>3967.893</v>
      </c>
      <c r="BD73" s="173">
        <f t="shared" si="88"/>
        <v>3704.6210000000024</v>
      </c>
      <c r="BE73" s="173">
        <f t="shared" si="88"/>
        <v>3293.0639999999999</v>
      </c>
      <c r="BF73" s="173">
        <f t="shared" si="88"/>
        <v>3054.6970000000001</v>
      </c>
      <c r="BG73" s="173">
        <f t="shared" si="88"/>
        <v>2890.64</v>
      </c>
      <c r="BH73" s="173">
        <f t="shared" si="88"/>
        <v>3013.8680000000008</v>
      </c>
      <c r="BI73" s="173">
        <f t="shared" si="88"/>
        <v>2821.4440000000004</v>
      </c>
      <c r="BJ73" s="173">
        <f t="shared" si="88"/>
        <v>2949.1759999999995</v>
      </c>
      <c r="BK73" s="173">
        <f t="shared" si="88"/>
        <v>2839.6120000000001</v>
      </c>
      <c r="BL73" s="173">
        <f t="shared" si="88"/>
        <v>3204.7299999999996</v>
      </c>
      <c r="BM73" s="173">
        <f t="shared" si="88"/>
        <v>3471.9549999999995</v>
      </c>
      <c r="BN73" s="173">
        <f t="shared" si="88"/>
        <v>3378.1080000000002</v>
      </c>
      <c r="BO73" s="173">
        <f t="shared" si="88"/>
        <v>3267.7710000000002</v>
      </c>
      <c r="BP73" s="173">
        <f t="shared" si="88"/>
        <v>2910.3940000000007</v>
      </c>
      <c r="BQ73" s="173">
        <f t="shared" si="88"/>
        <v>3038.5910000000003</v>
      </c>
      <c r="BR73" s="173">
        <f t="shared" si="88"/>
        <v>2796.0040000000004</v>
      </c>
      <c r="BS73" s="173">
        <f t="shared" si="88"/>
        <v>3024.3710000000001</v>
      </c>
    </row>
    <row r="74" spans="1:71" s="25" customFormat="1" ht="26.1" customHeight="1" x14ac:dyDescent="0.25">
      <c r="A74" s="74">
        <v>74</v>
      </c>
      <c r="B74" s="30" t="s">
        <v>130</v>
      </c>
      <c r="C74" s="93">
        <f t="shared" ca="1" si="86"/>
        <v>3.7253297811525901</v>
      </c>
      <c r="D74" s="88"/>
      <c r="E74" s="94">
        <f t="shared" ca="1" si="87"/>
        <v>0.23604161523540834</v>
      </c>
      <c r="F74" s="149">
        <f t="shared" si="74"/>
        <v>-7009.5920000000006</v>
      </c>
      <c r="G74" s="270">
        <f t="shared" si="75"/>
        <v>-1483.4079999999999</v>
      </c>
      <c r="H74" s="149">
        <f t="shared" si="74"/>
        <v>-5739</v>
      </c>
      <c r="I74" s="149">
        <f t="shared" si="74"/>
        <v>-4198</v>
      </c>
      <c r="J74" s="149">
        <f t="shared" si="74"/>
        <v>-5671</v>
      </c>
      <c r="K74" s="149">
        <f t="shared" si="76"/>
        <v>78</v>
      </c>
      <c r="L74" s="149">
        <f t="shared" si="74"/>
        <v>-1634</v>
      </c>
      <c r="M74" s="149">
        <f t="shared" si="74"/>
        <v>-593</v>
      </c>
      <c r="N74" s="149">
        <f t="shared" si="74"/>
        <v>-2868</v>
      </c>
      <c r="O74" s="149">
        <f t="shared" si="77"/>
        <v>-189</v>
      </c>
      <c r="P74" s="149">
        <f t="shared" si="74"/>
        <v>-240</v>
      </c>
      <c r="Q74" s="149">
        <f t="shared" si="74"/>
        <v>167</v>
      </c>
      <c r="R74" s="149">
        <f t="shared" si="74"/>
        <v>706</v>
      </c>
      <c r="S74" s="149">
        <f t="shared" si="78"/>
        <v>3691</v>
      </c>
      <c r="T74" s="400"/>
      <c r="U74" s="400"/>
      <c r="V74" s="400"/>
      <c r="W74" s="400"/>
      <c r="X74" s="149">
        <f t="shared" si="79"/>
        <v>15</v>
      </c>
      <c r="Y74" s="149">
        <f t="shared" si="79"/>
        <v>-1074</v>
      </c>
      <c r="Z74" s="149">
        <f t="shared" si="79"/>
        <v>-1987</v>
      </c>
      <c r="AA74" s="149">
        <f t="shared" si="80"/>
        <v>-2112</v>
      </c>
      <c r="AB74" s="149">
        <f t="shared" si="81"/>
        <v>-1772.652</v>
      </c>
      <c r="AC74" s="149">
        <f t="shared" si="81"/>
        <v>-2010.3900000000003</v>
      </c>
      <c r="AD74" s="149">
        <f t="shared" si="81"/>
        <v>-2468.2029999999995</v>
      </c>
      <c r="AE74" s="149">
        <f t="shared" si="82"/>
        <v>-2599.7550000000001</v>
      </c>
      <c r="AF74" s="149">
        <f t="shared" si="83"/>
        <v>-2067.6780000000008</v>
      </c>
      <c r="AG74" s="149">
        <f t="shared" si="83"/>
        <v>-1772.2189999999996</v>
      </c>
      <c r="AH74" s="149">
        <f t="shared" si="83"/>
        <v>-1596.0529999999999</v>
      </c>
      <c r="AI74" s="149">
        <f t="shared" si="84"/>
        <v>-2219.3290000000002</v>
      </c>
      <c r="AJ74" s="149">
        <f t="shared" si="85"/>
        <v>-1809.9039999999995</v>
      </c>
      <c r="AK74" s="149">
        <f t="shared" si="85"/>
        <v>-2234.152</v>
      </c>
      <c r="AL74" s="149">
        <f t="shared" si="85"/>
        <v>-1910.8509999999999</v>
      </c>
      <c r="AM74" s="270">
        <f>-1758.698</f>
        <v>-1758.6980000000001</v>
      </c>
      <c r="AN74" s="149">
        <v>-2358.2900000000009</v>
      </c>
      <c r="AO74" s="149">
        <v>-2013.4110000000001</v>
      </c>
      <c r="AP74" s="149">
        <v>-2548.1439999999998</v>
      </c>
      <c r="AQ74" s="149">
        <v>-2654.989</v>
      </c>
      <c r="AR74" s="149">
        <v>-3098.2240000000002</v>
      </c>
      <c r="AS74" s="149">
        <v>-3260.5619999999999</v>
      </c>
      <c r="AT74" s="149">
        <v>-3189.2289999999998</v>
      </c>
      <c r="AU74" s="149">
        <v>-2942.0909999999999</v>
      </c>
      <c r="AV74" s="22">
        <v>-3412.7919999999999</v>
      </c>
      <c r="AW74" s="22">
        <v>-3286.4330000000009</v>
      </c>
      <c r="AX74" s="22">
        <v>-3039.2029999999995</v>
      </c>
      <c r="AY74" s="22">
        <v>-2554.7150000000001</v>
      </c>
      <c r="AZ74" s="22">
        <v>-2911.1719999999996</v>
      </c>
      <c r="BA74" s="22">
        <v>-1601.5300000000002</v>
      </c>
      <c r="BB74" s="22">
        <v>-1557.896</v>
      </c>
      <c r="BC74" s="22">
        <v>-1215.3109999999999</v>
      </c>
      <c r="BD74" s="22">
        <v>-1158.9870000000001</v>
      </c>
      <c r="BE74" s="22">
        <v>-1100.6180000000002</v>
      </c>
      <c r="BF74" s="22">
        <v>-1145.6609999999998</v>
      </c>
      <c r="BG74" s="22">
        <v>-1089.8030000000001</v>
      </c>
      <c r="BH74" s="22">
        <v>-1470.5140000000001</v>
      </c>
      <c r="BI74" s="22">
        <v>-1612.1659999999999</v>
      </c>
      <c r="BJ74" s="22">
        <v>-1539.492</v>
      </c>
      <c r="BK74" s="22">
        <v>-1767.7650000000001</v>
      </c>
      <c r="BL74" s="22">
        <v>-1819.1389999999999</v>
      </c>
      <c r="BM74" s="22">
        <v>-720.80499999999995</v>
      </c>
      <c r="BN74" s="22">
        <v>-220.983</v>
      </c>
      <c r="BO74" s="22">
        <v>-741.97199999999998</v>
      </c>
      <c r="BP74" s="22">
        <v>477.35199999999998</v>
      </c>
      <c r="BQ74" s="22">
        <v>-997.85900000000004</v>
      </c>
      <c r="BR74" s="22">
        <v>-1185.1769999999999</v>
      </c>
      <c r="BS74" s="22">
        <v>-2779.527</v>
      </c>
    </row>
    <row r="75" spans="1:71" s="25" customFormat="1" ht="26.1" customHeight="1" x14ac:dyDescent="0.25">
      <c r="A75" s="74">
        <v>75</v>
      </c>
      <c r="B75" s="354" t="s">
        <v>435</v>
      </c>
      <c r="C75" s="93"/>
      <c r="D75" s="88"/>
      <c r="E75" s="94"/>
      <c r="F75" s="149">
        <f t="shared" si="74"/>
        <v>-6980.1479999999992</v>
      </c>
      <c r="G75" s="270">
        <f t="shared" si="75"/>
        <v>-1472</v>
      </c>
      <c r="H75" s="149">
        <f t="shared" si="74"/>
        <v>-5756</v>
      </c>
      <c r="I75" s="149">
        <f t="shared" si="74"/>
        <v>-4195</v>
      </c>
      <c r="J75" s="149">
        <f t="shared" si="74"/>
        <v>-5675</v>
      </c>
      <c r="K75" s="149">
        <f t="shared" si="76"/>
        <v>72</v>
      </c>
      <c r="L75" s="149">
        <f t="shared" si="74"/>
        <v>-1598</v>
      </c>
      <c r="M75" s="149">
        <f t="shared" si="74"/>
        <v>-1017</v>
      </c>
      <c r="N75" s="149">
        <f t="shared" si="74"/>
        <v>-2888</v>
      </c>
      <c r="O75" s="149">
        <f t="shared" si="77"/>
        <v>-192</v>
      </c>
      <c r="P75" s="149">
        <f t="shared" si="74"/>
        <v>-276</v>
      </c>
      <c r="Q75" s="149">
        <f t="shared" si="74"/>
        <v>171.90700000000015</v>
      </c>
      <c r="R75" s="149">
        <f t="shared" si="74"/>
        <v>607.09299999999985</v>
      </c>
      <c r="S75" s="149">
        <f t="shared" si="78"/>
        <v>3834</v>
      </c>
      <c r="T75" s="400"/>
      <c r="U75" s="400"/>
      <c r="V75" s="400"/>
      <c r="W75" s="400"/>
      <c r="X75" s="149">
        <f t="shared" si="79"/>
        <v>435</v>
      </c>
      <c r="Y75" s="149">
        <f t="shared" si="79"/>
        <v>-1081</v>
      </c>
      <c r="Z75" s="149">
        <f t="shared" si="79"/>
        <v>-1996</v>
      </c>
      <c r="AA75" s="149">
        <f t="shared" si="80"/>
        <v>-2118</v>
      </c>
      <c r="AB75" s="149">
        <f t="shared" si="81"/>
        <v>-1788.942</v>
      </c>
      <c r="AC75" s="149">
        <f t="shared" si="81"/>
        <v>-2006.8050000000003</v>
      </c>
      <c r="AD75" s="149">
        <f t="shared" si="81"/>
        <v>-2468.9649999999997</v>
      </c>
      <c r="AE75" s="149">
        <f t="shared" si="82"/>
        <v>-2577.288</v>
      </c>
      <c r="AF75" s="149">
        <f t="shared" si="83"/>
        <v>-2069.009</v>
      </c>
      <c r="AG75" s="149">
        <f t="shared" si="83"/>
        <v>-1773.1110000000003</v>
      </c>
      <c r="AH75" s="149">
        <f t="shared" si="83"/>
        <v>-1593.6219999999998</v>
      </c>
      <c r="AI75" s="149">
        <f t="shared" si="84"/>
        <v>-2268.7809999999999</v>
      </c>
      <c r="AJ75" s="149">
        <f t="shared" si="85"/>
        <v>-1834.2190000000001</v>
      </c>
      <c r="AK75" s="149">
        <f t="shared" si="85"/>
        <v>-2234.152</v>
      </c>
      <c r="AL75" s="149">
        <f t="shared" si="85"/>
        <v>-1910.8509999999999</v>
      </c>
      <c r="AM75" s="270">
        <f>-1758.698</f>
        <v>-1758.6980000000001</v>
      </c>
      <c r="AN75" s="149">
        <v>-2358.2900000000009</v>
      </c>
      <c r="AO75" s="149">
        <v>-2013.4110000000001</v>
      </c>
      <c r="AP75" s="149">
        <v>-2548.1439999999998</v>
      </c>
      <c r="AQ75" s="149">
        <v>-2654.989</v>
      </c>
      <c r="AR75" s="149">
        <v>-3098.2240000000002</v>
      </c>
      <c r="AS75" s="149">
        <v>-3260.5619999999999</v>
      </c>
      <c r="AT75" s="149">
        <v>-3189.2289999999998</v>
      </c>
      <c r="AU75" s="149">
        <v>-2942.0909999999999</v>
      </c>
      <c r="AV75" s="22">
        <v>-3412.7919999999999</v>
      </c>
      <c r="AW75" s="22">
        <v>-3286.4330000000009</v>
      </c>
      <c r="AX75" s="22">
        <v>-3039.2029999999995</v>
      </c>
      <c r="AY75" s="22">
        <v>-2554.7150000000001</v>
      </c>
      <c r="AZ75" s="22">
        <v>-2911.1719999999996</v>
      </c>
      <c r="BA75" s="22">
        <v>-1601.5300000000002</v>
      </c>
      <c r="BB75" s="22">
        <v>-1557.896</v>
      </c>
      <c r="BC75" s="22">
        <v>-1215.3109999999999</v>
      </c>
      <c r="BD75" s="22">
        <v>-1158.9870000000001</v>
      </c>
      <c r="BE75" s="22">
        <v>-1100.6180000000002</v>
      </c>
      <c r="BF75" s="22">
        <v>-1145.6609999999998</v>
      </c>
      <c r="BG75" s="22">
        <v>-1089.8030000000001</v>
      </c>
      <c r="BH75" s="22">
        <v>-1470.5140000000001</v>
      </c>
      <c r="BI75" s="22">
        <v>-1612.1659999999999</v>
      </c>
      <c r="BJ75" s="22">
        <v>-1539.492</v>
      </c>
      <c r="BK75" s="22">
        <v>-1767.7650000000001</v>
      </c>
      <c r="BL75" s="22">
        <v>-1819.1389999999999</v>
      </c>
      <c r="BM75" s="22">
        <v>-720.80499999999995</v>
      </c>
      <c r="BN75" s="22">
        <v>-220.983</v>
      </c>
      <c r="BO75" s="22">
        <v>-741.97199999999998</v>
      </c>
      <c r="BP75" s="22">
        <v>477.35199999999998</v>
      </c>
      <c r="BQ75" s="22">
        <v>-997.85900000000004</v>
      </c>
      <c r="BR75" s="22">
        <v>-1185.1769999999999</v>
      </c>
      <c r="BS75" s="22">
        <v>-2779.527</v>
      </c>
    </row>
    <row r="76" spans="1:71" s="67" customFormat="1" ht="15" customHeight="1" x14ac:dyDescent="0.25">
      <c r="A76" s="74">
        <v>76</v>
      </c>
      <c r="B76" s="65" t="s">
        <v>131</v>
      </c>
      <c r="C76" s="95">
        <f t="shared" ca="1" si="86"/>
        <v>-0.33583990894828541</v>
      </c>
      <c r="D76" s="125"/>
      <c r="E76" s="96">
        <f t="shared" ca="1" si="87"/>
        <v>-0.18925544067674072</v>
      </c>
      <c r="F76" s="173">
        <f t="shared" si="74"/>
        <v>11213.407999999999</v>
      </c>
      <c r="G76" s="271">
        <f t="shared" si="75"/>
        <v>16883.592000000001</v>
      </c>
      <c r="H76" s="173">
        <f t="shared" si="74"/>
        <v>12947</v>
      </c>
      <c r="I76" s="173">
        <f t="shared" si="74"/>
        <v>15444</v>
      </c>
      <c r="J76" s="173">
        <f t="shared" si="74"/>
        <v>13831</v>
      </c>
      <c r="K76" s="173">
        <f t="shared" si="76"/>
        <v>20006</v>
      </c>
      <c r="L76" s="173">
        <f t="shared" si="74"/>
        <v>17713</v>
      </c>
      <c r="M76" s="173">
        <f t="shared" si="74"/>
        <v>16751</v>
      </c>
      <c r="N76" s="173">
        <f t="shared" si="74"/>
        <v>13796</v>
      </c>
      <c r="O76" s="173">
        <f t="shared" si="77"/>
        <v>17013</v>
      </c>
      <c r="P76" s="173">
        <f t="shared" ref="P76:P92" si="89">P16-Q16</f>
        <v>15837</v>
      </c>
      <c r="Q76" s="173">
        <f t="shared" ref="Q76:Q99" si="90">Q16-R16</f>
        <v>12827</v>
      </c>
      <c r="R76" s="173">
        <f>R16-S16</f>
        <v>11592</v>
      </c>
      <c r="S76" s="173">
        <f>S16</f>
        <v>14900</v>
      </c>
      <c r="T76" s="412"/>
      <c r="U76" s="412"/>
      <c r="V76" s="412"/>
      <c r="W76" s="412"/>
      <c r="X76" s="173">
        <f t="shared" ref="X76:Z84" si="91">X16-Y16</f>
        <v>7969</v>
      </c>
      <c r="Y76" s="173">
        <f t="shared" si="91"/>
        <v>5983</v>
      </c>
      <c r="Z76" s="173">
        <f t="shared" si="91"/>
        <v>5447</v>
      </c>
      <c r="AA76" s="173">
        <f t="shared" ref="AA76:AA84" si="92">AA16</f>
        <v>4354</v>
      </c>
      <c r="AB76" s="173">
        <f t="shared" ref="AB76:AD82" si="93">AB16-AC16</f>
        <v>5417.7610000000004</v>
      </c>
      <c r="AC76" s="173">
        <f t="shared" si="93"/>
        <v>4030.0339999999987</v>
      </c>
      <c r="AD76" s="173">
        <f t="shared" si="93"/>
        <v>3589.3550000000014</v>
      </c>
      <c r="AE76" s="173">
        <f t="shared" ref="AE76:AE82" si="94">AE16</f>
        <v>3635.8499999999995</v>
      </c>
      <c r="AF76" s="173">
        <f t="shared" ref="AF76:AH99" si="95">AF16-AG16</f>
        <v>4299.6570000000011</v>
      </c>
      <c r="AG76" s="173">
        <f t="shared" si="95"/>
        <v>4084.1540000000041</v>
      </c>
      <c r="AH76" s="173">
        <f t="shared" si="95"/>
        <v>3725.3169999999986</v>
      </c>
      <c r="AI76" s="173">
        <f t="shared" ref="AI76:AI100" si="96">AI16</f>
        <v>3517.0620000000004</v>
      </c>
      <c r="AJ76" s="173">
        <f t="shared" ref="AJ76:AL77" si="97">AJ16-AK16</f>
        <v>4255.8980000000047</v>
      </c>
      <c r="AK76" s="173">
        <f t="shared" si="97"/>
        <v>3285.2969999999959</v>
      </c>
      <c r="AL76" s="173">
        <f t="shared" si="97"/>
        <v>3345.3209999999999</v>
      </c>
      <c r="AM76" s="271">
        <f t="shared" ref="AM76:BB76" si="98">AM73+AM74</f>
        <v>3295.1439999999993</v>
      </c>
      <c r="AN76" s="173">
        <f t="shared" si="98"/>
        <v>3357.6789999999937</v>
      </c>
      <c r="AO76" s="173">
        <f t="shared" si="98"/>
        <v>3134.8890000000019</v>
      </c>
      <c r="AP76" s="173">
        <f t="shared" si="98"/>
        <v>1791.5089999999987</v>
      </c>
      <c r="AQ76" s="173">
        <f t="shared" si="98"/>
        <v>1798.610000000001</v>
      </c>
      <c r="AR76" s="173">
        <f t="shared" si="98"/>
        <v>2752.387999999999</v>
      </c>
      <c r="AS76" s="173">
        <f t="shared" si="98"/>
        <v>2219.7920000000022</v>
      </c>
      <c r="AT76" s="173">
        <f t="shared" si="98"/>
        <v>1947.7339999999972</v>
      </c>
      <c r="AU76" s="173">
        <f t="shared" si="98"/>
        <v>1947.5620000000013</v>
      </c>
      <c r="AV76" s="66">
        <f t="shared" si="98"/>
        <v>1578.9540000000011</v>
      </c>
      <c r="AW76" s="66">
        <f t="shared" si="98"/>
        <v>638.57899999999609</v>
      </c>
      <c r="AX76" s="66">
        <f t="shared" si="98"/>
        <v>936.09400000000096</v>
      </c>
      <c r="AY76" s="66">
        <f t="shared" si="98"/>
        <v>1422.9789999999998</v>
      </c>
      <c r="AZ76" s="66">
        <f t="shared" si="98"/>
        <v>2485.7190000000037</v>
      </c>
      <c r="BA76" s="66">
        <f t="shared" si="98"/>
        <v>2741.6440000000007</v>
      </c>
      <c r="BB76" s="66">
        <f t="shared" si="98"/>
        <v>2733.8459999999995</v>
      </c>
      <c r="BC76" s="66">
        <f t="shared" ref="BC76:BS76" si="99">BC73+BC74</f>
        <v>2752.5820000000003</v>
      </c>
      <c r="BD76" s="66">
        <f t="shared" si="99"/>
        <v>2545.6340000000023</v>
      </c>
      <c r="BE76" s="66">
        <f t="shared" si="99"/>
        <v>2192.4459999999999</v>
      </c>
      <c r="BF76" s="66">
        <f t="shared" si="99"/>
        <v>1909.0360000000003</v>
      </c>
      <c r="BG76" s="66">
        <f t="shared" si="99"/>
        <v>1800.8369999999998</v>
      </c>
      <c r="BH76" s="66">
        <f t="shared" si="99"/>
        <v>1543.3540000000007</v>
      </c>
      <c r="BI76" s="66">
        <f t="shared" si="99"/>
        <v>1209.2780000000005</v>
      </c>
      <c r="BJ76" s="66">
        <f t="shared" si="99"/>
        <v>1409.6839999999995</v>
      </c>
      <c r="BK76" s="66">
        <f t="shared" si="99"/>
        <v>1071.847</v>
      </c>
      <c r="BL76" s="66">
        <f t="shared" si="99"/>
        <v>1385.5909999999997</v>
      </c>
      <c r="BM76" s="66">
        <f t="shared" si="99"/>
        <v>2751.1499999999996</v>
      </c>
      <c r="BN76" s="66">
        <f t="shared" si="99"/>
        <v>3157.125</v>
      </c>
      <c r="BO76" s="66">
        <f t="shared" si="99"/>
        <v>2525.799</v>
      </c>
      <c r="BP76" s="66">
        <f t="shared" si="99"/>
        <v>3387.7460000000005</v>
      </c>
      <c r="BQ76" s="66">
        <f t="shared" si="99"/>
        <v>2040.7320000000004</v>
      </c>
      <c r="BR76" s="66">
        <f t="shared" si="99"/>
        <v>1610.8270000000005</v>
      </c>
      <c r="BS76" s="66">
        <f t="shared" si="99"/>
        <v>244.84400000000005</v>
      </c>
    </row>
    <row r="77" spans="1:71" s="151" customFormat="1" ht="26.1" customHeight="1" x14ac:dyDescent="0.25">
      <c r="A77" s="74">
        <v>77</v>
      </c>
      <c r="B77" s="30" t="s">
        <v>460</v>
      </c>
      <c r="C77" s="152"/>
      <c r="D77" s="170"/>
      <c r="E77" s="153"/>
      <c r="F77" s="149">
        <f>F17-G17</f>
        <v>-51</v>
      </c>
      <c r="G77" s="270">
        <f t="shared" si="75"/>
        <v>229</v>
      </c>
      <c r="H77" s="149">
        <f t="shared" si="74"/>
        <v>-117</v>
      </c>
      <c r="I77" s="149">
        <f t="shared" si="74"/>
        <v>-434</v>
      </c>
      <c r="J77" s="149">
        <f>J17-K17</f>
        <v>811</v>
      </c>
      <c r="K77" s="149">
        <f t="shared" si="76"/>
        <v>-126</v>
      </c>
      <c r="L77" s="149">
        <f t="shared" si="74"/>
        <v>-814</v>
      </c>
      <c r="M77" s="149">
        <f t="shared" si="74"/>
        <v>-863</v>
      </c>
      <c r="N77" s="149">
        <f>N17-O17</f>
        <v>-280</v>
      </c>
      <c r="O77" s="149">
        <f t="shared" si="77"/>
        <v>-169</v>
      </c>
      <c r="P77" s="149">
        <f t="shared" si="89"/>
        <v>-1021</v>
      </c>
      <c r="Q77" s="149">
        <f t="shared" si="90"/>
        <v>-687</v>
      </c>
      <c r="R77" s="149">
        <f>R17-S17</f>
        <v>205</v>
      </c>
      <c r="S77" s="149">
        <f>S17</f>
        <v>1376</v>
      </c>
      <c r="T77" s="400"/>
      <c r="U77" s="400"/>
      <c r="V77" s="400"/>
      <c r="W77" s="400"/>
      <c r="X77" s="149">
        <f t="shared" si="91"/>
        <v>-76</v>
      </c>
      <c r="Y77" s="149">
        <f t="shared" si="91"/>
        <v>-102</v>
      </c>
      <c r="Z77" s="149">
        <f t="shared" si="91"/>
        <v>-30</v>
      </c>
      <c r="AA77" s="149">
        <f t="shared" si="92"/>
        <v>-216</v>
      </c>
      <c r="AB77" s="149">
        <f t="shared" si="93"/>
        <v>-82.72</v>
      </c>
      <c r="AC77" s="149">
        <f t="shared" si="93"/>
        <v>-79.285999999999987</v>
      </c>
      <c r="AD77" s="149">
        <f t="shared" si="93"/>
        <v>-56.425000000000011</v>
      </c>
      <c r="AE77" s="149">
        <f t="shared" si="94"/>
        <v>-66.569000000000003</v>
      </c>
      <c r="AF77" s="149">
        <f t="shared" si="95"/>
        <v>-5.3949999999998681</v>
      </c>
      <c r="AG77" s="149">
        <f t="shared" si="95"/>
        <v>-202.6450000000001</v>
      </c>
      <c r="AH77" s="149">
        <f t="shared" si="95"/>
        <v>-407.16200000000003</v>
      </c>
      <c r="AI77" s="149">
        <f t="shared" si="96"/>
        <v>-191.52500000000001</v>
      </c>
      <c r="AJ77" s="149">
        <f t="shared" si="97"/>
        <v>-509.28099999999972</v>
      </c>
      <c r="AK77" s="149">
        <f t="shared" si="97"/>
        <v>-1196.627</v>
      </c>
      <c r="AL77" s="149">
        <f t="shared" si="97"/>
        <v>-237.77700000000004</v>
      </c>
      <c r="AM77" s="270">
        <v>-144.77600000000001</v>
      </c>
      <c r="AN77" s="149">
        <v>-124.82000000000001</v>
      </c>
      <c r="AO77" s="149">
        <v>41.492999999999981</v>
      </c>
      <c r="AP77" s="149">
        <v>-30.486999999999981</v>
      </c>
      <c r="AQ77" s="149">
        <v>-124.64700000000001</v>
      </c>
      <c r="AR77" s="149">
        <v>354.74399999999991</v>
      </c>
      <c r="AS77" s="149">
        <v>-147.78700000000001</v>
      </c>
      <c r="AT77" s="149">
        <v>68.93100000000004</v>
      </c>
      <c r="AU77" s="149">
        <v>301.86399999999998</v>
      </c>
      <c r="AV77" s="22">
        <v>794.54499999999996</v>
      </c>
      <c r="AW77" s="22">
        <v>237.89099999999999</v>
      </c>
      <c r="AX77" s="22">
        <v>89.787999999999982</v>
      </c>
      <c r="AY77" s="22">
        <v>-282.96499999999997</v>
      </c>
      <c r="AZ77" s="22">
        <v>-2449.6669999999999</v>
      </c>
      <c r="BA77" s="22">
        <v>-726.48700000000008</v>
      </c>
      <c r="BB77" s="149">
        <v>-221.137</v>
      </c>
      <c r="BC77" s="149">
        <v>-946.41</v>
      </c>
      <c r="BD77" s="149">
        <v>-89.674999999999997</v>
      </c>
      <c r="BE77" s="149">
        <v>-15.095000000000001</v>
      </c>
      <c r="BF77" s="149">
        <v>-215.12899999999999</v>
      </c>
      <c r="BG77" s="149">
        <v>121.86799999999999</v>
      </c>
      <c r="BH77" s="149">
        <v>66.277999999999963</v>
      </c>
      <c r="BI77" s="149">
        <v>271.16500000000002</v>
      </c>
      <c r="BJ77" s="149">
        <v>-278.45999999999998</v>
      </c>
      <c r="BK77" s="149">
        <v>77.927999999999997</v>
      </c>
      <c r="BL77" s="149">
        <v>141.42400000000001</v>
      </c>
      <c r="BM77" s="149">
        <v>-1100.115</v>
      </c>
      <c r="BN77" s="149">
        <v>21.971</v>
      </c>
      <c r="BO77" s="149">
        <v>141.86000000000001</v>
      </c>
      <c r="BP77" s="149">
        <v>-83.525000000000006</v>
      </c>
      <c r="BQ77" s="149">
        <v>10.747999999999999</v>
      </c>
      <c r="BR77" s="149">
        <v>-310.07299999999998</v>
      </c>
      <c r="BS77" s="149">
        <v>685.30499999999995</v>
      </c>
    </row>
    <row r="78" spans="1:71" s="25" customFormat="1" ht="15" customHeight="1" x14ac:dyDescent="0.25">
      <c r="A78" s="74">
        <v>78</v>
      </c>
      <c r="B78" s="30"/>
      <c r="C78" s="93"/>
      <c r="D78" s="88"/>
      <c r="E78" s="94"/>
      <c r="F78" s="149"/>
      <c r="G78" s="270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400"/>
      <c r="U78" s="400"/>
      <c r="V78" s="400"/>
      <c r="W78" s="400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270"/>
      <c r="AN78" s="149"/>
      <c r="AO78" s="149"/>
      <c r="AP78" s="149"/>
      <c r="AQ78" s="149"/>
      <c r="AR78" s="149"/>
      <c r="AS78" s="149"/>
      <c r="AT78" s="149"/>
      <c r="AU78" s="149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</row>
    <row r="79" spans="1:71" s="254" customFormat="1" ht="26.1" customHeight="1" x14ac:dyDescent="0.25">
      <c r="A79" s="74">
        <v>79</v>
      </c>
      <c r="B79" s="244" t="s">
        <v>357</v>
      </c>
      <c r="C79" s="255"/>
      <c r="D79" s="294"/>
      <c r="E79" s="256"/>
      <c r="F79" s="149">
        <f t="shared" ref="F79:F99" si="100">F19-G19</f>
        <v>1602</v>
      </c>
      <c r="G79" s="270">
        <f t="shared" si="75"/>
        <v>719</v>
      </c>
      <c r="H79" s="149">
        <f t="shared" si="74"/>
        <v>1805</v>
      </c>
      <c r="I79" s="149">
        <f t="shared" si="74"/>
        <v>-356</v>
      </c>
      <c r="J79" s="149">
        <f t="shared" ref="I79:J96" si="101">J19-K19</f>
        <v>2000</v>
      </c>
      <c r="K79" s="149">
        <f t="shared" si="76"/>
        <v>2444</v>
      </c>
      <c r="L79" s="149">
        <f t="shared" si="74"/>
        <v>4087</v>
      </c>
      <c r="M79" s="149">
        <f t="shared" si="74"/>
        <v>3691</v>
      </c>
      <c r="N79" s="149">
        <f t="shared" ref="N79:N84" si="102">N19-O19</f>
        <v>2868</v>
      </c>
      <c r="O79" s="149">
        <f t="shared" si="77"/>
        <v>2376</v>
      </c>
      <c r="P79" s="149">
        <f t="shared" si="89"/>
        <v>2086</v>
      </c>
      <c r="Q79" s="149">
        <f t="shared" si="90"/>
        <v>2217</v>
      </c>
      <c r="R79" s="149">
        <f t="shared" ref="R79:R84" si="103">R19-S19</f>
        <v>1584</v>
      </c>
      <c r="S79" s="149">
        <f t="shared" ref="S79:S84" si="104">S19</f>
        <v>4510</v>
      </c>
      <c r="T79" s="400"/>
      <c r="U79" s="400"/>
      <c r="V79" s="400"/>
      <c r="W79" s="400"/>
      <c r="X79" s="149">
        <f t="shared" si="91"/>
        <v>2086</v>
      </c>
      <c r="Y79" s="149">
        <f t="shared" si="91"/>
        <v>1305</v>
      </c>
      <c r="Z79" s="149">
        <f t="shared" si="91"/>
        <v>1568</v>
      </c>
      <c r="AA79" s="149">
        <f t="shared" si="92"/>
        <v>799</v>
      </c>
      <c r="AB79" s="149">
        <f t="shared" si="93"/>
        <v>1631.8209999999999</v>
      </c>
      <c r="AC79" s="149">
        <f t="shared" si="93"/>
        <v>644.59100000000012</v>
      </c>
      <c r="AD79" s="149">
        <f t="shared" si="93"/>
        <v>484.25399999999996</v>
      </c>
      <c r="AE79" s="149">
        <f t="shared" si="94"/>
        <v>41.334000000000003</v>
      </c>
      <c r="AF79" s="149">
        <f t="shared" si="95"/>
        <v>163.27999999999997</v>
      </c>
      <c r="AG79" s="149">
        <f t="shared" si="95"/>
        <v>-218.45399999999995</v>
      </c>
      <c r="AH79" s="149">
        <f t="shared" si="95"/>
        <v>997.02699999999993</v>
      </c>
      <c r="AI79" s="149">
        <f t="shared" si="96"/>
        <v>98.58</v>
      </c>
      <c r="AJ79" s="149">
        <f t="shared" ref="AJ79:AK82" si="105">AJ19-AK19</f>
        <v>2125.4389999999999</v>
      </c>
      <c r="AK79" s="149">
        <f t="shared" si="105"/>
        <v>1706.3890000000001</v>
      </c>
      <c r="AL79" s="257">
        <v>1640.2249999999997</v>
      </c>
      <c r="AM79" s="272">
        <v>441.07499999999999</v>
      </c>
      <c r="AN79" s="257">
        <v>707.31600000000071</v>
      </c>
      <c r="AO79" s="257">
        <v>654.05099999999766</v>
      </c>
      <c r="AP79" s="257">
        <v>2372.6600000000008</v>
      </c>
      <c r="AQ79" s="257">
        <v>1551.049</v>
      </c>
      <c r="AR79" s="257">
        <v>47.483000000000175</v>
      </c>
      <c r="AS79" s="257">
        <v>1001.3179999999993</v>
      </c>
      <c r="AT79" s="257">
        <v>969.73600000000079</v>
      </c>
      <c r="AU79" s="257">
        <v>589.61599999999953</v>
      </c>
      <c r="AV79" s="165">
        <v>858.20600000000195</v>
      </c>
      <c r="AW79" s="165">
        <v>1794.6709999999989</v>
      </c>
      <c r="AX79" s="165">
        <v>1427.527</v>
      </c>
      <c r="AY79" s="165">
        <v>784.851</v>
      </c>
      <c r="AZ79" s="165">
        <v>2436.8389999999999</v>
      </c>
      <c r="BA79" s="165">
        <v>558.32900000000018</v>
      </c>
      <c r="BB79" s="165">
        <v>201.89499999999998</v>
      </c>
      <c r="BC79" s="165">
        <v>758.90000000000009</v>
      </c>
      <c r="BD79" s="165">
        <v>623.4689999999996</v>
      </c>
      <c r="BE79" s="165">
        <v>572.46400000000006</v>
      </c>
      <c r="BF79" s="165">
        <v>439.30200000000019</v>
      </c>
      <c r="BG79" s="165">
        <v>375.69300000000004</v>
      </c>
      <c r="BH79" s="165">
        <v>220.99499999999989</v>
      </c>
      <c r="BI79" s="165">
        <v>155.25800000000004</v>
      </c>
      <c r="BJ79" s="165">
        <v>113.52899999999997</v>
      </c>
      <c r="BK79" s="165">
        <v>202.96299999999999</v>
      </c>
      <c r="BL79" s="165">
        <v>206.70700000000011</v>
      </c>
      <c r="BM79" s="165">
        <v>127.726</v>
      </c>
      <c r="BN79" s="165">
        <v>4.2210000000000036</v>
      </c>
      <c r="BO79" s="165">
        <v>372.726</v>
      </c>
      <c r="BP79" s="165">
        <v>205.64799999999991</v>
      </c>
      <c r="BQ79" s="165">
        <v>106.89100000000019</v>
      </c>
      <c r="BR79" s="165">
        <v>154.55000000000001</v>
      </c>
      <c r="BS79" s="165">
        <v>200.69300000000004</v>
      </c>
    </row>
    <row r="80" spans="1:71" s="25" customFormat="1" ht="15" customHeight="1" x14ac:dyDescent="0.25">
      <c r="A80" s="74">
        <v>80</v>
      </c>
      <c r="B80" s="30" t="s">
        <v>132</v>
      </c>
      <c r="C80" s="93">
        <f ca="1">OFFSET($E$7,$A80-$A$7,1,1,1)/OFFSET($E$7,$A80-$A$7,2,1,1)-1</f>
        <v>0.13389355742296916</v>
      </c>
      <c r="D80" s="88"/>
      <c r="E80" s="94">
        <f ca="1">OFFSET($E$7,$A80-$A$7,1,1,1)/OFFSET($E$7,$A80-$A$7,5,1,1)-1</f>
        <v>0.11977869986168743</v>
      </c>
      <c r="F80" s="149">
        <f t="shared" si="100"/>
        <v>4048</v>
      </c>
      <c r="G80" s="270">
        <f t="shared" si="75"/>
        <v>3570</v>
      </c>
      <c r="H80" s="149">
        <f t="shared" si="74"/>
        <v>4076</v>
      </c>
      <c r="I80" s="149">
        <f t="shared" si="74"/>
        <v>3715</v>
      </c>
      <c r="J80" s="149">
        <f t="shared" si="101"/>
        <v>3615</v>
      </c>
      <c r="K80" s="149">
        <f t="shared" si="76"/>
        <v>3434</v>
      </c>
      <c r="L80" s="149">
        <f t="shared" si="74"/>
        <v>3719</v>
      </c>
      <c r="M80" s="149">
        <f t="shared" si="74"/>
        <v>3857</v>
      </c>
      <c r="N80" s="149">
        <f t="shared" si="102"/>
        <v>3482</v>
      </c>
      <c r="O80" s="149">
        <f t="shared" si="77"/>
        <v>3347</v>
      </c>
      <c r="P80" s="149">
        <f t="shared" si="89"/>
        <v>3845</v>
      </c>
      <c r="Q80" s="149">
        <f t="shared" si="90"/>
        <v>3690</v>
      </c>
      <c r="R80" s="149">
        <f t="shared" si="103"/>
        <v>3557</v>
      </c>
      <c r="S80" s="149">
        <f t="shared" si="104"/>
        <v>4193</v>
      </c>
      <c r="T80" s="400"/>
      <c r="U80" s="400"/>
      <c r="V80" s="400"/>
      <c r="W80" s="400"/>
      <c r="X80" s="149">
        <f t="shared" si="91"/>
        <v>3195</v>
      </c>
      <c r="Y80" s="149">
        <f t="shared" si="91"/>
        <v>2840</v>
      </c>
      <c r="Z80" s="149">
        <f t="shared" si="91"/>
        <v>2931</v>
      </c>
      <c r="AA80" s="149">
        <f t="shared" si="92"/>
        <v>2466</v>
      </c>
      <c r="AB80" s="149">
        <f t="shared" si="93"/>
        <v>2879.1120000000001</v>
      </c>
      <c r="AC80" s="149">
        <f t="shared" si="93"/>
        <v>2424.7460000000001</v>
      </c>
      <c r="AD80" s="149">
        <f t="shared" si="93"/>
        <v>2063.6299999999997</v>
      </c>
      <c r="AE80" s="149">
        <f t="shared" si="94"/>
        <v>2159.5120000000002</v>
      </c>
      <c r="AF80" s="149">
        <f t="shared" si="95"/>
        <v>2588.3680000000013</v>
      </c>
      <c r="AG80" s="149">
        <f t="shared" si="95"/>
        <v>2307.6699999999996</v>
      </c>
      <c r="AH80" s="149">
        <f t="shared" si="95"/>
        <v>2271.3099999999995</v>
      </c>
      <c r="AI80" s="149">
        <f t="shared" si="96"/>
        <v>1810.5390000000002</v>
      </c>
      <c r="AJ80" s="149">
        <f t="shared" si="105"/>
        <v>2054.887999999999</v>
      </c>
      <c r="AK80" s="149">
        <f t="shared" si="105"/>
        <v>1863.1849999999999</v>
      </c>
      <c r="AL80" s="149">
        <f>AL20-AM20</f>
        <v>1715.3329999999996</v>
      </c>
      <c r="AM80" s="270">
        <v>1692.231</v>
      </c>
      <c r="AN80" s="149">
        <v>1831.4639999999999</v>
      </c>
      <c r="AO80" s="149">
        <v>1670.3819999999996</v>
      </c>
      <c r="AP80" s="149">
        <v>1611.9070000000002</v>
      </c>
      <c r="AQ80" s="149">
        <v>1493.326</v>
      </c>
      <c r="AR80" s="149">
        <v>1578.6720000000005</v>
      </c>
      <c r="AS80" s="149">
        <v>1483.1589999999997</v>
      </c>
      <c r="AT80" s="149">
        <v>1422.8180000000002</v>
      </c>
      <c r="AU80" s="149">
        <v>1345.808</v>
      </c>
      <c r="AV80" s="22">
        <v>1338.2839999999997</v>
      </c>
      <c r="AW80" s="22">
        <v>1242.8609999999999</v>
      </c>
      <c r="AX80" s="22">
        <v>1178.9580000000001</v>
      </c>
      <c r="AY80" s="22">
        <v>1012.235</v>
      </c>
      <c r="AZ80" s="22">
        <v>1312.5620000000004</v>
      </c>
      <c r="BA80" s="22">
        <v>1126.5340000000001</v>
      </c>
      <c r="BB80" s="22">
        <v>1052.7750000000001</v>
      </c>
      <c r="BC80" s="22">
        <v>928.71600000000001</v>
      </c>
      <c r="BD80" s="22">
        <v>933.60400000000027</v>
      </c>
      <c r="BE80" s="22">
        <v>805.62900000000002</v>
      </c>
      <c r="BF80" s="22">
        <v>749.76699999999994</v>
      </c>
      <c r="BG80" s="22">
        <v>683.45600000000002</v>
      </c>
      <c r="BH80" s="22">
        <v>822.07300000000032</v>
      </c>
      <c r="BI80" s="22">
        <v>705.45100000000002</v>
      </c>
      <c r="BJ80" s="22">
        <v>666.39400000000001</v>
      </c>
      <c r="BK80" s="22">
        <v>559.28599999999994</v>
      </c>
      <c r="BL80" s="22">
        <v>726.95100000000002</v>
      </c>
      <c r="BM80" s="22">
        <v>606.57799999999997</v>
      </c>
      <c r="BN80" s="22">
        <v>599.81799999999998</v>
      </c>
      <c r="BO80" s="22">
        <v>498.67500000000001</v>
      </c>
      <c r="BP80" s="22">
        <v>634.17999999999995</v>
      </c>
      <c r="BQ80" s="22">
        <v>469.77499999999998</v>
      </c>
      <c r="BR80" s="22">
        <v>486.86799999999999</v>
      </c>
      <c r="BS80" s="22">
        <v>416.36200000000002</v>
      </c>
    </row>
    <row r="81" spans="1:71" s="25" customFormat="1" ht="15" customHeight="1" x14ac:dyDescent="0.25">
      <c r="A81" s="74">
        <v>81</v>
      </c>
      <c r="B81" s="30" t="s">
        <v>133</v>
      </c>
      <c r="C81" s="93">
        <f ca="1">OFFSET($E$7,$A81-$A$7,1,1,1)/OFFSET($E$7,$A81-$A$7,2,1,1)-1</f>
        <v>0.16387096774193544</v>
      </c>
      <c r="D81" s="88"/>
      <c r="E81" s="94">
        <f ca="1">OFFSET($E$7,$A81-$A$7,1,1,1)/OFFSET($E$7,$A81-$A$7,5,1,1)-1</f>
        <v>0.1653746770025839</v>
      </c>
      <c r="F81" s="149">
        <f t="shared" si="100"/>
        <v>-902</v>
      </c>
      <c r="G81" s="270">
        <f t="shared" si="75"/>
        <v>-775</v>
      </c>
      <c r="H81" s="149">
        <f t="shared" si="74"/>
        <v>-764</v>
      </c>
      <c r="I81" s="149">
        <f t="shared" si="74"/>
        <v>-842</v>
      </c>
      <c r="J81" s="149">
        <f t="shared" si="101"/>
        <v>-774</v>
      </c>
      <c r="K81" s="149">
        <f t="shared" si="76"/>
        <v>-673</v>
      </c>
      <c r="L81" s="149">
        <f t="shared" si="74"/>
        <v>-644</v>
      </c>
      <c r="M81" s="149">
        <f t="shared" si="74"/>
        <v>-701</v>
      </c>
      <c r="N81" s="149">
        <f t="shared" si="102"/>
        <v>-773</v>
      </c>
      <c r="O81" s="149">
        <f t="shared" si="77"/>
        <v>-688</v>
      </c>
      <c r="P81" s="149">
        <f t="shared" si="89"/>
        <v>-788</v>
      </c>
      <c r="Q81" s="149">
        <f t="shared" si="90"/>
        <v>-718</v>
      </c>
      <c r="R81" s="149">
        <f t="shared" si="103"/>
        <v>-665</v>
      </c>
      <c r="S81" s="149">
        <f t="shared" si="104"/>
        <v>-627</v>
      </c>
      <c r="T81" s="400"/>
      <c r="U81" s="400"/>
      <c r="V81" s="400"/>
      <c r="W81" s="400"/>
      <c r="X81" s="149">
        <f t="shared" si="91"/>
        <v>-595</v>
      </c>
      <c r="Y81" s="149">
        <f t="shared" si="91"/>
        <v>-644</v>
      </c>
      <c r="Z81" s="149">
        <f t="shared" si="91"/>
        <v>-623</v>
      </c>
      <c r="AA81" s="149">
        <f t="shared" si="92"/>
        <v>-561</v>
      </c>
      <c r="AB81" s="149">
        <f t="shared" si="93"/>
        <v>-564.24499999999989</v>
      </c>
      <c r="AC81" s="149">
        <f t="shared" si="93"/>
        <v>-524.74500000000012</v>
      </c>
      <c r="AD81" s="149">
        <f t="shared" si="93"/>
        <v>-420.66699999999997</v>
      </c>
      <c r="AE81" s="149">
        <f t="shared" si="94"/>
        <v>-477.34300000000002</v>
      </c>
      <c r="AF81" s="149">
        <f t="shared" si="95"/>
        <v>-595.08899999999926</v>
      </c>
      <c r="AG81" s="149">
        <f t="shared" si="95"/>
        <v>-524.14100000000008</v>
      </c>
      <c r="AH81" s="149">
        <f t="shared" si="95"/>
        <v>-507.64700000000005</v>
      </c>
      <c r="AI81" s="149">
        <f t="shared" si="96"/>
        <v>-532.08399999999995</v>
      </c>
      <c r="AJ81" s="149">
        <f t="shared" si="105"/>
        <v>-558.75849999999991</v>
      </c>
      <c r="AK81" s="149">
        <f t="shared" si="105"/>
        <v>-537.56350000000009</v>
      </c>
      <c r="AL81" s="149">
        <f>AL21-AM21</f>
        <v>-529.26549999999986</v>
      </c>
      <c r="AM81" s="270">
        <v>-304.43700000000001</v>
      </c>
      <c r="AN81" s="149">
        <v>-366.14900000000011</v>
      </c>
      <c r="AO81" s="149">
        <v>-358.35899999999992</v>
      </c>
      <c r="AP81" s="149">
        <v>-349.37600000000003</v>
      </c>
      <c r="AQ81" s="149">
        <v>-322.12200000000001</v>
      </c>
      <c r="AR81" s="149">
        <v>-353.45100000000014</v>
      </c>
      <c r="AS81" s="149">
        <v>-304.63899999999995</v>
      </c>
      <c r="AT81" s="149">
        <v>-255.01500000000001</v>
      </c>
      <c r="AU81" s="149">
        <v>-217.833</v>
      </c>
      <c r="AV81" s="22">
        <v>-193.91600000000005</v>
      </c>
      <c r="AW81" s="22">
        <v>-208.44399999999996</v>
      </c>
      <c r="AX81" s="22">
        <v>-152.15300000000002</v>
      </c>
      <c r="AY81" s="22">
        <v>-175.51499999999999</v>
      </c>
      <c r="AZ81" s="22">
        <v>-240.17700000000002</v>
      </c>
      <c r="BA81" s="22">
        <v>-164.233</v>
      </c>
      <c r="BB81" s="22">
        <v>-156.44800000000004</v>
      </c>
      <c r="BC81" s="22">
        <v>-139.08699999999999</v>
      </c>
      <c r="BD81" s="22">
        <v>-133.14800000000002</v>
      </c>
      <c r="BE81" s="22">
        <v>-154.08699999999999</v>
      </c>
      <c r="BF81" s="22">
        <v>-118.33200000000001</v>
      </c>
      <c r="BG81" s="22">
        <v>-89.021000000000001</v>
      </c>
      <c r="BH81" s="22">
        <v>-117.54199999999997</v>
      </c>
      <c r="BI81" s="22">
        <v>-96.606999999999999</v>
      </c>
      <c r="BJ81" s="22">
        <v>-112.699</v>
      </c>
      <c r="BK81" s="22">
        <v>-77.227000000000004</v>
      </c>
      <c r="BL81" s="22">
        <v>-139.21100000000001</v>
      </c>
      <c r="BM81" s="22">
        <v>-81.515000000000001</v>
      </c>
      <c r="BN81" s="22">
        <v>-100.11799999999999</v>
      </c>
      <c r="BO81" s="22">
        <v>-59.543999999999997</v>
      </c>
      <c r="BP81" s="22">
        <v>-99.551000000000002</v>
      </c>
      <c r="BQ81" s="22">
        <v>-52.776000000000003</v>
      </c>
      <c r="BR81" s="22">
        <v>-60.567999999999998</v>
      </c>
      <c r="BS81" s="22">
        <v>-79.165000000000006</v>
      </c>
    </row>
    <row r="82" spans="1:71" s="25" customFormat="1" ht="15" customHeight="1" x14ac:dyDescent="0.25">
      <c r="A82" s="74">
        <v>82</v>
      </c>
      <c r="B82" s="30" t="s">
        <v>361</v>
      </c>
      <c r="C82" s="93"/>
      <c r="D82" s="88"/>
      <c r="E82" s="94"/>
      <c r="F82" s="149">
        <f t="shared" si="100"/>
        <v>-467</v>
      </c>
      <c r="G82" s="270">
        <f t="shared" si="75"/>
        <v>-222</v>
      </c>
      <c r="H82" s="149">
        <f t="shared" si="74"/>
        <v>-349</v>
      </c>
      <c r="I82" s="149">
        <f t="shared" si="74"/>
        <v>-7</v>
      </c>
      <c r="J82" s="149">
        <f t="shared" si="101"/>
        <v>30</v>
      </c>
      <c r="K82" s="149">
        <f t="shared" si="76"/>
        <v>-16</v>
      </c>
      <c r="L82" s="149">
        <f t="shared" si="74"/>
        <v>-64</v>
      </c>
      <c r="M82" s="149">
        <f t="shared" si="74"/>
        <v>45</v>
      </c>
      <c r="N82" s="149">
        <f t="shared" si="102"/>
        <v>-4</v>
      </c>
      <c r="O82" s="149">
        <f t="shared" si="77"/>
        <v>-43</v>
      </c>
      <c r="P82" s="149">
        <f t="shared" si="89"/>
        <v>476</v>
      </c>
      <c r="Q82" s="149">
        <f t="shared" si="90"/>
        <v>32</v>
      </c>
      <c r="R82" s="149">
        <f t="shared" si="103"/>
        <v>6197</v>
      </c>
      <c r="S82" s="149">
        <f t="shared" si="104"/>
        <v>-334</v>
      </c>
      <c r="T82" s="400"/>
      <c r="U82" s="400"/>
      <c r="V82" s="400"/>
      <c r="W82" s="400"/>
      <c r="X82" s="149">
        <f t="shared" si="91"/>
        <v>-25</v>
      </c>
      <c r="Y82" s="149">
        <f t="shared" si="91"/>
        <v>-360</v>
      </c>
      <c r="Z82" s="149">
        <f t="shared" si="91"/>
        <v>-93</v>
      </c>
      <c r="AA82" s="149">
        <f t="shared" si="92"/>
        <v>105</v>
      </c>
      <c r="AB82" s="149">
        <f t="shared" si="93"/>
        <v>-170.98599999999999</v>
      </c>
      <c r="AC82" s="149">
        <f t="shared" si="93"/>
        <v>68.918999999999983</v>
      </c>
      <c r="AD82" s="149">
        <f t="shared" si="93"/>
        <v>-65.63</v>
      </c>
      <c r="AE82" s="149">
        <f t="shared" si="94"/>
        <v>202.697</v>
      </c>
      <c r="AF82" s="149">
        <f t="shared" si="95"/>
        <v>-104.869</v>
      </c>
      <c r="AG82" s="149">
        <f t="shared" si="95"/>
        <v>23.486999999999995</v>
      </c>
      <c r="AH82" s="149">
        <f t="shared" si="95"/>
        <v>-1.3760000000000048</v>
      </c>
      <c r="AI82" s="149">
        <f t="shared" si="96"/>
        <v>-89.367999999999995</v>
      </c>
      <c r="AJ82" s="149">
        <f t="shared" si="105"/>
        <v>-44.253000000000014</v>
      </c>
      <c r="AK82" s="149">
        <f t="shared" si="105"/>
        <v>-45.927999999999997</v>
      </c>
      <c r="AL82" s="149">
        <f>AL22-AM22</f>
        <v>104.738</v>
      </c>
      <c r="AM82" s="270">
        <v>-217.71299999999999</v>
      </c>
      <c r="AN82" s="149">
        <v>3.4729999999999563</v>
      </c>
      <c r="AO82" s="149">
        <v>-38.264999999999986</v>
      </c>
      <c r="AP82" s="149">
        <f>AP22-AQ22</f>
        <v>-361.46</v>
      </c>
      <c r="AQ82" s="149">
        <v>-64.02600000000001</v>
      </c>
      <c r="AR82" s="149">
        <v>-260.01499999999999</v>
      </c>
      <c r="AS82" s="149">
        <v>-3.8530000000000086</v>
      </c>
      <c r="AT82" s="149">
        <v>-236.19399999999999</v>
      </c>
      <c r="AU82" s="149">
        <v>-207.17699999999999</v>
      </c>
      <c r="AV82" s="22">
        <v>-38.847000000000008</v>
      </c>
      <c r="AW82" s="22">
        <v>-90.50200000000001</v>
      </c>
      <c r="AX82" s="22">
        <v>-5.3259999999999996</v>
      </c>
      <c r="AY82" s="22">
        <v>-0.22600000000000001</v>
      </c>
      <c r="AZ82" s="22">
        <v>2.1889999999999947</v>
      </c>
      <c r="BA82" s="22">
        <v>45.126000000000005</v>
      </c>
      <c r="BB82" s="22">
        <v>-44.628</v>
      </c>
      <c r="BC82" s="22">
        <v>6.1630000000000003</v>
      </c>
      <c r="BD82" s="22">
        <v>77.572999999999993</v>
      </c>
      <c r="BE82" s="22">
        <v>38.953000000000003</v>
      </c>
      <c r="BF82" s="22">
        <v>53.756</v>
      </c>
      <c r="BG82" s="22">
        <v>-17.074999999999999</v>
      </c>
      <c r="BH82" s="22">
        <v>53.103999999999999</v>
      </c>
      <c r="BI82" s="22">
        <v>-8.7729999999999997</v>
      </c>
      <c r="BJ82" s="22">
        <v>-31.684999999999999</v>
      </c>
      <c r="BK82" s="22">
        <v>16.3</v>
      </c>
      <c r="BL82" s="22">
        <v>116.901</v>
      </c>
      <c r="BM82" s="22">
        <v>-79.106999999999999</v>
      </c>
      <c r="BN82" s="22">
        <v>-137.203</v>
      </c>
      <c r="BO82" s="22">
        <v>-5.851</v>
      </c>
      <c r="BP82" s="22">
        <v>69.426000000000002</v>
      </c>
      <c r="BQ82" s="22">
        <v>-25.876000000000001</v>
      </c>
      <c r="BR82" s="22">
        <v>5.4930000000000003</v>
      </c>
      <c r="BS82" s="22">
        <v>11.675000000000001</v>
      </c>
    </row>
    <row r="83" spans="1:71" s="25" customFormat="1" ht="15" customHeight="1" x14ac:dyDescent="0.25">
      <c r="A83" s="74">
        <v>83</v>
      </c>
      <c r="B83" s="30" t="s">
        <v>399</v>
      </c>
      <c r="C83" s="93"/>
      <c r="D83" s="88"/>
      <c r="E83" s="94"/>
      <c r="F83" s="149">
        <f t="shared" si="100"/>
        <v>63</v>
      </c>
      <c r="G83" s="270">
        <f t="shared" si="75"/>
        <v>0</v>
      </c>
      <c r="H83" s="149">
        <f t="shared" si="74"/>
        <v>21</v>
      </c>
      <c r="I83" s="149">
        <f t="shared" si="74"/>
        <v>3</v>
      </c>
      <c r="J83" s="149">
        <f t="shared" si="101"/>
        <v>2</v>
      </c>
      <c r="K83" s="149">
        <f t="shared" si="76"/>
        <v>0</v>
      </c>
      <c r="L83" s="149">
        <f t="shared" si="74"/>
        <v>0</v>
      </c>
      <c r="M83" s="149">
        <f t="shared" si="74"/>
        <v>8</v>
      </c>
      <c r="N83" s="149">
        <f t="shared" si="102"/>
        <v>12</v>
      </c>
      <c r="O83" s="149">
        <f t="shared" si="77"/>
        <v>0</v>
      </c>
      <c r="P83" s="149">
        <f t="shared" si="89"/>
        <v>2</v>
      </c>
      <c r="Q83" s="149">
        <f t="shared" si="90"/>
        <v>4</v>
      </c>
      <c r="R83" s="149">
        <f t="shared" si="103"/>
        <v>1</v>
      </c>
      <c r="S83" s="149">
        <f t="shared" si="104"/>
        <v>2</v>
      </c>
      <c r="T83" s="400"/>
      <c r="U83" s="400"/>
      <c r="V83" s="400"/>
      <c r="W83" s="400"/>
      <c r="X83" s="149">
        <f t="shared" si="91"/>
        <v>1</v>
      </c>
      <c r="Y83" s="149">
        <f t="shared" si="91"/>
        <v>7</v>
      </c>
      <c r="Z83" s="149">
        <f t="shared" si="91"/>
        <v>23</v>
      </c>
      <c r="AA83" s="149">
        <f t="shared" si="92"/>
        <v>128</v>
      </c>
      <c r="AB83" s="149">
        <f t="shared" ref="AB83:AC85" si="106">AB23-AC23</f>
        <v>349</v>
      </c>
      <c r="AC83" s="149">
        <f t="shared" si="106"/>
        <v>0</v>
      </c>
      <c r="AD83" s="149"/>
      <c r="AE83" s="149"/>
      <c r="AF83" s="149">
        <f t="shared" si="95"/>
        <v>-49.539000000000001</v>
      </c>
      <c r="AG83" s="149">
        <f t="shared" si="95"/>
        <v>0</v>
      </c>
      <c r="AH83" s="149">
        <f t="shared" si="95"/>
        <v>0</v>
      </c>
      <c r="AI83" s="149">
        <f t="shared" si="96"/>
        <v>0</v>
      </c>
      <c r="AJ83" s="149">
        <v>-2</v>
      </c>
      <c r="AK83" s="149">
        <v>-1</v>
      </c>
      <c r="AL83" s="149">
        <v>0</v>
      </c>
      <c r="AM83" s="270">
        <v>0</v>
      </c>
      <c r="AN83" s="149">
        <v>0</v>
      </c>
      <c r="AO83" s="149">
        <v>0</v>
      </c>
      <c r="AP83" s="149">
        <v>0</v>
      </c>
      <c r="AQ83" s="149">
        <v>0</v>
      </c>
      <c r="AR83" s="149">
        <v>0</v>
      </c>
      <c r="AS83" s="149">
        <v>0</v>
      </c>
      <c r="AT83" s="149">
        <v>0</v>
      </c>
      <c r="AU83" s="149">
        <v>0</v>
      </c>
      <c r="AV83" s="22">
        <v>0</v>
      </c>
      <c r="AW83" s="22"/>
      <c r="AX83" s="22"/>
      <c r="AY83" s="164"/>
      <c r="AZ83" s="164"/>
      <c r="BA83" s="22"/>
      <c r="BB83" s="22"/>
      <c r="BC83" s="22"/>
      <c r="BD83" s="22"/>
      <c r="BE83" s="22"/>
      <c r="BF83" s="22"/>
      <c r="BG83" s="22"/>
      <c r="BH83" s="22"/>
      <c r="BI83" s="22">
        <v>214.19900000000001</v>
      </c>
      <c r="BJ83" s="22"/>
      <c r="BK83" s="22"/>
      <c r="BL83" s="22"/>
      <c r="BM83" s="22"/>
      <c r="BN83" s="22"/>
      <c r="BO83" s="22"/>
    </row>
    <row r="84" spans="1:71" s="25" customFormat="1" x14ac:dyDescent="0.25">
      <c r="A84" s="74">
        <v>84</v>
      </c>
      <c r="B84" s="148" t="s">
        <v>360</v>
      </c>
      <c r="C84" s="93"/>
      <c r="D84" s="88"/>
      <c r="E84" s="94"/>
      <c r="F84" s="149">
        <f t="shared" si="100"/>
        <v>35</v>
      </c>
      <c r="G84" s="270">
        <f t="shared" si="75"/>
        <v>417</v>
      </c>
      <c r="H84" s="149">
        <f t="shared" si="74"/>
        <v>587</v>
      </c>
      <c r="I84" s="149">
        <f t="shared" si="101"/>
        <v>718</v>
      </c>
      <c r="J84" s="149">
        <f t="shared" si="101"/>
        <v>-1201</v>
      </c>
      <c r="K84" s="149">
        <f t="shared" si="76"/>
        <v>-29</v>
      </c>
      <c r="L84" s="149">
        <f t="shared" si="74"/>
        <v>-238</v>
      </c>
      <c r="M84" s="149">
        <f t="shared" si="74"/>
        <v>-143</v>
      </c>
      <c r="N84" s="149">
        <f t="shared" si="102"/>
        <v>1</v>
      </c>
      <c r="O84" s="149">
        <f t="shared" si="77"/>
        <v>-17</v>
      </c>
      <c r="P84" s="149">
        <f t="shared" si="89"/>
        <v>-380</v>
      </c>
      <c r="Q84" s="149">
        <f t="shared" si="90"/>
        <v>-594</v>
      </c>
      <c r="R84" s="149">
        <f t="shared" si="103"/>
        <v>-54</v>
      </c>
      <c r="S84" s="149">
        <f t="shared" si="104"/>
        <v>-53</v>
      </c>
      <c r="T84" s="400"/>
      <c r="U84" s="400"/>
      <c r="V84" s="400"/>
      <c r="W84" s="400"/>
      <c r="X84" s="149">
        <f t="shared" si="91"/>
        <v>71</v>
      </c>
      <c r="Y84" s="149">
        <f t="shared" si="91"/>
        <v>168</v>
      </c>
      <c r="Z84" s="149">
        <f t="shared" si="91"/>
        <v>-15</v>
      </c>
      <c r="AA84" s="149">
        <f t="shared" si="92"/>
        <v>-60</v>
      </c>
      <c r="AB84" s="149">
        <f t="shared" si="106"/>
        <v>8.6239999999999952</v>
      </c>
      <c r="AC84" s="149">
        <f t="shared" si="106"/>
        <v>15.486999999999995</v>
      </c>
      <c r="AD84" s="149">
        <f>AD24-AE24</f>
        <v>-127.262</v>
      </c>
      <c r="AE84" s="149">
        <f>AE24</f>
        <v>-37.848999999999997</v>
      </c>
      <c r="AF84" s="149">
        <f t="shared" si="95"/>
        <v>103.85599999999999</v>
      </c>
      <c r="AG84" s="149">
        <f t="shared" si="95"/>
        <v>0</v>
      </c>
      <c r="AH84" s="149">
        <f t="shared" si="95"/>
        <v>0</v>
      </c>
      <c r="AI84" s="149">
        <f t="shared" si="96"/>
        <v>0</v>
      </c>
      <c r="AJ84" s="149">
        <f t="shared" ref="AJ84:AL99" si="107">AJ24-AK24</f>
        <v>0</v>
      </c>
      <c r="AK84" s="149">
        <f t="shared" si="107"/>
        <v>204.27699999999999</v>
      </c>
      <c r="AL84" s="149">
        <f t="shared" si="107"/>
        <v>382.23399999999998</v>
      </c>
      <c r="AM84" s="270">
        <f t="shared" ref="AM84:AM98" si="108">AM24</f>
        <v>0</v>
      </c>
      <c r="AN84" s="149"/>
      <c r="AO84" s="149"/>
      <c r="AP84" s="149"/>
      <c r="AQ84" s="149"/>
      <c r="AR84" s="149"/>
      <c r="AS84" s="149"/>
      <c r="AT84" s="149"/>
      <c r="AU84" s="149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</row>
    <row r="85" spans="1:71" s="25" customFormat="1" ht="26.25" x14ac:dyDescent="0.25">
      <c r="A85" s="74">
        <v>85</v>
      </c>
      <c r="B85" s="148" t="s">
        <v>385</v>
      </c>
      <c r="C85" s="93"/>
      <c r="D85" s="88"/>
      <c r="E85" s="94"/>
      <c r="F85" s="149">
        <f t="shared" si="100"/>
        <v>0</v>
      </c>
      <c r="G85" s="270">
        <f t="shared" si="75"/>
        <v>0</v>
      </c>
      <c r="H85" s="149"/>
      <c r="I85" s="149">
        <f t="shared" si="101"/>
        <v>0</v>
      </c>
      <c r="J85" s="149">
        <f t="shared" si="101"/>
        <v>0</v>
      </c>
      <c r="K85" s="149">
        <f t="shared" ref="K85" si="109">K25</f>
        <v>0</v>
      </c>
      <c r="L85" s="149"/>
      <c r="M85" s="149"/>
      <c r="N85" s="149"/>
      <c r="O85" s="149"/>
      <c r="P85" s="149"/>
      <c r="Q85" s="149"/>
      <c r="R85" s="149"/>
      <c r="S85" s="149"/>
      <c r="T85" s="400"/>
      <c r="U85" s="400"/>
      <c r="V85" s="400"/>
      <c r="W85" s="400"/>
      <c r="X85" s="149"/>
      <c r="Y85" s="149"/>
      <c r="Z85" s="149"/>
      <c r="AA85" s="149"/>
      <c r="AB85" s="149">
        <f t="shared" si="106"/>
        <v>2.2200000000000002</v>
      </c>
      <c r="AC85" s="149">
        <f t="shared" si="106"/>
        <v>-2.2200000000000002</v>
      </c>
      <c r="AD85" s="149"/>
      <c r="AE85" s="149"/>
      <c r="AF85" s="149">
        <f t="shared" si="95"/>
        <v>-79.801999999999992</v>
      </c>
      <c r="AG85" s="149">
        <f t="shared" si="95"/>
        <v>-1.0000000000047748E-3</v>
      </c>
      <c r="AH85" s="149">
        <f t="shared" si="95"/>
        <v>-255.529</v>
      </c>
      <c r="AI85" s="149">
        <f t="shared" si="96"/>
        <v>0</v>
      </c>
      <c r="AJ85" s="149">
        <f t="shared" si="107"/>
        <v>0</v>
      </c>
      <c r="AK85" s="149">
        <f t="shared" si="107"/>
        <v>0</v>
      </c>
      <c r="AL85" s="149">
        <f t="shared" si="107"/>
        <v>0</v>
      </c>
      <c r="AM85" s="270">
        <f t="shared" si="108"/>
        <v>0</v>
      </c>
      <c r="AN85" s="149"/>
      <c r="AO85" s="149"/>
      <c r="AP85" s="149"/>
      <c r="AQ85" s="149"/>
      <c r="AR85" s="149"/>
      <c r="AS85" s="149"/>
      <c r="AT85" s="149"/>
      <c r="AU85" s="149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</row>
    <row r="86" spans="1:71" s="25" customFormat="1" x14ac:dyDescent="0.25">
      <c r="A86" s="74">
        <v>86</v>
      </c>
      <c r="B86" s="148" t="s">
        <v>374</v>
      </c>
      <c r="C86" s="93"/>
      <c r="D86" s="88"/>
      <c r="E86" s="94"/>
      <c r="F86" s="149">
        <f t="shared" si="100"/>
        <v>0</v>
      </c>
      <c r="G86" s="270">
        <f t="shared" si="75"/>
        <v>0</v>
      </c>
      <c r="H86" s="149"/>
      <c r="I86" s="149">
        <f t="shared" si="101"/>
        <v>0</v>
      </c>
      <c r="J86" s="149">
        <f t="shared" si="101"/>
        <v>0</v>
      </c>
      <c r="K86" s="149">
        <f t="shared" ref="K86" si="110">K26</f>
        <v>0</v>
      </c>
      <c r="L86" s="149"/>
      <c r="M86" s="149"/>
      <c r="N86" s="149"/>
      <c r="O86" s="149"/>
      <c r="P86" s="149"/>
      <c r="Q86" s="149"/>
      <c r="R86" s="149"/>
      <c r="S86" s="149"/>
      <c r="T86" s="400"/>
      <c r="U86" s="400"/>
      <c r="V86" s="400"/>
      <c r="W86" s="400"/>
      <c r="X86" s="149"/>
      <c r="Y86" s="149"/>
      <c r="Z86" s="149"/>
      <c r="AA86" s="149"/>
      <c r="AB86" s="149"/>
      <c r="AC86" s="149">
        <f t="shared" ref="AC86:AC99" si="111">AC26-AD26</f>
        <v>0</v>
      </c>
      <c r="AD86" s="149"/>
      <c r="AE86" s="149"/>
      <c r="AF86" s="149">
        <f t="shared" si="95"/>
        <v>0</v>
      </c>
      <c r="AG86" s="149">
        <f t="shared" si="95"/>
        <v>0</v>
      </c>
      <c r="AH86" s="149">
        <f t="shared" si="95"/>
        <v>0</v>
      </c>
      <c r="AI86" s="149">
        <f t="shared" si="96"/>
        <v>0</v>
      </c>
      <c r="AJ86" s="149">
        <f t="shared" si="107"/>
        <v>0</v>
      </c>
      <c r="AK86" s="149">
        <f t="shared" si="107"/>
        <v>-47.634999999999998</v>
      </c>
      <c r="AL86" s="149">
        <f t="shared" si="107"/>
        <v>0</v>
      </c>
      <c r="AM86" s="270">
        <f t="shared" si="108"/>
        <v>0</v>
      </c>
      <c r="AN86" s="149"/>
      <c r="AO86" s="149"/>
      <c r="AP86" s="149"/>
      <c r="AQ86" s="149"/>
      <c r="AR86" s="149"/>
      <c r="AS86" s="149"/>
      <c r="AT86" s="149"/>
      <c r="AU86" s="149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</row>
    <row r="87" spans="1:71" s="25" customFormat="1" ht="15" customHeight="1" x14ac:dyDescent="0.25">
      <c r="A87" s="74">
        <v>87</v>
      </c>
      <c r="B87" s="30" t="s">
        <v>358</v>
      </c>
      <c r="C87" s="93"/>
      <c r="D87" s="88"/>
      <c r="E87" s="94"/>
      <c r="F87" s="149">
        <f t="shared" si="100"/>
        <v>0</v>
      </c>
      <c r="G87" s="270">
        <f t="shared" si="75"/>
        <v>0</v>
      </c>
      <c r="H87" s="149"/>
      <c r="I87" s="149">
        <f t="shared" si="101"/>
        <v>0</v>
      </c>
      <c r="J87" s="149">
        <f t="shared" si="101"/>
        <v>0</v>
      </c>
      <c r="K87" s="149">
        <f t="shared" ref="K87" si="112">K27</f>
        <v>0</v>
      </c>
      <c r="L87" s="149"/>
      <c r="M87" s="149"/>
      <c r="N87" s="149"/>
      <c r="O87" s="149"/>
      <c r="P87" s="149"/>
      <c r="Q87" s="149"/>
      <c r="R87" s="149"/>
      <c r="S87" s="149"/>
      <c r="T87" s="400"/>
      <c r="U87" s="400"/>
      <c r="V87" s="400"/>
      <c r="W87" s="400"/>
      <c r="X87" s="149"/>
      <c r="Y87" s="149"/>
      <c r="Z87" s="149"/>
      <c r="AA87" s="149"/>
      <c r="AB87" s="149">
        <f>AB27-AC27</f>
        <v>0</v>
      </c>
      <c r="AC87" s="149">
        <f t="shared" si="111"/>
        <v>0</v>
      </c>
      <c r="AD87" s="149"/>
      <c r="AE87" s="149"/>
      <c r="AF87" s="149">
        <f t="shared" si="95"/>
        <v>0</v>
      </c>
      <c r="AG87" s="149">
        <f t="shared" si="95"/>
        <v>0</v>
      </c>
      <c r="AH87" s="149">
        <f t="shared" si="95"/>
        <v>0</v>
      </c>
      <c r="AI87" s="149">
        <f t="shared" si="96"/>
        <v>0</v>
      </c>
      <c r="AJ87" s="149">
        <f t="shared" si="107"/>
        <v>-1228.7600000000002</v>
      </c>
      <c r="AK87" s="149">
        <f t="shared" si="107"/>
        <v>0</v>
      </c>
      <c r="AL87" s="149">
        <f t="shared" si="107"/>
        <v>64.302999999999997</v>
      </c>
      <c r="AM87" s="270">
        <f t="shared" si="108"/>
        <v>0</v>
      </c>
      <c r="AN87" s="149">
        <v>-308.99299999999999</v>
      </c>
      <c r="AO87" s="149"/>
      <c r="AP87" s="149"/>
      <c r="AQ87" s="149"/>
      <c r="AR87" s="149">
        <v>579.54899999999998</v>
      </c>
      <c r="AS87" s="149">
        <v>-250.00100000000003</v>
      </c>
      <c r="AT87" s="149">
        <v>-348.01799999999997</v>
      </c>
      <c r="AU87" s="149"/>
      <c r="AV87" s="22"/>
      <c r="AW87" s="22"/>
      <c r="AX87" s="22"/>
      <c r="AY87" s="164"/>
      <c r="AZ87" s="164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>
        <v>-4.0000000000000001E-3</v>
      </c>
      <c r="BQ87" s="22"/>
      <c r="BR87" s="22">
        <v>4.0000000000000001E-3</v>
      </c>
      <c r="BS87" s="22">
        <v>-213.79900000000001</v>
      </c>
    </row>
    <row r="88" spans="1:71" s="25" customFormat="1" ht="15" customHeight="1" x14ac:dyDescent="0.25">
      <c r="A88" s="74">
        <v>88</v>
      </c>
      <c r="B88" s="30" t="s">
        <v>359</v>
      </c>
      <c r="C88" s="93"/>
      <c r="D88" s="88"/>
      <c r="E88" s="94"/>
      <c r="F88" s="149">
        <f t="shared" si="100"/>
        <v>0</v>
      </c>
      <c r="G88" s="270">
        <f t="shared" si="75"/>
        <v>0</v>
      </c>
      <c r="H88" s="149"/>
      <c r="I88" s="149">
        <f t="shared" si="101"/>
        <v>0</v>
      </c>
      <c r="J88" s="149">
        <f t="shared" si="101"/>
        <v>0</v>
      </c>
      <c r="K88" s="149">
        <f t="shared" ref="K88" si="113">K28</f>
        <v>0</v>
      </c>
      <c r="L88" s="149"/>
      <c r="M88" s="149"/>
      <c r="N88" s="149"/>
      <c r="O88" s="149"/>
      <c r="P88" s="149"/>
      <c r="Q88" s="149"/>
      <c r="R88" s="149"/>
      <c r="S88" s="149"/>
      <c r="T88" s="400"/>
      <c r="U88" s="400"/>
      <c r="V88" s="400"/>
      <c r="W88" s="400"/>
      <c r="X88" s="149"/>
      <c r="Y88" s="149"/>
      <c r="Z88" s="149"/>
      <c r="AA88" s="149"/>
      <c r="AB88" s="149"/>
      <c r="AC88" s="149">
        <f t="shared" si="111"/>
        <v>0</v>
      </c>
      <c r="AD88" s="149"/>
      <c r="AE88" s="149"/>
      <c r="AF88" s="149">
        <f t="shared" si="95"/>
        <v>0</v>
      </c>
      <c r="AG88" s="149">
        <f t="shared" si="95"/>
        <v>0</v>
      </c>
      <c r="AH88" s="149">
        <f t="shared" si="95"/>
        <v>0</v>
      </c>
      <c r="AI88" s="149">
        <f t="shared" si="96"/>
        <v>0</v>
      </c>
      <c r="AJ88" s="149">
        <f t="shared" si="107"/>
        <v>-8.6340000000000003</v>
      </c>
      <c r="AK88" s="149">
        <f t="shared" si="107"/>
        <v>-44.387999999999998</v>
      </c>
      <c r="AL88" s="149">
        <f t="shared" si="107"/>
        <v>53.021999999999998</v>
      </c>
      <c r="AM88" s="270">
        <f t="shared" si="108"/>
        <v>0</v>
      </c>
      <c r="AN88" s="149"/>
      <c r="AO88" s="149"/>
      <c r="AP88" s="149"/>
      <c r="AQ88" s="149"/>
      <c r="AR88" s="149"/>
      <c r="AS88" s="149"/>
      <c r="AT88" s="149"/>
      <c r="AU88" s="149"/>
      <c r="AV88" s="22"/>
      <c r="AW88" s="22"/>
      <c r="AX88" s="22"/>
      <c r="AY88" s="164"/>
      <c r="AZ88" s="164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</row>
    <row r="89" spans="1:71" s="25" customFormat="1" ht="15" customHeight="1" x14ac:dyDescent="0.25">
      <c r="A89" s="74">
        <v>89</v>
      </c>
      <c r="B89" s="30" t="s">
        <v>277</v>
      </c>
      <c r="C89" s="93"/>
      <c r="D89" s="88"/>
      <c r="E89" s="94"/>
      <c r="F89" s="149">
        <f t="shared" si="100"/>
        <v>0</v>
      </c>
      <c r="G89" s="270">
        <f t="shared" si="75"/>
        <v>0</v>
      </c>
      <c r="H89" s="149"/>
      <c r="I89" s="149">
        <f t="shared" si="101"/>
        <v>0</v>
      </c>
      <c r="J89" s="149">
        <f t="shared" si="101"/>
        <v>0</v>
      </c>
      <c r="K89" s="149">
        <f t="shared" ref="K89" si="114">K29</f>
        <v>0</v>
      </c>
      <c r="L89" s="149"/>
      <c r="M89" s="149"/>
      <c r="N89" s="149"/>
      <c r="O89" s="149"/>
      <c r="P89" s="149"/>
      <c r="Q89" s="149"/>
      <c r="R89" s="149"/>
      <c r="S89" s="149"/>
      <c r="T89" s="400"/>
      <c r="U89" s="400"/>
      <c r="V89" s="400"/>
      <c r="W89" s="400"/>
      <c r="X89" s="149"/>
      <c r="Y89" s="149"/>
      <c r="Z89" s="149"/>
      <c r="AA89" s="149"/>
      <c r="AB89" s="149"/>
      <c r="AC89" s="149">
        <f t="shared" si="111"/>
        <v>0</v>
      </c>
      <c r="AD89" s="149"/>
      <c r="AE89" s="149"/>
      <c r="AF89" s="149">
        <f t="shared" si="95"/>
        <v>0</v>
      </c>
      <c r="AG89" s="149">
        <f t="shared" si="95"/>
        <v>0</v>
      </c>
      <c r="AH89" s="149">
        <f t="shared" si="95"/>
        <v>0</v>
      </c>
      <c r="AI89" s="149">
        <f t="shared" si="96"/>
        <v>0</v>
      </c>
      <c r="AJ89" s="149">
        <f t="shared" si="107"/>
        <v>0</v>
      </c>
      <c r="AK89" s="149">
        <f t="shared" si="107"/>
        <v>0</v>
      </c>
      <c r="AL89" s="149">
        <f t="shared" si="107"/>
        <v>0</v>
      </c>
      <c r="AM89" s="270">
        <f t="shared" si="108"/>
        <v>0</v>
      </c>
      <c r="AN89" s="149"/>
      <c r="AO89" s="149"/>
      <c r="AP89" s="149"/>
      <c r="AQ89" s="149"/>
      <c r="AR89" s="149">
        <v>-261.01400000000001</v>
      </c>
      <c r="AS89" s="149"/>
      <c r="AT89" s="149"/>
      <c r="AU89" s="149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</row>
    <row r="90" spans="1:71" s="25" customFormat="1" ht="15" customHeight="1" x14ac:dyDescent="0.25">
      <c r="A90" s="74">
        <v>90</v>
      </c>
      <c r="B90" s="30" t="s">
        <v>224</v>
      </c>
      <c r="C90" s="93"/>
      <c r="D90" s="88"/>
      <c r="E90" s="94"/>
      <c r="F90" s="149">
        <f t="shared" si="100"/>
        <v>0</v>
      </c>
      <c r="G90" s="270">
        <f t="shared" si="75"/>
        <v>0</v>
      </c>
      <c r="H90" s="149"/>
      <c r="I90" s="149">
        <f t="shared" si="101"/>
        <v>0</v>
      </c>
      <c r="J90" s="149">
        <f t="shared" si="101"/>
        <v>0</v>
      </c>
      <c r="K90" s="149">
        <f t="shared" ref="K90" si="115">K30</f>
        <v>0</v>
      </c>
      <c r="L90" s="149"/>
      <c r="M90" s="149"/>
      <c r="N90" s="149"/>
      <c r="O90" s="149"/>
      <c r="P90" s="149"/>
      <c r="Q90" s="149"/>
      <c r="R90" s="149"/>
      <c r="S90" s="149"/>
      <c r="T90" s="400"/>
      <c r="U90" s="400"/>
      <c r="V90" s="400"/>
      <c r="W90" s="400"/>
      <c r="X90" s="149"/>
      <c r="Y90" s="149"/>
      <c r="Z90" s="149"/>
      <c r="AA90" s="149"/>
      <c r="AB90" s="149"/>
      <c r="AC90" s="149">
        <f t="shared" si="111"/>
        <v>0</v>
      </c>
      <c r="AD90" s="149"/>
      <c r="AE90" s="149"/>
      <c r="AF90" s="149">
        <f t="shared" si="95"/>
        <v>0</v>
      </c>
      <c r="AG90" s="149">
        <f t="shared" si="95"/>
        <v>0</v>
      </c>
      <c r="AH90" s="149">
        <f t="shared" si="95"/>
        <v>0</v>
      </c>
      <c r="AI90" s="149">
        <f t="shared" si="96"/>
        <v>0</v>
      </c>
      <c r="AJ90" s="149">
        <f t="shared" si="107"/>
        <v>0</v>
      </c>
      <c r="AK90" s="149">
        <f t="shared" si="107"/>
        <v>0</v>
      </c>
      <c r="AL90" s="149">
        <f t="shared" si="107"/>
        <v>0</v>
      </c>
      <c r="AM90" s="270">
        <f t="shared" si="108"/>
        <v>0</v>
      </c>
      <c r="AN90" s="149"/>
      <c r="AO90" s="149"/>
      <c r="AP90" s="149"/>
      <c r="AQ90" s="149">
        <v>0</v>
      </c>
      <c r="AR90" s="149">
        <v>0</v>
      </c>
      <c r="AS90" s="149">
        <v>0</v>
      </c>
      <c r="AT90" s="149">
        <v>0</v>
      </c>
      <c r="AU90" s="149">
        <v>0</v>
      </c>
      <c r="AV90" s="22">
        <v>0</v>
      </c>
      <c r="AW90" s="22">
        <v>0</v>
      </c>
      <c r="AX90" s="22">
        <v>0</v>
      </c>
      <c r="AY90" s="22"/>
      <c r="AZ90" s="22"/>
      <c r="BA90" s="22"/>
      <c r="BB90" s="22"/>
      <c r="BC90" s="22"/>
      <c r="BD90" s="22">
        <v>18.294</v>
      </c>
      <c r="BE90" s="22">
        <v>-13.067</v>
      </c>
      <c r="BF90" s="22"/>
      <c r="BG90" s="22">
        <v>-5.2270000000000003</v>
      </c>
      <c r="BH90" s="22"/>
      <c r="BI90" s="22"/>
      <c r="BJ90" s="22"/>
      <c r="BK90" s="22"/>
      <c r="BL90" s="22">
        <v>0.104</v>
      </c>
      <c r="BM90" s="22">
        <v>-1.9850000000000001</v>
      </c>
      <c r="BN90" s="22">
        <v>-1.6E-2</v>
      </c>
      <c r="BO90" s="22">
        <v>1.6E-2</v>
      </c>
      <c r="BP90" s="22">
        <v>-1.6E-2</v>
      </c>
      <c r="BQ90" s="22">
        <v>1.4999999999999999E-2</v>
      </c>
      <c r="BR90" s="22">
        <v>2.1999999999999999E-2</v>
      </c>
      <c r="BS90" s="22">
        <v>0.502</v>
      </c>
    </row>
    <row r="91" spans="1:71" s="25" customFormat="1" ht="15" customHeight="1" x14ac:dyDescent="0.25">
      <c r="A91" s="74">
        <v>91</v>
      </c>
      <c r="B91" s="148" t="s">
        <v>289</v>
      </c>
      <c r="C91" s="93"/>
      <c r="D91" s="88"/>
      <c r="E91" s="94"/>
      <c r="F91" s="149">
        <f t="shared" si="100"/>
        <v>0</v>
      </c>
      <c r="G91" s="270">
        <f t="shared" si="75"/>
        <v>0</v>
      </c>
      <c r="H91" s="149"/>
      <c r="I91" s="149">
        <f t="shared" si="101"/>
        <v>0</v>
      </c>
      <c r="J91" s="149">
        <f t="shared" si="101"/>
        <v>0</v>
      </c>
      <c r="K91" s="149">
        <f t="shared" ref="K91" si="116">K31</f>
        <v>0</v>
      </c>
      <c r="L91" s="149"/>
      <c r="M91" s="149"/>
      <c r="N91" s="149"/>
      <c r="O91" s="149"/>
      <c r="P91" s="149"/>
      <c r="Q91" s="149"/>
      <c r="R91" s="149"/>
      <c r="S91" s="149"/>
      <c r="T91" s="400"/>
      <c r="U91" s="400"/>
      <c r="V91" s="400"/>
      <c r="W91" s="400"/>
      <c r="X91" s="149"/>
      <c r="Y91" s="149"/>
      <c r="Z91" s="149"/>
      <c r="AA91" s="149"/>
      <c r="AB91" s="149"/>
      <c r="AC91" s="149">
        <f t="shared" si="111"/>
        <v>0</v>
      </c>
      <c r="AD91" s="149"/>
      <c r="AE91" s="149"/>
      <c r="AF91" s="149">
        <f t="shared" si="95"/>
        <v>0</v>
      </c>
      <c r="AG91" s="149">
        <f t="shared" si="95"/>
        <v>0</v>
      </c>
      <c r="AH91" s="149">
        <f t="shared" si="95"/>
        <v>0</v>
      </c>
      <c r="AI91" s="149">
        <f t="shared" si="96"/>
        <v>0</v>
      </c>
      <c r="AJ91" s="149">
        <f t="shared" si="107"/>
        <v>0</v>
      </c>
      <c r="AK91" s="149">
        <f t="shared" si="107"/>
        <v>0</v>
      </c>
      <c r="AL91" s="149">
        <f t="shared" si="107"/>
        <v>0</v>
      </c>
      <c r="AM91" s="270">
        <f t="shared" si="108"/>
        <v>0</v>
      </c>
      <c r="AN91" s="149"/>
      <c r="AO91" s="149"/>
      <c r="AP91" s="149"/>
      <c r="AQ91" s="149"/>
      <c r="AR91" s="149"/>
      <c r="AS91" s="149"/>
      <c r="AT91" s="149"/>
      <c r="AU91" s="149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</row>
    <row r="92" spans="1:71" s="25" customFormat="1" ht="27" customHeight="1" x14ac:dyDescent="0.25">
      <c r="A92" s="74">
        <v>92</v>
      </c>
      <c r="B92" s="30" t="s">
        <v>276</v>
      </c>
      <c r="C92" s="93"/>
      <c r="D92" s="88"/>
      <c r="E92" s="94"/>
      <c r="F92" s="149">
        <f t="shared" si="100"/>
        <v>0</v>
      </c>
      <c r="G92" s="270">
        <f t="shared" si="75"/>
        <v>0</v>
      </c>
      <c r="H92" s="149">
        <f>H32-I32</f>
        <v>0</v>
      </c>
      <c r="I92" s="149">
        <f t="shared" si="101"/>
        <v>0</v>
      </c>
      <c r="J92" s="149">
        <f t="shared" si="101"/>
        <v>0</v>
      </c>
      <c r="K92" s="149">
        <f t="shared" ref="K92" si="117">K32</f>
        <v>0</v>
      </c>
      <c r="L92" s="149">
        <f>L32-M32</f>
        <v>0</v>
      </c>
      <c r="M92" s="149">
        <f t="shared" ref="M92:M99" si="118">M32-N32</f>
        <v>0</v>
      </c>
      <c r="N92" s="149"/>
      <c r="O92" s="149"/>
      <c r="P92" s="149">
        <f t="shared" si="89"/>
        <v>-157</v>
      </c>
      <c r="Q92" s="149">
        <f t="shared" si="90"/>
        <v>40</v>
      </c>
      <c r="R92" s="149">
        <f>R32-S32</f>
        <v>64</v>
      </c>
      <c r="S92" s="149">
        <f>S32</f>
        <v>53</v>
      </c>
      <c r="T92" s="400"/>
      <c r="U92" s="400"/>
      <c r="V92" s="400"/>
      <c r="W92" s="400"/>
      <c r="X92" s="149"/>
      <c r="Y92" s="149"/>
      <c r="Z92" s="149"/>
      <c r="AA92" s="149"/>
      <c r="AB92" s="149"/>
      <c r="AC92" s="149">
        <f t="shared" si="111"/>
        <v>0</v>
      </c>
      <c r="AD92" s="149"/>
      <c r="AE92" s="149"/>
      <c r="AF92" s="149">
        <f t="shared" si="95"/>
        <v>0</v>
      </c>
      <c r="AG92" s="149">
        <f t="shared" si="95"/>
        <v>0</v>
      </c>
      <c r="AH92" s="149">
        <f t="shared" si="95"/>
        <v>0</v>
      </c>
      <c r="AI92" s="149">
        <f t="shared" si="96"/>
        <v>0</v>
      </c>
      <c r="AJ92" s="149">
        <f t="shared" si="107"/>
        <v>0</v>
      </c>
      <c r="AK92" s="149">
        <f t="shared" si="107"/>
        <v>0</v>
      </c>
      <c r="AL92" s="149">
        <f t="shared" si="107"/>
        <v>0</v>
      </c>
      <c r="AM92" s="270">
        <f t="shared" si="108"/>
        <v>0</v>
      </c>
      <c r="AN92" s="149"/>
      <c r="AO92" s="149"/>
      <c r="AP92" s="149"/>
      <c r="AQ92" s="149"/>
      <c r="AR92" s="149"/>
      <c r="AS92" s="149"/>
      <c r="AT92" s="149"/>
      <c r="AU92" s="149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</row>
    <row r="93" spans="1:71" s="25" customFormat="1" ht="15" customHeight="1" x14ac:dyDescent="0.25">
      <c r="A93" s="74">
        <v>93</v>
      </c>
      <c r="B93" s="30" t="s">
        <v>252</v>
      </c>
      <c r="C93" s="93"/>
      <c r="D93" s="88"/>
      <c r="E93" s="94"/>
      <c r="F93" s="149">
        <f t="shared" si="100"/>
        <v>0</v>
      </c>
      <c r="G93" s="270">
        <f t="shared" si="75"/>
        <v>0</v>
      </c>
      <c r="H93" s="149">
        <f>H33-I33</f>
        <v>-63</v>
      </c>
      <c r="I93" s="149">
        <f t="shared" si="101"/>
        <v>-80</v>
      </c>
      <c r="J93" s="149">
        <f t="shared" si="101"/>
        <v>23</v>
      </c>
      <c r="K93" s="149">
        <f t="shared" si="76"/>
        <v>752</v>
      </c>
      <c r="L93" s="149">
        <f>L33-M33</f>
        <v>16</v>
      </c>
      <c r="M93" s="149">
        <f t="shared" si="118"/>
        <v>-3</v>
      </c>
      <c r="N93" s="149"/>
      <c r="O93" s="149">
        <f t="shared" si="77"/>
        <v>0</v>
      </c>
      <c r="P93" s="149">
        <f>P33-Q33</f>
        <v>222</v>
      </c>
      <c r="Q93" s="149">
        <f t="shared" si="90"/>
        <v>-9</v>
      </c>
      <c r="R93" s="149">
        <f>R33-S33</f>
        <v>407</v>
      </c>
      <c r="S93" s="149"/>
      <c r="T93" s="400"/>
      <c r="U93" s="400"/>
      <c r="V93" s="400"/>
      <c r="W93" s="400"/>
      <c r="X93" s="149">
        <f>X33-Y33</f>
        <v>-82</v>
      </c>
      <c r="Y93" s="149">
        <f>Y33-Z33</f>
        <v>-625</v>
      </c>
      <c r="Z93" s="149">
        <f>Z33-AA33</f>
        <v>0</v>
      </c>
      <c r="AA93" s="149"/>
      <c r="AB93" s="149">
        <f>AB33-AC33</f>
        <v>-70.951000000000022</v>
      </c>
      <c r="AC93" s="149">
        <f t="shared" si="111"/>
        <v>-514.99099999999999</v>
      </c>
      <c r="AD93" s="149">
        <f>AD33-AE33</f>
        <v>-305.05799999999999</v>
      </c>
      <c r="AE93" s="149"/>
      <c r="AF93" s="149">
        <f t="shared" si="95"/>
        <v>54.658000000000001</v>
      </c>
      <c r="AG93" s="149">
        <f t="shared" si="95"/>
        <v>0.628</v>
      </c>
      <c r="AH93" s="149">
        <f t="shared" si="95"/>
        <v>0</v>
      </c>
      <c r="AI93" s="149">
        <f t="shared" si="96"/>
        <v>0</v>
      </c>
      <c r="AJ93" s="149">
        <f t="shared" si="107"/>
        <v>0</v>
      </c>
      <c r="AK93" s="149">
        <f t="shared" si="107"/>
        <v>0</v>
      </c>
      <c r="AL93" s="149">
        <f t="shared" si="107"/>
        <v>0</v>
      </c>
      <c r="AM93" s="270">
        <f t="shared" si="108"/>
        <v>0</v>
      </c>
      <c r="AN93" s="149"/>
      <c r="AO93" s="149"/>
      <c r="AP93" s="149"/>
      <c r="AQ93" s="149"/>
      <c r="AR93" s="149"/>
      <c r="AS93" s="149"/>
      <c r="AT93" s="149"/>
      <c r="AU93" s="149"/>
      <c r="AV93" s="22"/>
      <c r="AW93" s="22"/>
      <c r="AX93" s="22"/>
      <c r="AY93" s="22"/>
      <c r="AZ93" s="22">
        <v>-53.442</v>
      </c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</row>
    <row r="94" spans="1:71" s="25" customFormat="1" ht="15" customHeight="1" x14ac:dyDescent="0.25">
      <c r="A94" s="74">
        <v>94</v>
      </c>
      <c r="B94" s="30" t="s">
        <v>310</v>
      </c>
      <c r="C94" s="93"/>
      <c r="D94" s="88"/>
      <c r="E94" s="94"/>
      <c r="F94" s="149">
        <f t="shared" si="100"/>
        <v>0</v>
      </c>
      <c r="G94" s="270">
        <f t="shared" si="75"/>
        <v>0</v>
      </c>
      <c r="H94" s="149">
        <f>H34-I34</f>
        <v>0</v>
      </c>
      <c r="I94" s="149">
        <f t="shared" si="101"/>
        <v>0</v>
      </c>
      <c r="J94" s="149">
        <f t="shared" si="101"/>
        <v>0</v>
      </c>
      <c r="K94" s="149">
        <f t="shared" si="76"/>
        <v>0</v>
      </c>
      <c r="L94" s="149">
        <f>L34-M34</f>
        <v>0</v>
      </c>
      <c r="M94" s="149"/>
      <c r="N94" s="149"/>
      <c r="O94" s="149"/>
      <c r="P94" s="149">
        <f>P34-Q34</f>
        <v>0</v>
      </c>
      <c r="Q94" s="149"/>
      <c r="R94" s="149"/>
      <c r="S94" s="149"/>
      <c r="T94" s="400"/>
      <c r="U94" s="400"/>
      <c r="V94" s="400"/>
      <c r="W94" s="400"/>
      <c r="X94" s="149">
        <f>X34-Y34</f>
        <v>0</v>
      </c>
      <c r="Y94" s="149">
        <f>Y34-Z34</f>
        <v>0</v>
      </c>
      <c r="Z94" s="149"/>
      <c r="AA94" s="149"/>
      <c r="AB94" s="149"/>
      <c r="AC94" s="149">
        <f t="shared" si="111"/>
        <v>0</v>
      </c>
      <c r="AD94" s="149"/>
      <c r="AE94" s="149"/>
      <c r="AF94" s="149">
        <f t="shared" si="95"/>
        <v>0</v>
      </c>
      <c r="AG94" s="149">
        <f t="shared" si="95"/>
        <v>0</v>
      </c>
      <c r="AH94" s="149">
        <f t="shared" si="95"/>
        <v>0</v>
      </c>
      <c r="AI94" s="149">
        <f t="shared" si="96"/>
        <v>0</v>
      </c>
      <c r="AJ94" s="149">
        <f t="shared" si="107"/>
        <v>0</v>
      </c>
      <c r="AK94" s="149">
        <f t="shared" si="107"/>
        <v>0</v>
      </c>
      <c r="AL94" s="149">
        <f t="shared" si="107"/>
        <v>0</v>
      </c>
      <c r="AM94" s="270">
        <f t="shared" si="108"/>
        <v>0</v>
      </c>
      <c r="AN94" s="149">
        <v>-29.486999999999998</v>
      </c>
      <c r="AO94" s="149"/>
      <c r="AP94" s="149"/>
      <c r="AQ94" s="149"/>
      <c r="AR94" s="149">
        <v>0</v>
      </c>
      <c r="AS94" s="149">
        <v>0</v>
      </c>
      <c r="AT94" s="149">
        <v>0</v>
      </c>
      <c r="AU94" s="149">
        <v>0</v>
      </c>
      <c r="AV94" s="22">
        <v>0</v>
      </c>
      <c r="AW94" s="22"/>
      <c r="AX94" s="22"/>
      <c r="AY94" s="22"/>
      <c r="AZ94" s="22">
        <v>0.188</v>
      </c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</row>
    <row r="95" spans="1:71" s="25" customFormat="1" ht="15" customHeight="1" x14ac:dyDescent="0.25">
      <c r="A95" s="74">
        <v>95</v>
      </c>
      <c r="B95" s="30" t="s">
        <v>134</v>
      </c>
      <c r="C95" s="93"/>
      <c r="D95" s="88"/>
      <c r="E95" s="94"/>
      <c r="F95" s="149">
        <f>F35-G35</f>
        <v>0</v>
      </c>
      <c r="G95" s="270">
        <f t="shared" si="75"/>
        <v>0</v>
      </c>
      <c r="H95" s="149"/>
      <c r="I95" s="149">
        <f t="shared" si="101"/>
        <v>0</v>
      </c>
      <c r="J95" s="149">
        <f t="shared" si="101"/>
        <v>0</v>
      </c>
      <c r="K95" s="149">
        <f t="shared" si="76"/>
        <v>0</v>
      </c>
      <c r="L95" s="149"/>
      <c r="M95" s="149"/>
      <c r="N95" s="149"/>
      <c r="O95" s="149"/>
      <c r="P95" s="149"/>
      <c r="Q95" s="149"/>
      <c r="R95" s="149"/>
      <c r="S95" s="149"/>
      <c r="T95" s="400"/>
      <c r="U95" s="400"/>
      <c r="V95" s="400"/>
      <c r="W95" s="400"/>
      <c r="X95" s="149"/>
      <c r="Y95" s="149"/>
      <c r="Z95" s="149"/>
      <c r="AA95" s="149"/>
      <c r="AB95" s="149"/>
      <c r="AC95" s="149">
        <f t="shared" si="111"/>
        <v>0</v>
      </c>
      <c r="AD95" s="149"/>
      <c r="AE95" s="149"/>
      <c r="AF95" s="149">
        <f t="shared" si="95"/>
        <v>0</v>
      </c>
      <c r="AG95" s="149">
        <f t="shared" si="95"/>
        <v>0</v>
      </c>
      <c r="AH95" s="149">
        <f t="shared" si="95"/>
        <v>0</v>
      </c>
      <c r="AI95" s="149">
        <f t="shared" si="96"/>
        <v>0</v>
      </c>
      <c r="AJ95" s="149">
        <f t="shared" si="107"/>
        <v>0</v>
      </c>
      <c r="AK95" s="149">
        <f t="shared" si="107"/>
        <v>0</v>
      </c>
      <c r="AL95" s="149">
        <f t="shared" si="107"/>
        <v>0</v>
      </c>
      <c r="AM95" s="270">
        <f t="shared" si="108"/>
        <v>0</v>
      </c>
      <c r="AN95" s="149"/>
      <c r="AO95" s="149"/>
      <c r="AP95" s="149"/>
      <c r="AQ95" s="149">
        <v>0</v>
      </c>
      <c r="AR95" s="149">
        <v>0</v>
      </c>
      <c r="AS95" s="149">
        <v>0</v>
      </c>
      <c r="AT95" s="149">
        <v>0</v>
      </c>
      <c r="AU95" s="149">
        <v>0</v>
      </c>
      <c r="AV95" s="22">
        <v>0</v>
      </c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>
        <v>-1E-3</v>
      </c>
      <c r="BK95" s="22">
        <v>1E-3</v>
      </c>
      <c r="BL95" s="22">
        <v>-7.0000000000000001E-3</v>
      </c>
      <c r="BM95" s="22"/>
      <c r="BN95" s="22"/>
      <c r="BO95" s="22"/>
      <c r="BP95" s="22">
        <v>-72.626999999999995</v>
      </c>
      <c r="BQ95" s="22">
        <v>0.17799999999999999</v>
      </c>
      <c r="BR95" s="22">
        <v>5.1050000000000004</v>
      </c>
      <c r="BS95" s="22"/>
    </row>
    <row r="96" spans="1:71" s="25" customFormat="1" ht="26.25" customHeight="1" x14ac:dyDescent="0.25">
      <c r="A96" s="74">
        <v>96</v>
      </c>
      <c r="B96" s="30" t="s">
        <v>135</v>
      </c>
      <c r="C96" s="93"/>
      <c r="D96" s="88"/>
      <c r="E96" s="94"/>
      <c r="F96" s="149">
        <f t="shared" si="100"/>
        <v>0</v>
      </c>
      <c r="G96" s="270">
        <f t="shared" si="75"/>
        <v>0</v>
      </c>
      <c r="H96" s="149"/>
      <c r="I96" s="149">
        <f t="shared" si="101"/>
        <v>0</v>
      </c>
      <c r="J96" s="149">
        <f t="shared" si="101"/>
        <v>0</v>
      </c>
      <c r="K96" s="149">
        <f t="shared" si="76"/>
        <v>0</v>
      </c>
      <c r="L96" s="149"/>
      <c r="M96" s="149"/>
      <c r="N96" s="149"/>
      <c r="O96" s="149"/>
      <c r="P96" s="149"/>
      <c r="Q96" s="149"/>
      <c r="R96" s="149"/>
      <c r="S96" s="149"/>
      <c r="T96" s="400"/>
      <c r="U96" s="400"/>
      <c r="V96" s="400"/>
      <c r="W96" s="400"/>
      <c r="X96" s="149"/>
      <c r="Y96" s="149"/>
      <c r="Z96" s="149"/>
      <c r="AA96" s="149"/>
      <c r="AB96" s="149"/>
      <c r="AC96" s="149">
        <f t="shared" si="111"/>
        <v>0</v>
      </c>
      <c r="AD96" s="149"/>
      <c r="AE96" s="149"/>
      <c r="AF96" s="149">
        <f t="shared" si="95"/>
        <v>0</v>
      </c>
      <c r="AG96" s="149">
        <f t="shared" si="95"/>
        <v>0</v>
      </c>
      <c r="AH96" s="149">
        <f t="shared" si="95"/>
        <v>0</v>
      </c>
      <c r="AI96" s="149">
        <f t="shared" si="96"/>
        <v>0</v>
      </c>
      <c r="AJ96" s="149">
        <f t="shared" si="107"/>
        <v>0</v>
      </c>
      <c r="AK96" s="149">
        <f t="shared" si="107"/>
        <v>0</v>
      </c>
      <c r="AL96" s="149">
        <f t="shared" si="107"/>
        <v>0</v>
      </c>
      <c r="AM96" s="270">
        <f t="shared" si="108"/>
        <v>0</v>
      </c>
      <c r="AN96" s="149"/>
      <c r="AO96" s="149"/>
      <c r="AP96" s="149"/>
      <c r="AQ96" s="149">
        <v>0</v>
      </c>
      <c r="AR96" s="149">
        <v>0</v>
      </c>
      <c r="AS96" s="149">
        <v>0</v>
      </c>
      <c r="AT96" s="149">
        <v>0</v>
      </c>
      <c r="AU96" s="149">
        <v>0</v>
      </c>
      <c r="AV96" s="22">
        <v>0</v>
      </c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>
        <f>88.414-33.097</f>
        <v>55.317</v>
      </c>
      <c r="BM96" s="22">
        <f>35.136-26.343</f>
        <v>8.7930000000000028</v>
      </c>
      <c r="BN96" s="22">
        <f>133.144-205.05</f>
        <v>-71.906000000000006</v>
      </c>
      <c r="BO96" s="22">
        <v>68.956999999999994</v>
      </c>
      <c r="BP96" s="22">
        <v>-525.06100000000004</v>
      </c>
      <c r="BQ96" s="22"/>
      <c r="BR96" s="22">
        <v>-5.1769999999999996</v>
      </c>
      <c r="BS96" s="22">
        <v>5.1769999999999996</v>
      </c>
    </row>
    <row r="97" spans="1:71" s="25" customFormat="1" ht="15" customHeight="1" x14ac:dyDescent="0.25">
      <c r="A97" s="74">
        <v>97</v>
      </c>
      <c r="B97" s="322" t="s">
        <v>403</v>
      </c>
      <c r="C97" s="93"/>
      <c r="D97" s="88"/>
      <c r="E97" s="94"/>
      <c r="F97" s="149">
        <f t="shared" si="100"/>
        <v>0</v>
      </c>
      <c r="G97" s="270">
        <f t="shared" si="75"/>
        <v>0</v>
      </c>
      <c r="H97" s="149">
        <f>H37-I37</f>
        <v>0</v>
      </c>
      <c r="I97" s="149">
        <f t="shared" ref="I97:J99" si="119">I37-J37</f>
        <v>0</v>
      </c>
      <c r="J97" s="149">
        <f t="shared" si="119"/>
        <v>0</v>
      </c>
      <c r="K97" s="149">
        <f t="shared" si="76"/>
        <v>0</v>
      </c>
      <c r="L97" s="149">
        <f>L37-M37</f>
        <v>0</v>
      </c>
      <c r="M97" s="149">
        <f t="shared" si="118"/>
        <v>0</v>
      </c>
      <c r="N97" s="149">
        <f>N37-O37</f>
        <v>0</v>
      </c>
      <c r="O97" s="149">
        <f t="shared" si="77"/>
        <v>0</v>
      </c>
      <c r="P97" s="149">
        <f>P37-Q37</f>
        <v>-52</v>
      </c>
      <c r="Q97" s="149">
        <f t="shared" si="90"/>
        <v>-36</v>
      </c>
      <c r="R97" s="149">
        <f>R37-S37</f>
        <v>-1</v>
      </c>
      <c r="S97" s="149">
        <f>S37</f>
        <v>89</v>
      </c>
      <c r="T97" s="400"/>
      <c r="U97" s="400"/>
      <c r="V97" s="400"/>
      <c r="W97" s="400"/>
      <c r="X97" s="149">
        <f t="shared" ref="X97:Z99" si="120">X37-Y37</f>
        <v>0</v>
      </c>
      <c r="Y97" s="149">
        <f t="shared" si="120"/>
        <v>0</v>
      </c>
      <c r="Z97" s="149">
        <f t="shared" si="120"/>
        <v>0</v>
      </c>
      <c r="AA97" s="149">
        <f>AA37</f>
        <v>0</v>
      </c>
      <c r="AB97" s="149">
        <f>AB37-AC37</f>
        <v>-19.103000000000009</v>
      </c>
      <c r="AC97" s="149">
        <f t="shared" si="111"/>
        <v>0</v>
      </c>
      <c r="AD97" s="149">
        <f>AD37-AE37</f>
        <v>4.146000000000015</v>
      </c>
      <c r="AE97" s="149">
        <f>AE37</f>
        <v>350.95699999999999</v>
      </c>
      <c r="AF97" s="149">
        <f t="shared" si="95"/>
        <v>0</v>
      </c>
      <c r="AG97" s="149">
        <f t="shared" si="95"/>
        <v>0</v>
      </c>
      <c r="AH97" s="149">
        <f t="shared" si="95"/>
        <v>0</v>
      </c>
      <c r="AI97" s="149">
        <f t="shared" si="96"/>
        <v>0</v>
      </c>
      <c r="AJ97" s="149">
        <f t="shared" si="107"/>
        <v>0</v>
      </c>
      <c r="AK97" s="149">
        <f t="shared" si="107"/>
        <v>0</v>
      </c>
      <c r="AL97" s="149">
        <f t="shared" si="107"/>
        <v>0</v>
      </c>
      <c r="AM97" s="270">
        <f t="shared" si="108"/>
        <v>0</v>
      </c>
      <c r="AN97" s="149"/>
      <c r="AO97" s="149"/>
      <c r="AP97" s="149"/>
      <c r="AQ97" s="149"/>
      <c r="AR97" s="149"/>
      <c r="AS97" s="149"/>
      <c r="AT97" s="149"/>
      <c r="AU97" s="149"/>
      <c r="AV97" s="22"/>
      <c r="AW97" s="22"/>
      <c r="AX97" s="22"/>
      <c r="AY97" s="22"/>
      <c r="AZ97" s="22"/>
      <c r="BA97" s="22"/>
      <c r="BB97" s="22"/>
      <c r="BC97" s="22">
        <v>488.58699999999999</v>
      </c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</row>
    <row r="98" spans="1:71" s="25" customFormat="1" ht="27" customHeight="1" x14ac:dyDescent="0.25">
      <c r="A98" s="74">
        <v>98</v>
      </c>
      <c r="B98" s="30" t="s">
        <v>411</v>
      </c>
      <c r="C98" s="93"/>
      <c r="D98" s="88"/>
      <c r="E98" s="94"/>
      <c r="F98" s="149">
        <f t="shared" si="100"/>
        <v>0</v>
      </c>
      <c r="G98" s="270">
        <f t="shared" si="75"/>
        <v>0</v>
      </c>
      <c r="H98" s="149">
        <f>H38-I38</f>
        <v>0</v>
      </c>
      <c r="I98" s="149">
        <f t="shared" si="119"/>
        <v>0</v>
      </c>
      <c r="J98" s="149">
        <f t="shared" si="119"/>
        <v>0</v>
      </c>
      <c r="K98" s="149">
        <f t="shared" si="76"/>
        <v>0</v>
      </c>
      <c r="L98" s="149">
        <f>L38-M38</f>
        <v>0</v>
      </c>
      <c r="M98" s="149"/>
      <c r="N98" s="149"/>
      <c r="O98" s="149"/>
      <c r="P98" s="149">
        <f>P38-Q38</f>
        <v>0</v>
      </c>
      <c r="Q98" s="149"/>
      <c r="R98" s="149"/>
      <c r="S98" s="149"/>
      <c r="T98" s="400"/>
      <c r="U98" s="400"/>
      <c r="V98" s="400"/>
      <c r="W98" s="400"/>
      <c r="X98" s="149">
        <f t="shared" si="120"/>
        <v>0</v>
      </c>
      <c r="Y98" s="149">
        <f t="shared" si="120"/>
        <v>0</v>
      </c>
      <c r="Z98" s="149">
        <f t="shared" si="120"/>
        <v>0</v>
      </c>
      <c r="AA98" s="149">
        <f>AA38</f>
        <v>0</v>
      </c>
      <c r="AB98" s="149">
        <f>AB38-AC38</f>
        <v>0.30299999999999727</v>
      </c>
      <c r="AC98" s="149">
        <f t="shared" si="111"/>
        <v>389.49700000000001</v>
      </c>
      <c r="AD98" s="149">
        <f>AD38-AE38</f>
        <v>338.45400000000001</v>
      </c>
      <c r="AE98" s="149">
        <f>AE38</f>
        <v>81.745999999999995</v>
      </c>
      <c r="AF98" s="149">
        <f t="shared" si="95"/>
        <v>0</v>
      </c>
      <c r="AG98" s="149">
        <f t="shared" si="95"/>
        <v>0</v>
      </c>
      <c r="AH98" s="149">
        <f t="shared" si="95"/>
        <v>0</v>
      </c>
      <c r="AI98" s="149">
        <f t="shared" si="96"/>
        <v>0</v>
      </c>
      <c r="AJ98" s="149">
        <f t="shared" si="107"/>
        <v>0</v>
      </c>
      <c r="AK98" s="149">
        <f t="shared" si="107"/>
        <v>0</v>
      </c>
      <c r="AL98" s="149">
        <f t="shared" si="107"/>
        <v>0</v>
      </c>
      <c r="AM98" s="270">
        <f t="shared" si="108"/>
        <v>0</v>
      </c>
      <c r="AN98" s="149"/>
      <c r="AO98" s="149"/>
      <c r="AP98" s="149"/>
      <c r="AQ98" s="149"/>
      <c r="AR98" s="149"/>
      <c r="AS98" s="149"/>
      <c r="AT98" s="149"/>
      <c r="AU98" s="149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</row>
    <row r="99" spans="1:71" s="151" customFormat="1" x14ac:dyDescent="0.25">
      <c r="A99" s="74">
        <v>99</v>
      </c>
      <c r="B99" s="30" t="s">
        <v>219</v>
      </c>
      <c r="C99" s="152"/>
      <c r="D99" s="170"/>
      <c r="E99" s="153"/>
      <c r="F99" s="149">
        <f t="shared" si="100"/>
        <v>512</v>
      </c>
      <c r="G99" s="270">
        <f t="shared" si="75"/>
        <v>505</v>
      </c>
      <c r="H99" s="149">
        <f>H39-I39</f>
        <v>507</v>
      </c>
      <c r="I99" s="149">
        <f t="shared" si="119"/>
        <v>592</v>
      </c>
      <c r="J99" s="149">
        <f t="shared" si="119"/>
        <v>222</v>
      </c>
      <c r="K99" s="149">
        <f t="shared" si="76"/>
        <v>379</v>
      </c>
      <c r="L99" s="149">
        <f>L39-M39</f>
        <v>431</v>
      </c>
      <c r="M99" s="149">
        <f t="shared" si="118"/>
        <v>327</v>
      </c>
      <c r="N99" s="149">
        <f>N39-O39</f>
        <v>303</v>
      </c>
      <c r="O99" s="149">
        <f t="shared" si="77"/>
        <v>246</v>
      </c>
      <c r="P99" s="149">
        <f>P39-Q39</f>
        <v>365</v>
      </c>
      <c r="Q99" s="149">
        <f t="shared" si="90"/>
        <v>242</v>
      </c>
      <c r="R99" s="149">
        <f>R39-S39</f>
        <v>237</v>
      </c>
      <c r="S99" s="149">
        <f>S39</f>
        <v>153</v>
      </c>
      <c r="T99" s="400"/>
      <c r="U99" s="400"/>
      <c r="V99" s="400"/>
      <c r="W99" s="400"/>
      <c r="X99" s="149">
        <f t="shared" si="120"/>
        <v>1078</v>
      </c>
      <c r="Y99" s="149">
        <f t="shared" si="120"/>
        <v>343</v>
      </c>
      <c r="Z99" s="149">
        <f t="shared" si="120"/>
        <v>390</v>
      </c>
      <c r="AA99" s="149">
        <f>AA39</f>
        <v>285</v>
      </c>
      <c r="AB99" s="149">
        <f>AB39-AC39</f>
        <v>246.00199999999995</v>
      </c>
      <c r="AC99" s="149">
        <f t="shared" si="111"/>
        <v>673.19500000000005</v>
      </c>
      <c r="AD99" s="149">
        <f>AD39-AE39</f>
        <v>235.42200000000003</v>
      </c>
      <c r="AE99" s="149">
        <f>AE39</f>
        <v>334.38099999999997</v>
      </c>
      <c r="AF99" s="149">
        <f t="shared" si="95"/>
        <v>416.19200000000001</v>
      </c>
      <c r="AG99" s="149">
        <f t="shared" si="95"/>
        <v>307.67100000000005</v>
      </c>
      <c r="AH99" s="149">
        <f t="shared" si="95"/>
        <v>318.00999999999993</v>
      </c>
      <c r="AI99" s="149">
        <f t="shared" si="96"/>
        <v>480.87799999999999</v>
      </c>
      <c r="AJ99" s="149">
        <f t="shared" si="107"/>
        <v>449.74750000000017</v>
      </c>
      <c r="AK99" s="149">
        <f t="shared" si="107"/>
        <v>340.44449999999983</v>
      </c>
      <c r="AL99" s="149">
        <f t="shared" si="107"/>
        <v>428.52150000000006</v>
      </c>
      <c r="AM99" s="270">
        <v>401.50200000000001</v>
      </c>
      <c r="AN99" s="149">
        <v>174.79399999999998</v>
      </c>
      <c r="AO99" s="149">
        <v>354.80399999999997</v>
      </c>
      <c r="AP99" s="149">
        <v>342.45400000000001</v>
      </c>
      <c r="AQ99" s="149">
        <v>107.61799999999999</v>
      </c>
      <c r="AR99" s="149">
        <v>117.63999999999999</v>
      </c>
      <c r="AS99" s="149">
        <v>62.490000000000009</v>
      </c>
      <c r="AT99" s="149">
        <v>75.910999999999987</v>
      </c>
      <c r="AU99" s="149">
        <v>79.42</v>
      </c>
      <c r="AV99" s="22">
        <v>69.103999999999985</v>
      </c>
      <c r="AW99" s="22">
        <v>83.593999999999994</v>
      </c>
      <c r="AX99" s="22">
        <v>86.524000000000015</v>
      </c>
      <c r="AY99" s="22">
        <v>78.215999999999994</v>
      </c>
      <c r="AZ99" s="22">
        <v>138.35699999999997</v>
      </c>
      <c r="BA99" s="22">
        <v>146.90500000000003</v>
      </c>
      <c r="BB99" s="149">
        <v>60.106999999999999</v>
      </c>
      <c r="BC99" s="149">
        <v>95.206000000000003</v>
      </c>
      <c r="BD99" s="149">
        <v>62.564</v>
      </c>
      <c r="BE99" s="149">
        <v>-108.753</v>
      </c>
      <c r="BF99" s="149">
        <v>65.194999999999993</v>
      </c>
      <c r="BG99" s="149">
        <v>54.93</v>
      </c>
      <c r="BH99" s="149">
        <v>-68.646999999999991</v>
      </c>
      <c r="BI99" s="149">
        <v>46.232999999999997</v>
      </c>
      <c r="BJ99" s="149">
        <v>19.082000000000001</v>
      </c>
      <c r="BK99" s="149">
        <v>-54.104999999999997</v>
      </c>
      <c r="BL99" s="149">
        <f>-387.675-0.228</f>
        <v>-387.90300000000002</v>
      </c>
      <c r="BM99" s="149">
        <v>704.54100000000005</v>
      </c>
      <c r="BN99" s="149">
        <v>133.346</v>
      </c>
      <c r="BO99" s="149">
        <v>45.975999999999999</v>
      </c>
      <c r="BP99" s="149">
        <v>7.4550000000000001</v>
      </c>
      <c r="BQ99" s="149">
        <v>9.1590000000000007</v>
      </c>
      <c r="BR99" s="149">
        <v>78.516000000000005</v>
      </c>
      <c r="BS99" s="149">
        <v>12.166</v>
      </c>
    </row>
    <row r="100" spans="1:71" s="67" customFormat="1" ht="15" customHeight="1" x14ac:dyDescent="0.25">
      <c r="A100" s="74">
        <v>100</v>
      </c>
      <c r="B100" s="65" t="s">
        <v>138</v>
      </c>
      <c r="C100" s="95">
        <f ca="1">OFFSET($E$7,$A100-$A$7,1,1,1)/OFFSET($E$7,$A100-$A$7,2,1,1)-1</f>
        <v>-0.24725863372825818</v>
      </c>
      <c r="D100" s="125"/>
      <c r="E100" s="96">
        <f ca="1">OFFSET($E$7,$A100-$A$7,1,1,1)/OFFSET($E$7,$A100-$A$7,5,1,1)-1</f>
        <v>-0.13500684304111221</v>
      </c>
      <c r="F100" s="173">
        <f t="shared" ref="F100" si="121">SUM(F76:F79)+SUM(F80:F99)</f>
        <v>16053.407999999999</v>
      </c>
      <c r="G100" s="271">
        <f t="shared" ref="G100" si="122">SUM(G76:G79)+SUM(G80:G99)</f>
        <v>21326.592000000001</v>
      </c>
      <c r="H100" s="173">
        <f t="shared" ref="H100" si="123">SUM(H76:H79)+SUM(H80:H99)</f>
        <v>18650</v>
      </c>
      <c r="I100" s="173">
        <f t="shared" ref="I100" si="124">SUM(I76:I79)+SUM(I80:I99)</f>
        <v>18753</v>
      </c>
      <c r="J100" s="173">
        <f t="shared" ref="J100" si="125">SUM(J76:J79)+SUM(J80:J99)</f>
        <v>18559</v>
      </c>
      <c r="K100" s="173">
        <f t="shared" ref="K100" si="126">SUM(K76:K79)+SUM(K80:K99)</f>
        <v>26171</v>
      </c>
      <c r="L100" s="173">
        <f t="shared" ref="L100:AH100" si="127">SUM(L76:L79)+SUM(L80:L99)</f>
        <v>24206</v>
      </c>
      <c r="M100" s="173">
        <f t="shared" si="127"/>
        <v>22969</v>
      </c>
      <c r="N100" s="173">
        <f t="shared" si="127"/>
        <v>19405</v>
      </c>
      <c r="O100" s="173">
        <f t="shared" si="127"/>
        <v>22065</v>
      </c>
      <c r="P100" s="173">
        <f t="shared" si="127"/>
        <v>20435</v>
      </c>
      <c r="Q100" s="173">
        <f t="shared" si="127"/>
        <v>17008</v>
      </c>
      <c r="R100" s="173">
        <f t="shared" si="127"/>
        <v>23124</v>
      </c>
      <c r="S100" s="173">
        <f t="shared" si="127"/>
        <v>24262</v>
      </c>
      <c r="T100" s="412"/>
      <c r="U100" s="412"/>
      <c r="V100" s="412"/>
      <c r="W100" s="412"/>
      <c r="X100" s="173">
        <f t="shared" si="127"/>
        <v>13622</v>
      </c>
      <c r="Y100" s="173">
        <f t="shared" si="127"/>
        <v>8915</v>
      </c>
      <c r="Z100" s="173">
        <f t="shared" si="127"/>
        <v>9598</v>
      </c>
      <c r="AA100" s="173">
        <f t="shared" si="127"/>
        <v>7300</v>
      </c>
      <c r="AB100" s="173">
        <f t="shared" si="127"/>
        <v>9626.8379999999997</v>
      </c>
      <c r="AC100" s="173">
        <f t="shared" si="127"/>
        <v>7125.226999999999</v>
      </c>
      <c r="AD100" s="173">
        <f t="shared" si="127"/>
        <v>5740.219000000001</v>
      </c>
      <c r="AE100" s="173">
        <f t="shared" si="127"/>
        <v>6224.7159999999994</v>
      </c>
      <c r="AF100" s="173">
        <f t="shared" si="127"/>
        <v>6791.3170000000036</v>
      </c>
      <c r="AG100" s="173">
        <f t="shared" si="127"/>
        <v>5778.3690000000033</v>
      </c>
      <c r="AH100" s="173">
        <f t="shared" si="127"/>
        <v>6139.9499999999989</v>
      </c>
      <c r="AI100" s="173">
        <f t="shared" si="96"/>
        <v>5094.0820000000003</v>
      </c>
      <c r="AJ100" s="173">
        <f t="shared" ref="AJ100:BS100" si="128">SUM(AJ76:AJ79)+SUM(AJ80:AJ99)</f>
        <v>6534.2860000000037</v>
      </c>
      <c r="AK100" s="173">
        <f t="shared" si="128"/>
        <v>5526.4509999999955</v>
      </c>
      <c r="AL100" s="173">
        <f t="shared" si="128"/>
        <v>6966.6549999999988</v>
      </c>
      <c r="AM100" s="271">
        <f t="shared" si="128"/>
        <v>5163.0259999999989</v>
      </c>
      <c r="AN100" s="173">
        <f t="shared" si="128"/>
        <v>5245.2769999999946</v>
      </c>
      <c r="AO100" s="173">
        <f t="shared" si="128"/>
        <v>5458.994999999999</v>
      </c>
      <c r="AP100" s="173">
        <f t="shared" si="128"/>
        <v>5377.2069999999985</v>
      </c>
      <c r="AQ100" s="173">
        <f t="shared" si="128"/>
        <v>4439.8080000000009</v>
      </c>
      <c r="AR100" s="173">
        <f t="shared" si="128"/>
        <v>4555.9959999999992</v>
      </c>
      <c r="AS100" s="173">
        <f t="shared" si="128"/>
        <v>4060.4790000000012</v>
      </c>
      <c r="AT100" s="173">
        <f t="shared" si="128"/>
        <v>3645.902999999998</v>
      </c>
      <c r="AU100" s="173">
        <f t="shared" si="128"/>
        <v>3839.2600000000007</v>
      </c>
      <c r="AV100" s="173">
        <f t="shared" si="128"/>
        <v>4406.3300000000027</v>
      </c>
      <c r="AW100" s="173">
        <f t="shared" si="128"/>
        <v>3698.6499999999951</v>
      </c>
      <c r="AX100" s="173">
        <f t="shared" si="128"/>
        <v>3561.4120000000012</v>
      </c>
      <c r="AY100" s="173">
        <f t="shared" si="128"/>
        <v>2839.5749999999998</v>
      </c>
      <c r="AZ100" s="173">
        <f t="shared" si="128"/>
        <v>3632.5680000000038</v>
      </c>
      <c r="BA100" s="173">
        <f t="shared" si="128"/>
        <v>3727.8180000000011</v>
      </c>
      <c r="BB100" s="173">
        <f t="shared" si="128"/>
        <v>3626.4099999999994</v>
      </c>
      <c r="BC100" s="173">
        <f t="shared" si="128"/>
        <v>3944.6570000000002</v>
      </c>
      <c r="BD100" s="173">
        <f t="shared" si="128"/>
        <v>4038.3150000000019</v>
      </c>
      <c r="BE100" s="173">
        <f t="shared" si="128"/>
        <v>3318.49</v>
      </c>
      <c r="BF100" s="173">
        <f t="shared" si="128"/>
        <v>2883.5950000000007</v>
      </c>
      <c r="BG100" s="173">
        <f t="shared" si="128"/>
        <v>2925.4609999999998</v>
      </c>
      <c r="BH100" s="173">
        <f t="shared" si="128"/>
        <v>2519.6150000000011</v>
      </c>
      <c r="BI100" s="173">
        <f t="shared" si="128"/>
        <v>2496.2040000000006</v>
      </c>
      <c r="BJ100" s="173">
        <f t="shared" si="128"/>
        <v>1785.8439999999996</v>
      </c>
      <c r="BK100" s="173">
        <f t="shared" si="128"/>
        <v>1796.9929999999999</v>
      </c>
      <c r="BL100" s="173">
        <f t="shared" si="128"/>
        <v>2105.8739999999998</v>
      </c>
      <c r="BM100" s="173">
        <f t="shared" si="128"/>
        <v>2936.0659999999998</v>
      </c>
      <c r="BN100" s="173">
        <f t="shared" si="128"/>
        <v>3607.2379999999998</v>
      </c>
      <c r="BO100" s="173">
        <f t="shared" si="128"/>
        <v>3588.6140000000005</v>
      </c>
      <c r="BP100" s="173">
        <f t="shared" si="128"/>
        <v>3523.6710000000007</v>
      </c>
      <c r="BQ100" s="173">
        <f t="shared" si="128"/>
        <v>2558.8460000000005</v>
      </c>
      <c r="BR100" s="173">
        <f t="shared" si="128"/>
        <v>1965.5670000000005</v>
      </c>
      <c r="BS100" s="173">
        <f t="shared" si="128"/>
        <v>1283.7600000000002</v>
      </c>
    </row>
    <row r="101" spans="1:71" s="67" customFormat="1" ht="15" customHeight="1" x14ac:dyDescent="0.25">
      <c r="A101" s="74">
        <v>101</v>
      </c>
      <c r="B101" s="65" t="s">
        <v>136</v>
      </c>
      <c r="C101" s="95">
        <f ca="1">OFFSET($E$7,$A101-$A$7,1,1,1)/OFFSET($E$7,$A101-$A$7,2,1,1)-1</f>
        <v>0.27101595056761019</v>
      </c>
      <c r="D101" s="125"/>
      <c r="E101" s="96">
        <f ca="1">OFFSET($E$7,$A101-$A$7,1,1,1)/OFFSET($E$7,$A101-$A$7,5,1,1)-1</f>
        <v>0.34076095194785516</v>
      </c>
      <c r="F101" s="173">
        <f>F102+F103</f>
        <v>-8845</v>
      </c>
      <c r="G101" s="271">
        <f t="shared" ref="G101" si="129">G102+G103</f>
        <v>-6959</v>
      </c>
      <c r="H101" s="173">
        <f>H102+H103</f>
        <v>-10896</v>
      </c>
      <c r="I101" s="173">
        <f>I102+I103</f>
        <v>-7193</v>
      </c>
      <c r="J101" s="173">
        <f>J102+J103</f>
        <v>-6597</v>
      </c>
      <c r="K101" s="173">
        <f t="shared" ref="K101" si="130">K102+K103</f>
        <v>-5715</v>
      </c>
      <c r="L101" s="173">
        <f>L102+L103</f>
        <v>-7933</v>
      </c>
      <c r="M101" s="173">
        <f>M102+M103</f>
        <v>-6559</v>
      </c>
      <c r="N101" s="173">
        <f>N102+N103</f>
        <v>-5468</v>
      </c>
      <c r="O101" s="173">
        <f t="shared" ref="O101:BS101" si="131">O102+O103</f>
        <v>-5975</v>
      </c>
      <c r="P101" s="173">
        <f t="shared" si="131"/>
        <v>-5333</v>
      </c>
      <c r="Q101" s="173">
        <f t="shared" si="131"/>
        <v>-6319</v>
      </c>
      <c r="R101" s="173">
        <f t="shared" si="131"/>
        <v>-5944</v>
      </c>
      <c r="S101" s="173">
        <f t="shared" si="131"/>
        <v>-6018</v>
      </c>
      <c r="T101" s="412"/>
      <c r="U101" s="412"/>
      <c r="V101" s="412"/>
      <c r="W101" s="412"/>
      <c r="X101" s="173">
        <f t="shared" si="131"/>
        <v>-5256</v>
      </c>
      <c r="Y101" s="173">
        <f t="shared" si="131"/>
        <v>-3744</v>
      </c>
      <c r="Z101" s="173">
        <f t="shared" si="131"/>
        <v>-3602</v>
      </c>
      <c r="AA101" s="173">
        <f t="shared" si="131"/>
        <v>-4210</v>
      </c>
      <c r="AB101" s="173">
        <f t="shared" si="131"/>
        <v>-4315.7520000000004</v>
      </c>
      <c r="AC101" s="173">
        <f t="shared" si="131"/>
        <v>-3345.2509999999993</v>
      </c>
      <c r="AD101" s="173">
        <f t="shared" si="131"/>
        <v>-3412.5760000000005</v>
      </c>
      <c r="AE101" s="173">
        <f t="shared" si="131"/>
        <v>-4133.4210000000003</v>
      </c>
      <c r="AF101" s="173">
        <f t="shared" si="131"/>
        <v>-3828.8900000000003</v>
      </c>
      <c r="AG101" s="173">
        <f t="shared" si="131"/>
        <v>-3299.848</v>
      </c>
      <c r="AH101" s="173">
        <f t="shared" si="131"/>
        <v>-3405.5460000000003</v>
      </c>
      <c r="AI101" s="173">
        <f t="shared" si="131"/>
        <v>-3551.4989999999998</v>
      </c>
      <c r="AJ101" s="173">
        <f t="shared" si="131"/>
        <v>-3270.4199999999992</v>
      </c>
      <c r="AK101" s="173">
        <f t="shared" si="131"/>
        <v>-3100.2380000000003</v>
      </c>
      <c r="AL101" s="173">
        <f t="shared" si="131"/>
        <v>-3723.5640000000003</v>
      </c>
      <c r="AM101" s="271">
        <f t="shared" si="131"/>
        <v>-2539.712</v>
      </c>
      <c r="AN101" s="173">
        <f t="shared" si="131"/>
        <v>-2677.701</v>
      </c>
      <c r="AO101" s="173">
        <f t="shared" si="131"/>
        <v>-2724.6009999999997</v>
      </c>
      <c r="AP101" s="173">
        <f t="shared" si="131"/>
        <v>-2779.3990000000003</v>
      </c>
      <c r="AQ101" s="173">
        <f t="shared" si="131"/>
        <v>-2407.4179999999997</v>
      </c>
      <c r="AR101" s="173">
        <f t="shared" si="131"/>
        <v>-2931.7190000000001</v>
      </c>
      <c r="AS101" s="173">
        <f t="shared" si="131"/>
        <v>-2518.1630000000005</v>
      </c>
      <c r="AT101" s="173">
        <f t="shared" si="131"/>
        <v>-2512.6679999999997</v>
      </c>
      <c r="AU101" s="173">
        <f t="shared" si="131"/>
        <v>-2315.152</v>
      </c>
      <c r="AV101" s="173">
        <f t="shared" si="131"/>
        <v>-2784.8229999999999</v>
      </c>
      <c r="AW101" s="173">
        <f t="shared" si="131"/>
        <v>-2054.6419999999998</v>
      </c>
      <c r="AX101" s="173">
        <f t="shared" si="131"/>
        <v>-2235.7640000000001</v>
      </c>
      <c r="AY101" s="173">
        <f t="shared" si="131"/>
        <v>-1830.0070000000001</v>
      </c>
      <c r="AZ101" s="173">
        <f t="shared" si="131"/>
        <v>-2329.4190000000003</v>
      </c>
      <c r="BA101" s="173">
        <f t="shared" si="131"/>
        <v>-1891.7180000000001</v>
      </c>
      <c r="BB101" s="173">
        <f t="shared" si="131"/>
        <v>-2018.2869999999998</v>
      </c>
      <c r="BC101" s="173">
        <f t="shared" si="131"/>
        <v>-1661.173</v>
      </c>
      <c r="BD101" s="173">
        <f t="shared" si="131"/>
        <v>-1809.6680000000003</v>
      </c>
      <c r="BE101" s="173">
        <f t="shared" si="131"/>
        <v>-1554.9660000000001</v>
      </c>
      <c r="BF101" s="173">
        <f t="shared" si="131"/>
        <v>-1412.7429999999999</v>
      </c>
      <c r="BG101" s="173">
        <f t="shared" si="131"/>
        <v>-1292.817</v>
      </c>
      <c r="BH101" s="173">
        <f t="shared" si="131"/>
        <v>-1694.1349999999998</v>
      </c>
      <c r="BI101" s="173">
        <f t="shared" si="131"/>
        <v>-1395.42</v>
      </c>
      <c r="BJ101" s="173">
        <f t="shared" si="131"/>
        <v>-1306.759</v>
      </c>
      <c r="BK101" s="173">
        <f t="shared" si="131"/>
        <v>-1276.223</v>
      </c>
      <c r="BL101" s="173">
        <f t="shared" si="131"/>
        <v>-1489.7829999999999</v>
      </c>
      <c r="BM101" s="173">
        <f t="shared" si="131"/>
        <v>-1291.7239999999999</v>
      </c>
      <c r="BN101" s="173">
        <f t="shared" si="131"/>
        <v>-1237.019</v>
      </c>
      <c r="BO101" s="173">
        <f t="shared" si="131"/>
        <v>-951.05500000000006</v>
      </c>
      <c r="BP101" s="173">
        <f t="shared" si="131"/>
        <v>-1075.105</v>
      </c>
      <c r="BQ101" s="173">
        <f t="shared" si="131"/>
        <v>-1128.423</v>
      </c>
      <c r="BR101" s="173">
        <f t="shared" si="131"/>
        <v>-746.14</v>
      </c>
      <c r="BS101" s="173">
        <f t="shared" si="131"/>
        <v>-679.33300000000008</v>
      </c>
    </row>
    <row r="102" spans="1:71" s="25" customFormat="1" x14ac:dyDescent="0.25">
      <c r="A102" s="74">
        <v>102</v>
      </c>
      <c r="B102" s="68" t="s">
        <v>142</v>
      </c>
      <c r="C102" s="93">
        <f ca="1">OFFSET($E$7,$A102-$A$7,1,1,1)/OFFSET($E$7,$A102-$A$7,2,1,1)-1</f>
        <v>0.25087281795511229</v>
      </c>
      <c r="D102" s="88"/>
      <c r="E102" s="94">
        <f ca="1">OFFSET($E$7,$A102-$A$7,1,1,1)/OFFSET($E$7,$A102-$A$7,5,1,1)-1</f>
        <v>0.44720138488170802</v>
      </c>
      <c r="F102" s="149">
        <f t="shared" ref="F102:N103" si="132">F42-G42</f>
        <v>-5016</v>
      </c>
      <c r="G102" s="270">
        <f>G42</f>
        <v>-4010</v>
      </c>
      <c r="H102" s="149">
        <f t="shared" si="132"/>
        <v>-5816</v>
      </c>
      <c r="I102" s="149">
        <f t="shared" si="132"/>
        <v>-3692</v>
      </c>
      <c r="J102" s="149">
        <f t="shared" si="132"/>
        <v>-3466</v>
      </c>
      <c r="K102" s="149">
        <f>K42</f>
        <v>-3429</v>
      </c>
      <c r="L102" s="149">
        <f t="shared" si="132"/>
        <v>-4317</v>
      </c>
      <c r="M102" s="149">
        <f t="shared" si="132"/>
        <v>-4116</v>
      </c>
      <c r="N102" s="149">
        <f t="shared" si="132"/>
        <v>-2886</v>
      </c>
      <c r="O102" s="149">
        <f>O42</f>
        <v>-4041</v>
      </c>
      <c r="P102" s="149">
        <f t="shared" ref="P102:R103" si="133">P42-Q42</f>
        <v>-2289</v>
      </c>
      <c r="Q102" s="149">
        <f t="shared" si="133"/>
        <v>-4014</v>
      </c>
      <c r="R102" s="149">
        <f t="shared" si="133"/>
        <v>-3524</v>
      </c>
      <c r="S102" s="149">
        <f>S42</f>
        <v>-4020</v>
      </c>
      <c r="T102" s="400"/>
      <c r="U102" s="400"/>
      <c r="V102" s="400"/>
      <c r="W102" s="400"/>
      <c r="X102" s="149">
        <f t="shared" ref="X102:Z103" si="134">X42-Y42</f>
        <v>-2496</v>
      </c>
      <c r="Y102" s="149">
        <f t="shared" si="134"/>
        <v>-1887</v>
      </c>
      <c r="Z102" s="149">
        <f t="shared" si="134"/>
        <v>-1623</v>
      </c>
      <c r="AA102" s="149">
        <f>AA42</f>
        <v>-2502</v>
      </c>
      <c r="AB102" s="149">
        <f t="shared" ref="AB102:AD103" si="135">AB42-AC42</f>
        <v>-2018.2579999999998</v>
      </c>
      <c r="AC102" s="149">
        <f t="shared" si="135"/>
        <v>-1488.384</v>
      </c>
      <c r="AD102" s="149">
        <f t="shared" si="135"/>
        <v>-1773.3830000000003</v>
      </c>
      <c r="AE102" s="149">
        <f>AE42</f>
        <v>-2295.9749999999999</v>
      </c>
      <c r="AF102" s="149">
        <f t="shared" ref="AF102:AH103" si="136">AF42-AG42</f>
        <v>-1570.7069999999994</v>
      </c>
      <c r="AG102" s="149">
        <f t="shared" si="136"/>
        <v>-1500.1440000000002</v>
      </c>
      <c r="AH102" s="149">
        <f t="shared" si="136"/>
        <v>-1615.71</v>
      </c>
      <c r="AI102" s="149">
        <f>AI42</f>
        <v>-1767.37</v>
      </c>
      <c r="AJ102" s="149">
        <f t="shared" ref="AJ102:AL103" si="137">AJ42-AK42</f>
        <v>-1280.808</v>
      </c>
      <c r="AK102" s="149">
        <f t="shared" si="137"/>
        <v>-1384.8320000000003</v>
      </c>
      <c r="AL102" s="149">
        <f t="shared" si="137"/>
        <v>-1509.7579999999998</v>
      </c>
      <c r="AM102" s="270">
        <v>-1766.6030000000001</v>
      </c>
      <c r="AN102" s="149">
        <v>-1406.0100000000002</v>
      </c>
      <c r="AO102" s="149">
        <v>-1583.8409999999994</v>
      </c>
      <c r="AP102" s="149">
        <v>-1450.4050000000002</v>
      </c>
      <c r="AQ102" s="149">
        <v>-1530.3009999999999</v>
      </c>
      <c r="AR102" s="149">
        <v>-1571.7139999999995</v>
      </c>
      <c r="AS102" s="149">
        <v>-1363.8010000000004</v>
      </c>
      <c r="AT102" s="149">
        <v>-1310.1199999999999</v>
      </c>
      <c r="AU102" s="149">
        <v>-1382.9259999999999</v>
      </c>
      <c r="AV102" s="22">
        <v>-1010.598</v>
      </c>
      <c r="AW102" s="22">
        <v>-1058.5190000000002</v>
      </c>
      <c r="AX102" s="22">
        <v>-1297.6529999999998</v>
      </c>
      <c r="AY102" s="22">
        <v>-1107.0070000000001</v>
      </c>
      <c r="AZ102" s="22">
        <v>-1167.319</v>
      </c>
      <c r="BA102" s="22">
        <v>-1149.5550000000003</v>
      </c>
      <c r="BB102" s="22">
        <v>-1095.4459999999999</v>
      </c>
      <c r="BC102" s="22">
        <v>-1064.819</v>
      </c>
      <c r="BD102" s="22">
        <v>-871.69300000000021</v>
      </c>
      <c r="BE102" s="22">
        <v>-860.75800000000004</v>
      </c>
      <c r="BF102" s="22">
        <v>-767.73500000000001</v>
      </c>
      <c r="BG102" s="22">
        <v>-809.58900000000006</v>
      </c>
      <c r="BH102" s="22">
        <v>-783.08699999999999</v>
      </c>
      <c r="BI102" s="22">
        <v>-808.36900000000003</v>
      </c>
      <c r="BJ102" s="22">
        <v>-722.88099999999997</v>
      </c>
      <c r="BK102" s="22">
        <v>-744.68600000000004</v>
      </c>
      <c r="BL102" s="22">
        <v>-773.36500000000001</v>
      </c>
      <c r="BM102" s="22">
        <v>-770.05799999999999</v>
      </c>
      <c r="BN102" s="22">
        <v>-768.346</v>
      </c>
      <c r="BO102" s="22">
        <v>-632.68700000000001</v>
      </c>
      <c r="BP102" s="22">
        <v>-553.87800000000004</v>
      </c>
      <c r="BQ102" s="22">
        <v>-637.99099999999999</v>
      </c>
      <c r="BR102" s="22">
        <v>-501.95299999999997</v>
      </c>
      <c r="BS102" s="22">
        <v>-460.358</v>
      </c>
    </row>
    <row r="103" spans="1:71" s="25" customFormat="1" x14ac:dyDescent="0.25">
      <c r="A103" s="74">
        <v>103</v>
      </c>
      <c r="B103" s="68" t="s">
        <v>143</v>
      </c>
      <c r="C103" s="93">
        <f ca="1">OFFSET($E$7,$A103-$A$7,1,1,1)/OFFSET($E$7,$A103-$A$7,2,1,1)-1</f>
        <v>0.29840623940318745</v>
      </c>
      <c r="D103" s="88"/>
      <c r="E103" s="94">
        <f ca="1">OFFSET($E$7,$A103-$A$7,1,1,1)/OFFSET($E$7,$A103-$A$7,5,1,1)-1</f>
        <v>0.22293197061641656</v>
      </c>
      <c r="F103" s="149">
        <f t="shared" si="132"/>
        <v>-3829</v>
      </c>
      <c r="G103" s="270">
        <f>G43</f>
        <v>-2949</v>
      </c>
      <c r="H103" s="149">
        <f t="shared" si="132"/>
        <v>-5080</v>
      </c>
      <c r="I103" s="149">
        <f t="shared" si="132"/>
        <v>-3501</v>
      </c>
      <c r="J103" s="149">
        <f t="shared" si="132"/>
        <v>-3131</v>
      </c>
      <c r="K103" s="149">
        <f>K43</f>
        <v>-2286</v>
      </c>
      <c r="L103" s="149">
        <f t="shared" si="132"/>
        <v>-3616</v>
      </c>
      <c r="M103" s="149">
        <f t="shared" si="132"/>
        <v>-2443</v>
      </c>
      <c r="N103" s="149">
        <f t="shared" si="132"/>
        <v>-2582</v>
      </c>
      <c r="O103" s="149">
        <f>O43</f>
        <v>-1934</v>
      </c>
      <c r="P103" s="149">
        <f t="shared" si="133"/>
        <v>-3044</v>
      </c>
      <c r="Q103" s="149">
        <f t="shared" si="133"/>
        <v>-2305</v>
      </c>
      <c r="R103" s="149">
        <f t="shared" si="133"/>
        <v>-2420</v>
      </c>
      <c r="S103" s="149">
        <f>S43</f>
        <v>-1998</v>
      </c>
      <c r="T103" s="400"/>
      <c r="U103" s="400"/>
      <c r="V103" s="400"/>
      <c r="W103" s="400"/>
      <c r="X103" s="149">
        <f t="shared" si="134"/>
        <v>-2760</v>
      </c>
      <c r="Y103" s="149">
        <f t="shared" si="134"/>
        <v>-1857</v>
      </c>
      <c r="Z103" s="149">
        <f t="shared" si="134"/>
        <v>-1979</v>
      </c>
      <c r="AA103" s="149">
        <f>AA43</f>
        <v>-1708</v>
      </c>
      <c r="AB103" s="149">
        <f t="shared" si="135"/>
        <v>-2297.4940000000006</v>
      </c>
      <c r="AC103" s="149">
        <f t="shared" si="135"/>
        <v>-1856.8669999999993</v>
      </c>
      <c r="AD103" s="149">
        <f t="shared" si="135"/>
        <v>-1639.1930000000002</v>
      </c>
      <c r="AE103" s="149">
        <f>AE43</f>
        <v>-1837.4459999999999</v>
      </c>
      <c r="AF103" s="149">
        <f t="shared" si="136"/>
        <v>-2258.1830000000009</v>
      </c>
      <c r="AG103" s="149">
        <f t="shared" si="136"/>
        <v>-1799.7039999999997</v>
      </c>
      <c r="AH103" s="149">
        <f t="shared" si="136"/>
        <v>-1789.8360000000002</v>
      </c>
      <c r="AI103" s="149">
        <f>AI43</f>
        <v>-1784.1289999999999</v>
      </c>
      <c r="AJ103" s="149">
        <f t="shared" si="137"/>
        <v>-1989.6119999999992</v>
      </c>
      <c r="AK103" s="149">
        <f t="shared" si="137"/>
        <v>-1715.4059999999999</v>
      </c>
      <c r="AL103" s="149">
        <f t="shared" si="137"/>
        <v>-2213.8060000000005</v>
      </c>
      <c r="AM103" s="270">
        <v>-773.10900000000004</v>
      </c>
      <c r="AN103" s="149">
        <v>-1271.6909999999998</v>
      </c>
      <c r="AO103" s="149">
        <v>-1140.7600000000002</v>
      </c>
      <c r="AP103" s="149">
        <v>-1328.9939999999999</v>
      </c>
      <c r="AQ103" s="149">
        <v>-877.11699999999996</v>
      </c>
      <c r="AR103" s="149">
        <v>-1360.0050000000006</v>
      </c>
      <c r="AS103" s="149">
        <v>-1154.3619999999999</v>
      </c>
      <c r="AT103" s="149">
        <v>-1202.548</v>
      </c>
      <c r="AU103" s="149">
        <v>-932.22600000000011</v>
      </c>
      <c r="AV103" s="22">
        <v>-1774.2249999999999</v>
      </c>
      <c r="AW103" s="22">
        <v>-996.12299999999982</v>
      </c>
      <c r="AX103" s="22">
        <v>-938.1110000000001</v>
      </c>
      <c r="AY103" s="22">
        <v>-723</v>
      </c>
      <c r="AZ103" s="22">
        <v>-1162.1000000000004</v>
      </c>
      <c r="BA103" s="22">
        <v>-742.16299999999978</v>
      </c>
      <c r="BB103" s="22">
        <v>-922.84100000000001</v>
      </c>
      <c r="BC103" s="22">
        <v>-596.35400000000004</v>
      </c>
      <c r="BD103" s="22">
        <v>-937.97500000000014</v>
      </c>
      <c r="BE103" s="22">
        <v>-694.20800000000008</v>
      </c>
      <c r="BF103" s="22">
        <v>-645.00799999999992</v>
      </c>
      <c r="BG103" s="22">
        <v>-483.22800000000007</v>
      </c>
      <c r="BH103" s="22">
        <v>-911.04799999999977</v>
      </c>
      <c r="BI103" s="22">
        <v>-587.05100000000004</v>
      </c>
      <c r="BJ103" s="22">
        <v>-583.87799999999993</v>
      </c>
      <c r="BK103" s="22">
        <v>-531.53700000000003</v>
      </c>
      <c r="BL103" s="22">
        <v>-716.41800000000001</v>
      </c>
      <c r="BM103" s="22">
        <v>-521.66599999999994</v>
      </c>
      <c r="BN103" s="22">
        <v>-468.673</v>
      </c>
      <c r="BO103" s="22">
        <v>-318.36799999999999</v>
      </c>
      <c r="BP103" s="22">
        <v>-521.22699999999998</v>
      </c>
      <c r="BQ103" s="22">
        <v>-490.43200000000002</v>
      </c>
      <c r="BR103" s="22">
        <v>-244.18700000000001</v>
      </c>
      <c r="BS103" s="22">
        <v>-218.97500000000002</v>
      </c>
    </row>
    <row r="104" spans="1:71" s="67" customFormat="1" ht="26.1" customHeight="1" x14ac:dyDescent="0.25">
      <c r="A104" s="74">
        <v>104</v>
      </c>
      <c r="B104" s="69" t="s">
        <v>139</v>
      </c>
      <c r="C104" s="95">
        <f ca="1">OFFSET($E$7,$A104-$A$7,1,1,1)/OFFSET($E$7,$A104-$A$7,2,1,1)-1</f>
        <v>-0.49828697808233979</v>
      </c>
      <c r="D104" s="125"/>
      <c r="E104" s="96">
        <f ca="1">OFFSET($E$7,$A104-$A$7,1,1,1)/OFFSET($E$7,$A104-$A$7,5,1,1)-1</f>
        <v>-0.39739107172713595</v>
      </c>
      <c r="F104" s="173">
        <f t="shared" ref="F104" si="138">F100+F102+F103</f>
        <v>7208.4079999999994</v>
      </c>
      <c r="G104" s="271">
        <f t="shared" ref="G104" si="139">G100+G102+G103</f>
        <v>14367.592000000001</v>
      </c>
      <c r="H104" s="173">
        <f t="shared" ref="H104" si="140">H100+H102+H103</f>
        <v>7754</v>
      </c>
      <c r="I104" s="173">
        <f t="shared" ref="I104" si="141">I100+I102+I103</f>
        <v>11560</v>
      </c>
      <c r="J104" s="173">
        <f t="shared" ref="J104" si="142">J100+J102+J103</f>
        <v>11962</v>
      </c>
      <c r="K104" s="173">
        <f t="shared" ref="K104" si="143">K100+K102+K103</f>
        <v>20456</v>
      </c>
      <c r="L104" s="173">
        <f t="shared" ref="L104:X104" si="144">L100+L102+L103</f>
        <v>16273</v>
      </c>
      <c r="M104" s="173">
        <f t="shared" si="144"/>
        <v>16410</v>
      </c>
      <c r="N104" s="173">
        <f t="shared" si="144"/>
        <v>13937</v>
      </c>
      <c r="O104" s="173">
        <f t="shared" si="144"/>
        <v>16090</v>
      </c>
      <c r="P104" s="173">
        <f t="shared" si="144"/>
        <v>15102</v>
      </c>
      <c r="Q104" s="173">
        <f t="shared" si="144"/>
        <v>10689</v>
      </c>
      <c r="R104" s="173">
        <f t="shared" si="144"/>
        <v>17180</v>
      </c>
      <c r="S104" s="173">
        <f t="shared" si="144"/>
        <v>18244</v>
      </c>
      <c r="T104" s="412"/>
      <c r="U104" s="412"/>
      <c r="V104" s="412"/>
      <c r="W104" s="412"/>
      <c r="X104" s="173">
        <f t="shared" si="144"/>
        <v>8366</v>
      </c>
      <c r="Y104" s="173">
        <f t="shared" ref="Y104:BS104" si="145">Y100+Y102+Y103</f>
        <v>5171</v>
      </c>
      <c r="Z104" s="173">
        <f t="shared" si="145"/>
        <v>5996</v>
      </c>
      <c r="AA104" s="173">
        <f t="shared" si="145"/>
        <v>3090</v>
      </c>
      <c r="AB104" s="173">
        <f t="shared" si="145"/>
        <v>5311.0859999999993</v>
      </c>
      <c r="AC104" s="173">
        <f t="shared" si="145"/>
        <v>3779.9759999999997</v>
      </c>
      <c r="AD104" s="173">
        <f t="shared" si="145"/>
        <v>2327.6430000000005</v>
      </c>
      <c r="AE104" s="173">
        <f t="shared" si="145"/>
        <v>2091.2949999999996</v>
      </c>
      <c r="AF104" s="173">
        <f t="shared" si="145"/>
        <v>2962.4270000000033</v>
      </c>
      <c r="AG104" s="173">
        <f t="shared" si="145"/>
        <v>2478.5210000000034</v>
      </c>
      <c r="AH104" s="173">
        <f t="shared" si="145"/>
        <v>2734.4039999999986</v>
      </c>
      <c r="AI104" s="173">
        <f t="shared" si="145"/>
        <v>1542.5830000000005</v>
      </c>
      <c r="AJ104" s="173">
        <f t="shared" si="145"/>
        <v>3263.8660000000045</v>
      </c>
      <c r="AK104" s="173">
        <f t="shared" si="145"/>
        <v>2426.2129999999952</v>
      </c>
      <c r="AL104" s="173">
        <f t="shared" si="145"/>
        <v>3243.0909999999985</v>
      </c>
      <c r="AM104" s="173">
        <f t="shared" si="145"/>
        <v>2623.3139999999989</v>
      </c>
      <c r="AN104" s="173">
        <f t="shared" si="145"/>
        <v>2567.5759999999946</v>
      </c>
      <c r="AO104" s="173">
        <f t="shared" si="145"/>
        <v>2734.3939999999993</v>
      </c>
      <c r="AP104" s="173">
        <f t="shared" si="145"/>
        <v>2597.8079999999982</v>
      </c>
      <c r="AQ104" s="173">
        <f t="shared" si="145"/>
        <v>2032.390000000001</v>
      </c>
      <c r="AR104" s="173">
        <f t="shared" si="145"/>
        <v>1624.2769999999991</v>
      </c>
      <c r="AS104" s="173">
        <f t="shared" si="145"/>
        <v>1542.3160000000009</v>
      </c>
      <c r="AT104" s="173">
        <f t="shared" si="145"/>
        <v>1133.2349999999981</v>
      </c>
      <c r="AU104" s="173">
        <f t="shared" si="145"/>
        <v>1524.1080000000006</v>
      </c>
      <c r="AV104" s="173">
        <f t="shared" si="145"/>
        <v>1621.5070000000028</v>
      </c>
      <c r="AW104" s="173">
        <f t="shared" si="145"/>
        <v>1644.007999999995</v>
      </c>
      <c r="AX104" s="173">
        <f t="shared" si="145"/>
        <v>1325.6480000000013</v>
      </c>
      <c r="AY104" s="173">
        <f t="shared" si="145"/>
        <v>1009.5679999999998</v>
      </c>
      <c r="AZ104" s="173">
        <f t="shared" si="145"/>
        <v>1303.1490000000035</v>
      </c>
      <c r="BA104" s="173">
        <f t="shared" si="145"/>
        <v>1836.100000000001</v>
      </c>
      <c r="BB104" s="173">
        <f t="shared" si="145"/>
        <v>1608.1229999999996</v>
      </c>
      <c r="BC104" s="173">
        <f t="shared" si="145"/>
        <v>2283.4840000000004</v>
      </c>
      <c r="BD104" s="173">
        <f t="shared" si="145"/>
        <v>2228.6470000000018</v>
      </c>
      <c r="BE104" s="173">
        <f t="shared" si="145"/>
        <v>1763.5239999999999</v>
      </c>
      <c r="BF104" s="173">
        <f t="shared" si="145"/>
        <v>1470.8520000000008</v>
      </c>
      <c r="BG104" s="173">
        <f t="shared" si="145"/>
        <v>1632.6439999999998</v>
      </c>
      <c r="BH104" s="173">
        <f t="shared" si="145"/>
        <v>825.48000000000138</v>
      </c>
      <c r="BI104" s="173">
        <f t="shared" si="145"/>
        <v>1100.7840000000006</v>
      </c>
      <c r="BJ104" s="173">
        <f t="shared" si="145"/>
        <v>479.08499999999981</v>
      </c>
      <c r="BK104" s="173">
        <f t="shared" si="145"/>
        <v>520.76999999999975</v>
      </c>
      <c r="BL104" s="173">
        <f t="shared" si="145"/>
        <v>616.09099999999978</v>
      </c>
      <c r="BM104" s="173">
        <f t="shared" si="145"/>
        <v>1644.3419999999999</v>
      </c>
      <c r="BN104" s="173">
        <f t="shared" si="145"/>
        <v>2370.2190000000001</v>
      </c>
      <c r="BO104" s="173">
        <f t="shared" si="145"/>
        <v>2637.5590000000007</v>
      </c>
      <c r="BP104" s="173">
        <f t="shared" si="145"/>
        <v>2448.5660000000007</v>
      </c>
      <c r="BQ104" s="173">
        <f t="shared" si="145"/>
        <v>1430.4230000000005</v>
      </c>
      <c r="BR104" s="173">
        <f t="shared" si="145"/>
        <v>1219.4270000000006</v>
      </c>
      <c r="BS104" s="173">
        <f t="shared" si="145"/>
        <v>604.42700000000025</v>
      </c>
    </row>
    <row r="105" spans="1:71" s="25" customFormat="1" ht="18.75" customHeight="1" x14ac:dyDescent="0.25">
      <c r="A105" s="74">
        <v>105</v>
      </c>
      <c r="B105" s="30" t="s">
        <v>137</v>
      </c>
      <c r="C105" s="93"/>
      <c r="D105" s="88"/>
      <c r="E105" s="94"/>
      <c r="F105" s="149">
        <f>F45-G45</f>
        <v>-1605</v>
      </c>
      <c r="G105" s="270">
        <f>G45</f>
        <v>-3457</v>
      </c>
      <c r="H105" s="149">
        <f>H45-I45</f>
        <v>-3322</v>
      </c>
      <c r="I105" s="149">
        <f>I45-J45</f>
        <v>-2797</v>
      </c>
      <c r="J105" s="149">
        <f>J45-K45</f>
        <v>-2837</v>
      </c>
      <c r="K105" s="149">
        <f>K45</f>
        <v>-4929</v>
      </c>
      <c r="L105" s="149">
        <f>L45-M45</f>
        <v>-3064</v>
      </c>
      <c r="M105" s="149">
        <f>M45-N45</f>
        <v>-3147</v>
      </c>
      <c r="N105" s="149">
        <f>N45-O45</f>
        <v>-2656</v>
      </c>
      <c r="O105" s="149">
        <f>O45</f>
        <v>-3070</v>
      </c>
      <c r="P105" s="149">
        <f>P45-Q45</f>
        <v>-4667</v>
      </c>
      <c r="Q105" s="149">
        <f>Q45-R45</f>
        <v>-2164</v>
      </c>
      <c r="R105" s="149">
        <f>R45-S45</f>
        <v>-3446</v>
      </c>
      <c r="S105" s="149">
        <f>S45</f>
        <v>-3623</v>
      </c>
      <c r="T105" s="400"/>
      <c r="U105" s="400"/>
      <c r="V105" s="400"/>
      <c r="W105" s="400"/>
      <c r="X105" s="149">
        <f>X45-Y45</f>
        <v>-1689</v>
      </c>
      <c r="Y105" s="149">
        <f>Y45-Z45</f>
        <v>-1034</v>
      </c>
      <c r="Z105" s="149">
        <f>Z45-AA45</f>
        <v>-1120</v>
      </c>
      <c r="AA105" s="149">
        <f>AA45</f>
        <v>-697</v>
      </c>
      <c r="AB105" s="149">
        <f>AB45-AC45</f>
        <v>-832.62599999999998</v>
      </c>
      <c r="AC105" s="149">
        <f>AC45-AD45</f>
        <v>-1029.732</v>
      </c>
      <c r="AD105" s="149">
        <f>AD45-AE45</f>
        <v>-310.51000000000005</v>
      </c>
      <c r="AE105" s="149">
        <f>AE45</f>
        <v>-510.13200000000001</v>
      </c>
      <c r="AF105" s="149">
        <f>AF45-AG45</f>
        <v>-558.62000000000012</v>
      </c>
      <c r="AG105" s="149">
        <f>AG45-AH45</f>
        <v>-448.11400000000003</v>
      </c>
      <c r="AH105" s="149">
        <f>AH45-AI45</f>
        <v>-544.38099999999997</v>
      </c>
      <c r="AI105" s="149">
        <f>AI45</f>
        <v>-260.92899999999997</v>
      </c>
      <c r="AJ105" s="149">
        <f>AJ45-AK45</f>
        <v>-690.88700000000017</v>
      </c>
      <c r="AK105" s="149">
        <f>AK45-AL45</f>
        <v>-345.21599999999989</v>
      </c>
      <c r="AL105" s="149">
        <f>AL45-AM45</f>
        <v>-700.21</v>
      </c>
      <c r="AM105" s="149">
        <v>-423.80799999999999</v>
      </c>
      <c r="AN105" s="149">
        <v>-448.74399999999991</v>
      </c>
      <c r="AO105" s="149">
        <v>-605.33900000000006</v>
      </c>
      <c r="AP105" s="149">
        <v>-450.63399999999996</v>
      </c>
      <c r="AQ105" s="149">
        <v>-359.54599999999999</v>
      </c>
      <c r="AR105" s="149">
        <v>-201.60500000000002</v>
      </c>
      <c r="AS105" s="149">
        <v>-226.36</v>
      </c>
      <c r="AT105" s="149">
        <v>-82.223000000000013</v>
      </c>
      <c r="AU105" s="149">
        <v>-345.25700000000001</v>
      </c>
      <c r="AV105" s="22">
        <v>-453.32400000000001</v>
      </c>
      <c r="AW105" s="22">
        <v>-223.31799999999993</v>
      </c>
      <c r="AX105" s="22">
        <v>-305.18700000000001</v>
      </c>
      <c r="AY105" s="22">
        <v>-146.68</v>
      </c>
      <c r="AZ105" s="22">
        <v>-235.09400000000005</v>
      </c>
      <c r="BA105" s="22">
        <v>-346.26</v>
      </c>
      <c r="BB105" s="22">
        <v>-400.63699999999994</v>
      </c>
      <c r="BC105" s="22">
        <v>-270.96100000000001</v>
      </c>
      <c r="BD105" s="22">
        <v>-794.17099999999994</v>
      </c>
      <c r="BE105" s="22">
        <v>-435.79300000000001</v>
      </c>
      <c r="BF105" s="22">
        <v>-263.85000000000002</v>
      </c>
      <c r="BG105" s="22">
        <v>-294.38900000000001</v>
      </c>
      <c r="BH105" s="22">
        <v>-188.32299999999998</v>
      </c>
      <c r="BI105" s="22">
        <v>-182.12899999999999</v>
      </c>
      <c r="BJ105" s="22">
        <v>-40.5</v>
      </c>
      <c r="BK105" s="22">
        <v>-68.561000000000007</v>
      </c>
      <c r="BL105" s="22">
        <v>-91.265000000000001</v>
      </c>
      <c r="BM105" s="22">
        <v>-272.649</v>
      </c>
      <c r="BN105" s="22">
        <v>-658.04899999999998</v>
      </c>
      <c r="BO105" s="22">
        <v>-379.68099999999998</v>
      </c>
      <c r="BP105" s="22">
        <v>-472.18</v>
      </c>
      <c r="BQ105" s="22">
        <v>-114.29900000000001</v>
      </c>
      <c r="BR105" s="22">
        <v>-300.52800000000002</v>
      </c>
      <c r="BS105" s="22">
        <v>-135.26499999999999</v>
      </c>
    </row>
    <row r="106" spans="1:71" s="19" customFormat="1" ht="26.25" customHeight="1" x14ac:dyDescent="0.25">
      <c r="A106" s="74">
        <v>106</v>
      </c>
      <c r="B106" s="55" t="s">
        <v>294</v>
      </c>
      <c r="C106" s="93"/>
      <c r="D106" s="88"/>
      <c r="E106" s="96"/>
      <c r="F106" s="340"/>
      <c r="G106" s="389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340"/>
      <c r="S106" s="340"/>
      <c r="T106" s="431"/>
      <c r="U106" s="431"/>
      <c r="V106" s="431"/>
      <c r="W106" s="431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340"/>
      <c r="AO106" s="340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20"/>
      <c r="BG106" s="20"/>
      <c r="BH106" s="66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</row>
    <row r="107" spans="1:71" s="19" customFormat="1" ht="15" customHeight="1" x14ac:dyDescent="0.25">
      <c r="A107" s="74">
        <v>107</v>
      </c>
      <c r="B107" s="30" t="s">
        <v>295</v>
      </c>
      <c r="C107" s="93"/>
      <c r="D107" s="88"/>
      <c r="E107" s="96"/>
      <c r="F107" s="149">
        <f>F47-G47</f>
        <v>5580.4079999999994</v>
      </c>
      <c r="G107" s="270">
        <f>G47</f>
        <v>10910.592000000001</v>
      </c>
      <c r="H107" s="149">
        <f>H47-I47</f>
        <v>4432</v>
      </c>
      <c r="I107" s="149">
        <f>I47-J47</f>
        <v>8763</v>
      </c>
      <c r="J107" s="149">
        <f>J47-K47</f>
        <v>9125</v>
      </c>
      <c r="K107" s="149">
        <f>K47</f>
        <v>15527</v>
      </c>
      <c r="L107" s="149">
        <f>L47-M47</f>
        <v>13209</v>
      </c>
      <c r="M107" s="149">
        <f>M47-N47</f>
        <v>13263</v>
      </c>
      <c r="N107" s="149">
        <f>N47-O47</f>
        <v>11287</v>
      </c>
      <c r="O107" s="149">
        <f>O47</f>
        <v>13020</v>
      </c>
      <c r="P107" s="149">
        <f>P47-Q47</f>
        <v>10435</v>
      </c>
      <c r="Q107" s="149">
        <f>Q47-R47</f>
        <v>8525</v>
      </c>
      <c r="R107" s="149">
        <f>R47-S47</f>
        <v>13734</v>
      </c>
      <c r="S107" s="149">
        <f>S47</f>
        <v>14621</v>
      </c>
      <c r="T107" s="400"/>
      <c r="U107" s="400"/>
      <c r="V107" s="400"/>
      <c r="W107" s="400"/>
      <c r="X107" s="149">
        <f>X47-Y47</f>
        <v>6677</v>
      </c>
      <c r="Y107" s="149">
        <f>Y47-Z47</f>
        <v>4137</v>
      </c>
      <c r="Z107" s="149">
        <f>Z47-AA47</f>
        <v>4876</v>
      </c>
      <c r="AA107" s="149">
        <f>AA47</f>
        <v>2393</v>
      </c>
      <c r="AB107" s="149">
        <f>AB47-AC47</f>
        <v>4478.4600000000028</v>
      </c>
      <c r="AC107" s="149">
        <f>AC47-AD47</f>
        <v>2750.243999999996</v>
      </c>
      <c r="AD107" s="149">
        <f>AD47-AE47</f>
        <v>2017.1330000000012</v>
      </c>
      <c r="AE107" s="149">
        <f>AE47</f>
        <v>1581.163</v>
      </c>
      <c r="AF107" s="149">
        <f t="shared" ref="AF107:AH109" si="146">AF47-AG47</f>
        <v>2377.2729999999992</v>
      </c>
      <c r="AG107" s="149">
        <f t="shared" si="146"/>
        <v>2056.6600000000003</v>
      </c>
      <c r="AH107" s="149">
        <f t="shared" si="146"/>
        <v>2190.9210000000003</v>
      </c>
      <c r="AI107" s="149">
        <f>AI47</f>
        <v>1281.037</v>
      </c>
      <c r="AJ107" s="149">
        <f t="shared" ref="AJ107:AL109" si="147">AJ47-AK47</f>
        <v>2553.8509999999997</v>
      </c>
      <c r="AK107" s="149">
        <f t="shared" si="147"/>
        <v>2038.3519999999999</v>
      </c>
      <c r="AL107" s="149">
        <f t="shared" si="147"/>
        <v>2510.7629999999999</v>
      </c>
      <c r="AM107" s="149">
        <v>1834.075</v>
      </c>
      <c r="AN107" s="149">
        <v>1746.6619999999994</v>
      </c>
      <c r="AO107" s="149">
        <v>2387.174</v>
      </c>
      <c r="AP107" s="22">
        <v>1818.4109999999987</v>
      </c>
      <c r="AQ107" s="22">
        <f>AQ109</f>
        <v>1672.844000000001</v>
      </c>
      <c r="AR107" s="22">
        <f t="shared" ref="AR107:BS107" si="148">AR109</f>
        <v>1422.6719999999991</v>
      </c>
      <c r="AS107" s="22">
        <f t="shared" si="148"/>
        <v>1315.956000000001</v>
      </c>
      <c r="AT107" s="22">
        <f t="shared" si="148"/>
        <v>1051.0119999999981</v>
      </c>
      <c r="AU107" s="22">
        <f t="shared" si="148"/>
        <v>1178.8510000000006</v>
      </c>
      <c r="AV107" s="22">
        <f t="shared" si="148"/>
        <v>1168.1830000000027</v>
      </c>
      <c r="AW107" s="22">
        <f t="shared" si="148"/>
        <v>1420.6899999999951</v>
      </c>
      <c r="AX107" s="22">
        <f t="shared" si="148"/>
        <v>1020.4610000000013</v>
      </c>
      <c r="AY107" s="22">
        <f t="shared" si="148"/>
        <v>862.88799999999969</v>
      </c>
      <c r="AZ107" s="22">
        <f t="shared" si="148"/>
        <v>1068.0550000000035</v>
      </c>
      <c r="BA107" s="22">
        <f t="shared" si="148"/>
        <v>1489.8400000000011</v>
      </c>
      <c r="BB107" s="22">
        <f t="shared" si="148"/>
        <v>1207.4859999999996</v>
      </c>
      <c r="BC107" s="22">
        <f t="shared" si="148"/>
        <v>2012.5230000000004</v>
      </c>
      <c r="BD107" s="22">
        <f t="shared" si="148"/>
        <v>1434.4760000000019</v>
      </c>
      <c r="BE107" s="22">
        <f t="shared" si="148"/>
        <v>1327.7309999999998</v>
      </c>
      <c r="BF107" s="22">
        <f t="shared" si="148"/>
        <v>1207.0020000000009</v>
      </c>
      <c r="BG107" s="22">
        <f t="shared" si="148"/>
        <v>1338.2549999999997</v>
      </c>
      <c r="BH107" s="22">
        <f t="shared" si="148"/>
        <v>637.1570000000014</v>
      </c>
      <c r="BI107" s="22">
        <f t="shared" si="148"/>
        <v>918.65500000000054</v>
      </c>
      <c r="BJ107" s="22">
        <f t="shared" si="148"/>
        <v>438.58499999999981</v>
      </c>
      <c r="BK107" s="22">
        <f t="shared" si="148"/>
        <v>452.20899999999972</v>
      </c>
      <c r="BL107" s="22">
        <f t="shared" si="148"/>
        <v>524.82599999999979</v>
      </c>
      <c r="BM107" s="22">
        <f t="shared" si="148"/>
        <v>1371.6929999999998</v>
      </c>
      <c r="BN107" s="22">
        <f t="shared" si="148"/>
        <v>1712.17</v>
      </c>
      <c r="BO107" s="22">
        <f t="shared" si="148"/>
        <v>2257.8780000000006</v>
      </c>
      <c r="BP107" s="22">
        <f t="shared" si="148"/>
        <v>1976.3860000000006</v>
      </c>
      <c r="BQ107" s="22">
        <f t="shared" si="148"/>
        <v>1316.1240000000005</v>
      </c>
      <c r="BR107" s="22">
        <f t="shared" si="148"/>
        <v>918.89900000000057</v>
      </c>
      <c r="BS107" s="22">
        <f t="shared" si="148"/>
        <v>469.16200000000026</v>
      </c>
    </row>
    <row r="108" spans="1:71" s="19" customFormat="1" ht="15" customHeight="1" x14ac:dyDescent="0.25">
      <c r="A108" s="74">
        <v>108</v>
      </c>
      <c r="B108" s="30" t="s">
        <v>293</v>
      </c>
      <c r="C108" s="93"/>
      <c r="D108" s="88"/>
      <c r="E108" s="96"/>
      <c r="F108" s="149">
        <f>F48-G48</f>
        <v>23</v>
      </c>
      <c r="G108" s="270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400"/>
      <c r="U108" s="400"/>
      <c r="V108" s="400"/>
      <c r="W108" s="400"/>
      <c r="X108" s="149"/>
      <c r="Y108" s="149"/>
      <c r="Z108" s="149"/>
      <c r="AA108" s="149"/>
      <c r="AB108" s="149"/>
      <c r="AC108" s="149"/>
      <c r="AD108" s="149"/>
      <c r="AE108" s="149"/>
      <c r="AF108" s="149">
        <f t="shared" si="146"/>
        <v>26.533000000000001</v>
      </c>
      <c r="AG108" s="149">
        <f t="shared" si="146"/>
        <v>-26.252000000000002</v>
      </c>
      <c r="AH108" s="149">
        <f t="shared" si="146"/>
        <v>-0.89800000000000002</v>
      </c>
      <c r="AI108" s="149">
        <f>AI48</f>
        <v>0.61699999999999999</v>
      </c>
      <c r="AJ108" s="149">
        <f t="shared" si="147"/>
        <v>21.128</v>
      </c>
      <c r="AK108" s="149">
        <f t="shared" si="147"/>
        <v>43.645000000000003</v>
      </c>
      <c r="AL108" s="149">
        <f t="shared" si="147"/>
        <v>32.117999999999995</v>
      </c>
      <c r="AM108" s="149">
        <v>12.996</v>
      </c>
      <c r="AN108" s="149">
        <v>7.2609999999999957</v>
      </c>
      <c r="AO108" s="149">
        <v>25.795000000000005</v>
      </c>
      <c r="AP108" s="22">
        <v>28.922999999999998</v>
      </c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20"/>
      <c r="BG108" s="20"/>
      <c r="BH108" s="66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</row>
    <row r="109" spans="1:71" s="67" customFormat="1" ht="26.1" customHeight="1" x14ac:dyDescent="0.25">
      <c r="A109" s="74">
        <v>109</v>
      </c>
      <c r="B109" s="69" t="s">
        <v>144</v>
      </c>
      <c r="C109" s="95">
        <f ca="1">OFFSET($E$7,$A109-$A$7,1,1,1)/OFFSET($E$7,$A109-$A$7,2,1,1)-1</f>
        <v>-0.48642493459566638</v>
      </c>
      <c r="D109" s="125"/>
      <c r="E109" s="96">
        <f ca="1">OFFSET($E$7,$A109-$A$7,1,1,1)/OFFSET($E$7,$A109-$A$7,5,1,1)-1</f>
        <v>-0.38592789041095898</v>
      </c>
      <c r="F109" s="173">
        <f>F49-G49</f>
        <v>5603.4079999999994</v>
      </c>
      <c r="G109" s="271">
        <f>G49</f>
        <v>10910.592000000001</v>
      </c>
      <c r="H109" s="173">
        <f>H49-I49</f>
        <v>4432</v>
      </c>
      <c r="I109" s="173">
        <f>I49-J49</f>
        <v>8763</v>
      </c>
      <c r="J109" s="173">
        <f>J49-K49</f>
        <v>9125</v>
      </c>
      <c r="K109" s="173">
        <f>K49</f>
        <v>15527</v>
      </c>
      <c r="L109" s="173">
        <f>L49-M49</f>
        <v>13209</v>
      </c>
      <c r="M109" s="173">
        <f>M49-N49</f>
        <v>13263</v>
      </c>
      <c r="N109" s="173">
        <f>N49-O49</f>
        <v>11287</v>
      </c>
      <c r="O109" s="173">
        <f>O49</f>
        <v>13020</v>
      </c>
      <c r="P109" s="173">
        <f>P49-Q49</f>
        <v>10435</v>
      </c>
      <c r="Q109" s="173">
        <f>Q49-R49</f>
        <v>8525</v>
      </c>
      <c r="R109" s="173">
        <f>R49-S49</f>
        <v>13734</v>
      </c>
      <c r="S109" s="173">
        <f>S49</f>
        <v>14621</v>
      </c>
      <c r="T109" s="412"/>
      <c r="U109" s="412"/>
      <c r="V109" s="412"/>
      <c r="W109" s="412"/>
      <c r="X109" s="173">
        <f>X49-Y49</f>
        <v>6677</v>
      </c>
      <c r="Y109" s="173">
        <f>Y49-Z49</f>
        <v>4137</v>
      </c>
      <c r="Z109" s="173">
        <f>Z49-AA49</f>
        <v>4876</v>
      </c>
      <c r="AA109" s="173">
        <f>AA49</f>
        <v>2393</v>
      </c>
      <c r="AB109" s="173">
        <f>AB49-AC49</f>
        <v>4478.4600000000028</v>
      </c>
      <c r="AC109" s="173">
        <f>AC49-AD49</f>
        <v>2750.243999999996</v>
      </c>
      <c r="AD109" s="173">
        <f>AD49-AE49</f>
        <v>2017.1330000000016</v>
      </c>
      <c r="AE109" s="173">
        <f>AE49</f>
        <v>1581.1629999999996</v>
      </c>
      <c r="AF109" s="173">
        <f t="shared" si="146"/>
        <v>2403.8070000000016</v>
      </c>
      <c r="AG109" s="173">
        <f t="shared" si="146"/>
        <v>2030.4070000000024</v>
      </c>
      <c r="AH109" s="173">
        <f t="shared" si="146"/>
        <v>2190.0229999999988</v>
      </c>
      <c r="AI109" s="173">
        <f>AI49</f>
        <v>1281.6540000000005</v>
      </c>
      <c r="AJ109" s="173">
        <f t="shared" si="147"/>
        <v>2574.9790000000066</v>
      </c>
      <c r="AK109" s="173">
        <f t="shared" si="147"/>
        <v>2081.9969999999948</v>
      </c>
      <c r="AL109" s="173">
        <f t="shared" si="147"/>
        <v>2542.8809999999994</v>
      </c>
      <c r="AM109" s="173">
        <f t="shared" ref="AM109:AU109" si="149">AM104+AM105</f>
        <v>2199.5059999999989</v>
      </c>
      <c r="AN109" s="173">
        <f t="shared" si="149"/>
        <v>2118.8319999999949</v>
      </c>
      <c r="AO109" s="173">
        <f t="shared" si="149"/>
        <v>2129.0549999999994</v>
      </c>
      <c r="AP109" s="173">
        <f t="shared" si="149"/>
        <v>2147.1739999999982</v>
      </c>
      <c r="AQ109" s="155">
        <f t="shared" si="149"/>
        <v>1672.844000000001</v>
      </c>
      <c r="AR109" s="155">
        <f t="shared" si="149"/>
        <v>1422.6719999999991</v>
      </c>
      <c r="AS109" s="155">
        <f t="shared" si="149"/>
        <v>1315.956000000001</v>
      </c>
      <c r="AT109" s="155">
        <f t="shared" si="149"/>
        <v>1051.0119999999981</v>
      </c>
      <c r="AU109" s="155">
        <f t="shared" si="149"/>
        <v>1178.8510000000006</v>
      </c>
      <c r="AV109" s="20">
        <f t="shared" ref="AV109:BA109" si="150">AV104+AV105</f>
        <v>1168.1830000000027</v>
      </c>
      <c r="AW109" s="20">
        <f t="shared" si="150"/>
        <v>1420.6899999999951</v>
      </c>
      <c r="AX109" s="20">
        <f t="shared" si="150"/>
        <v>1020.4610000000013</v>
      </c>
      <c r="AY109" s="20">
        <f t="shared" si="150"/>
        <v>862.88799999999969</v>
      </c>
      <c r="AZ109" s="20">
        <f t="shared" si="150"/>
        <v>1068.0550000000035</v>
      </c>
      <c r="BA109" s="20">
        <f t="shared" si="150"/>
        <v>1489.8400000000011</v>
      </c>
      <c r="BB109" s="20">
        <f>BB104+BB105</f>
        <v>1207.4859999999996</v>
      </c>
      <c r="BC109" s="20">
        <f t="shared" ref="BC109:BS109" si="151">BC104+BC105</f>
        <v>2012.5230000000004</v>
      </c>
      <c r="BD109" s="66">
        <f t="shared" si="151"/>
        <v>1434.4760000000019</v>
      </c>
      <c r="BE109" s="66">
        <f t="shared" si="151"/>
        <v>1327.7309999999998</v>
      </c>
      <c r="BF109" s="66">
        <f t="shared" si="151"/>
        <v>1207.0020000000009</v>
      </c>
      <c r="BG109" s="66">
        <f t="shared" si="151"/>
        <v>1338.2549999999997</v>
      </c>
      <c r="BH109" s="66">
        <f t="shared" si="151"/>
        <v>637.1570000000014</v>
      </c>
      <c r="BI109" s="66">
        <f t="shared" si="151"/>
        <v>918.65500000000054</v>
      </c>
      <c r="BJ109" s="66">
        <f t="shared" si="151"/>
        <v>438.58499999999981</v>
      </c>
      <c r="BK109" s="66">
        <f t="shared" si="151"/>
        <v>452.20899999999972</v>
      </c>
      <c r="BL109" s="66">
        <f t="shared" si="151"/>
        <v>524.82599999999979</v>
      </c>
      <c r="BM109" s="66">
        <f t="shared" si="151"/>
        <v>1371.6929999999998</v>
      </c>
      <c r="BN109" s="66">
        <f t="shared" si="151"/>
        <v>1712.17</v>
      </c>
      <c r="BO109" s="66">
        <f t="shared" si="151"/>
        <v>2257.8780000000006</v>
      </c>
      <c r="BP109" s="66">
        <f t="shared" si="151"/>
        <v>1976.3860000000006</v>
      </c>
      <c r="BQ109" s="66">
        <f t="shared" si="151"/>
        <v>1316.1240000000005</v>
      </c>
      <c r="BR109" s="66">
        <f t="shared" si="151"/>
        <v>918.89900000000057</v>
      </c>
      <c r="BS109" s="66">
        <f t="shared" si="151"/>
        <v>469.16200000000026</v>
      </c>
    </row>
    <row r="110" spans="1:71" s="25" customFormat="1" ht="26.1" customHeight="1" x14ac:dyDescent="0.25">
      <c r="A110" s="74">
        <v>110</v>
      </c>
      <c r="B110" s="30" t="s">
        <v>140</v>
      </c>
      <c r="C110" s="93"/>
      <c r="D110" s="88"/>
      <c r="E110" s="94"/>
      <c r="F110" s="149"/>
      <c r="G110" s="270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400"/>
      <c r="U110" s="400"/>
      <c r="V110" s="400"/>
      <c r="W110" s="400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22"/>
      <c r="AW110" s="22"/>
      <c r="AX110" s="22"/>
      <c r="AY110" s="22"/>
      <c r="AZ110" s="22"/>
      <c r="BA110" s="22"/>
      <c r="BB110" s="22"/>
      <c r="BC110" s="22"/>
      <c r="BD110" s="22"/>
      <c r="BE110" s="88"/>
      <c r="BF110" s="88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</row>
    <row r="111" spans="1:71" s="25" customFormat="1" ht="26.1" customHeight="1" x14ac:dyDescent="0.25">
      <c r="A111" s="74">
        <v>111</v>
      </c>
      <c r="B111" s="163" t="s">
        <v>249</v>
      </c>
      <c r="C111" s="93"/>
      <c r="D111" s="88"/>
      <c r="E111" s="94"/>
      <c r="F111" s="149"/>
      <c r="G111" s="270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400"/>
      <c r="U111" s="400"/>
      <c r="V111" s="400"/>
      <c r="W111" s="400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22"/>
      <c r="AW111" s="22"/>
      <c r="AX111" s="22"/>
      <c r="AY111" s="22"/>
      <c r="AZ111" s="22"/>
      <c r="BA111" s="22"/>
      <c r="BB111" s="22"/>
      <c r="BC111" s="22"/>
      <c r="BD111" s="22"/>
      <c r="BE111" s="88"/>
      <c r="BF111" s="88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</row>
    <row r="112" spans="1:71" s="25" customFormat="1" ht="27" customHeight="1" x14ac:dyDescent="0.25">
      <c r="A112" s="74">
        <v>112</v>
      </c>
      <c r="B112" s="68" t="s">
        <v>362</v>
      </c>
      <c r="C112" s="93"/>
      <c r="D112" s="88"/>
      <c r="E112" s="94"/>
      <c r="F112" s="270">
        <f>F52-G52</f>
        <v>2</v>
      </c>
      <c r="G112" s="270">
        <f>G52</f>
        <v>5</v>
      </c>
      <c r="H112" s="149">
        <f t="shared" ref="H112:H119" si="152">H52-I52</f>
        <v>13</v>
      </c>
      <c r="I112" s="149">
        <f t="shared" ref="I112:I119" si="153">I52-J52</f>
        <v>3</v>
      </c>
      <c r="J112" s="270">
        <f>J52-K52</f>
        <v>1</v>
      </c>
      <c r="K112" s="149">
        <f>K52</f>
        <v>0</v>
      </c>
      <c r="L112" s="149">
        <f t="shared" ref="L112:L119" si="154">L52-M52</f>
        <v>1</v>
      </c>
      <c r="M112" s="149">
        <f t="shared" ref="M112:M119" si="155">M52-N52</f>
        <v>-437</v>
      </c>
      <c r="N112" s="270">
        <f>N52-O52</f>
        <v>-19</v>
      </c>
      <c r="O112" s="149">
        <f>O52</f>
        <v>0</v>
      </c>
      <c r="P112" s="149">
        <f>P52-Q52</f>
        <v>885</v>
      </c>
      <c r="Q112" s="149">
        <f>Q52-R52</f>
        <v>105</v>
      </c>
      <c r="R112" s="149">
        <f>R52-S52</f>
        <v>1</v>
      </c>
      <c r="S112" s="149">
        <f t="shared" ref="S112:S119" si="156">S52</f>
        <v>15</v>
      </c>
      <c r="T112" s="400"/>
      <c r="U112" s="400"/>
      <c r="V112" s="400"/>
      <c r="W112" s="400"/>
      <c r="X112" s="149">
        <f>X52-Y52</f>
        <v>181</v>
      </c>
      <c r="Y112" s="149">
        <f>Y52-Z52</f>
        <v>9</v>
      </c>
      <c r="Z112" s="149">
        <f>Z52-AA52</f>
        <v>139</v>
      </c>
      <c r="AA112" s="149">
        <f>AA52</f>
        <v>43</v>
      </c>
      <c r="AB112" s="149">
        <f>AB52-AC52</f>
        <v>-5.1020000000000003</v>
      </c>
      <c r="AC112" s="149">
        <f>AC52-AD52</f>
        <v>-1.1159999999999997</v>
      </c>
      <c r="AD112" s="149">
        <f>AD52-AE52</f>
        <v>-0.9399999999999995</v>
      </c>
      <c r="AE112" s="149">
        <f>AE52</f>
        <v>-9.8420000000000005</v>
      </c>
      <c r="AF112" s="149">
        <f>AF52-AG52</f>
        <v>-123.345</v>
      </c>
      <c r="AG112" s="149">
        <f>AG52-AH52</f>
        <v>-0.77400000000000091</v>
      </c>
      <c r="AH112" s="149">
        <f>AH52-AI52</f>
        <v>6.4759999999999991</v>
      </c>
      <c r="AI112" s="149">
        <f>AI52</f>
        <v>-29.420999999999999</v>
      </c>
      <c r="AJ112" s="149">
        <f>AJ52-AK52</f>
        <v>73.208000000000027</v>
      </c>
      <c r="AK112" s="149">
        <f>AK52-AL52</f>
        <v>50.270000000000039</v>
      </c>
      <c r="AL112" s="149">
        <f>AL52-AM52</f>
        <v>-374.65500000000009</v>
      </c>
      <c r="AM112" s="149">
        <f>AM52</f>
        <v>-158.79499999999999</v>
      </c>
      <c r="AN112" s="149">
        <f t="shared" ref="AN112:AP119" si="157">AN52-AO52</f>
        <v>-165.19599999999991</v>
      </c>
      <c r="AO112" s="149">
        <f t="shared" si="157"/>
        <v>-729.96500000000003</v>
      </c>
      <c r="AP112" s="149">
        <f t="shared" si="157"/>
        <v>-139.53500000000003</v>
      </c>
      <c r="AQ112" s="149">
        <f>AQ52</f>
        <v>-163.99799999999999</v>
      </c>
      <c r="AR112" s="149">
        <f t="shared" ref="AR112:AT119" si="158">AR52-AS52</f>
        <v>-290.06500000000005</v>
      </c>
      <c r="AS112" s="149">
        <f t="shared" si="158"/>
        <v>-114.59299999999996</v>
      </c>
      <c r="AT112" s="149">
        <f t="shared" si="158"/>
        <v>-202.51800000000003</v>
      </c>
      <c r="AU112" s="149">
        <f>AU52</f>
        <v>-375.73599999999999</v>
      </c>
      <c r="AV112" s="22">
        <f t="shared" ref="AV112:AX119" si="159">AV52-AW52</f>
        <v>-438.05100000000004</v>
      </c>
      <c r="AW112" s="22">
        <f t="shared" si="159"/>
        <v>-106.459</v>
      </c>
      <c r="AX112" s="22">
        <f t="shared" si="159"/>
        <v>-183.142</v>
      </c>
      <c r="AY112" s="22">
        <f>AY52</f>
        <v>0</v>
      </c>
      <c r="AZ112" s="22">
        <f t="shared" ref="AZ112:BB119" si="160">AZ52-BA52</f>
        <v>-372.32299999999998</v>
      </c>
      <c r="BA112" s="22">
        <f t="shared" si="160"/>
        <v>0</v>
      </c>
      <c r="BB112" s="22">
        <f t="shared" si="160"/>
        <v>0</v>
      </c>
      <c r="BC112" s="149">
        <f>BC52</f>
        <v>0</v>
      </c>
      <c r="BD112" s="22">
        <f t="shared" ref="BD112:BF119" si="161">BD52-BE52</f>
        <v>-2424.6950000000002</v>
      </c>
      <c r="BE112" s="22">
        <f t="shared" si="161"/>
        <v>0</v>
      </c>
      <c r="BF112" s="22">
        <f t="shared" si="161"/>
        <v>0</v>
      </c>
      <c r="BG112" s="22">
        <f>BG52</f>
        <v>0</v>
      </c>
      <c r="BH112" s="22">
        <f t="shared" ref="BH112:BJ119" si="162">BH52-BI52</f>
        <v>0</v>
      </c>
      <c r="BI112" s="22">
        <f t="shared" si="162"/>
        <v>0</v>
      </c>
      <c r="BJ112" s="22">
        <f t="shared" si="162"/>
        <v>0</v>
      </c>
      <c r="BK112" s="22">
        <f t="shared" ref="BK112:BK119" si="163">BK52</f>
        <v>0</v>
      </c>
      <c r="BL112" s="22">
        <f t="shared" ref="BL112:BN119" si="164">BL52-BM52</f>
        <v>0</v>
      </c>
      <c r="BM112" s="22">
        <f t="shared" si="164"/>
        <v>0</v>
      </c>
      <c r="BN112" s="22">
        <f t="shared" si="164"/>
        <v>0</v>
      </c>
      <c r="BO112" s="22">
        <f t="shared" ref="BO112:BO119" si="165">BO52</f>
        <v>0</v>
      </c>
      <c r="BP112" s="22">
        <f t="shared" ref="BP112:BR119" si="166">BP52-BQ52</f>
        <v>0</v>
      </c>
      <c r="BQ112" s="22">
        <f t="shared" si="166"/>
        <v>0</v>
      </c>
      <c r="BR112" s="22">
        <f t="shared" si="166"/>
        <v>0</v>
      </c>
      <c r="BS112" s="22">
        <f t="shared" ref="BS112:BS119" si="167">BS52</f>
        <v>0</v>
      </c>
    </row>
    <row r="113" spans="1:71" s="25" customFormat="1" ht="26.25" x14ac:dyDescent="0.25">
      <c r="A113" s="74">
        <v>113</v>
      </c>
      <c r="B113" s="68" t="s">
        <v>363</v>
      </c>
      <c r="C113" s="93"/>
      <c r="D113" s="88"/>
      <c r="E113" s="94"/>
      <c r="F113" s="270">
        <f t="shared" ref="F113:F119" si="168">F53-G53</f>
        <v>-492</v>
      </c>
      <c r="G113" s="270">
        <f t="shared" ref="G113:G119" si="169">G53</f>
        <v>306</v>
      </c>
      <c r="H113" s="149">
        <f t="shared" si="152"/>
        <v>-17</v>
      </c>
      <c r="I113" s="149">
        <f t="shared" si="153"/>
        <v>-24</v>
      </c>
      <c r="J113" s="270">
        <f t="shared" ref="J113:J119" si="170">J53-K53</f>
        <v>17</v>
      </c>
      <c r="K113" s="149">
        <f t="shared" ref="K113:K119" si="171">K53</f>
        <v>3</v>
      </c>
      <c r="L113" s="149">
        <f t="shared" si="154"/>
        <v>-1</v>
      </c>
      <c r="M113" s="149">
        <f t="shared" si="155"/>
        <v>49</v>
      </c>
      <c r="N113" s="270">
        <f t="shared" ref="N113:N119" si="172">N53-O53</f>
        <v>17</v>
      </c>
      <c r="O113" s="149">
        <f t="shared" ref="O113:O119" si="173">O53</f>
        <v>-4</v>
      </c>
      <c r="P113" s="149">
        <f t="shared" ref="P113:Q115" si="174">P53-Q53</f>
        <v>-127</v>
      </c>
      <c r="Q113" s="149">
        <f t="shared" si="174"/>
        <v>-673</v>
      </c>
      <c r="R113" s="149">
        <f t="shared" ref="R113:R119" si="175">R53-S53</f>
        <v>-65</v>
      </c>
      <c r="S113" s="149">
        <f t="shared" si="156"/>
        <v>64</v>
      </c>
      <c r="T113" s="400"/>
      <c r="U113" s="400"/>
      <c r="V113" s="400"/>
      <c r="W113" s="400"/>
      <c r="X113" s="149">
        <f t="shared" ref="X113:Z115" si="176">X53-Y53</f>
        <v>38</v>
      </c>
      <c r="Y113" s="149">
        <f t="shared" si="176"/>
        <v>0</v>
      </c>
      <c r="Z113" s="149">
        <f t="shared" si="176"/>
        <v>-21</v>
      </c>
      <c r="AA113" s="149">
        <f t="shared" ref="AA113:AA119" si="177">AA53</f>
        <v>-23</v>
      </c>
      <c r="AB113" s="149">
        <f t="shared" ref="AB113:AD115" si="178">AB53-AC53</f>
        <v>-66.087999999999994</v>
      </c>
      <c r="AC113" s="149">
        <f t="shared" si="178"/>
        <v>131.601</v>
      </c>
      <c r="AD113" s="149">
        <f t="shared" si="178"/>
        <v>17.823999999999998</v>
      </c>
      <c r="AE113" s="149">
        <f t="shared" ref="AE113:AE119" si="179">AE53</f>
        <v>-25.337</v>
      </c>
      <c r="AF113" s="149">
        <f t="shared" ref="AF113:AH115" si="180">AF53-AG53</f>
        <v>136.71499999999997</v>
      </c>
      <c r="AG113" s="149">
        <f t="shared" si="180"/>
        <v>123.68800000000005</v>
      </c>
      <c r="AH113" s="149">
        <f t="shared" si="180"/>
        <v>288.38</v>
      </c>
      <c r="AI113" s="149">
        <f t="shared" ref="AI113:AI119" si="181">AI53</f>
        <v>9.52</v>
      </c>
      <c r="AJ113" s="149">
        <f t="shared" ref="AJ113:AL115" si="182">AJ53-AK53</f>
        <v>-441.20799999999997</v>
      </c>
      <c r="AK113" s="149">
        <f t="shared" si="182"/>
        <v>-690.70499999999993</v>
      </c>
      <c r="AL113" s="149">
        <f t="shared" si="182"/>
        <v>-492.64900000000006</v>
      </c>
      <c r="AM113" s="149">
        <f t="shared" ref="AM113:AM119" si="183">AM53</f>
        <v>745.02200000000005</v>
      </c>
      <c r="AN113" s="149">
        <f t="shared" si="157"/>
        <v>394.26400000000001</v>
      </c>
      <c r="AO113" s="149">
        <f t="shared" si="157"/>
        <v>13.045000000000016</v>
      </c>
      <c r="AP113" s="149">
        <f t="shared" si="157"/>
        <v>101.955</v>
      </c>
      <c r="AQ113" s="149">
        <f t="shared" ref="AQ113:AQ119" si="184">AQ53</f>
        <v>28.870999999999999</v>
      </c>
      <c r="AR113" s="149">
        <f t="shared" si="158"/>
        <v>-474.30999999999995</v>
      </c>
      <c r="AS113" s="149">
        <f t="shared" si="158"/>
        <v>223.20600000000013</v>
      </c>
      <c r="AT113" s="149">
        <f t="shared" si="158"/>
        <v>407.18099999999981</v>
      </c>
      <c r="AU113" s="149">
        <f t="shared" ref="AU113:AU119" si="185">AU53</f>
        <v>1072.9000000000001</v>
      </c>
      <c r="AV113" s="22">
        <f t="shared" si="159"/>
        <v>576.59400000000005</v>
      </c>
      <c r="AW113" s="22">
        <f t="shared" si="159"/>
        <v>346.15999999999985</v>
      </c>
      <c r="AX113" s="22">
        <f t="shared" si="159"/>
        <v>1056.759</v>
      </c>
      <c r="AY113" s="22">
        <f t="shared" ref="AY113:AY119" si="186">AY53</f>
        <v>1285.864</v>
      </c>
      <c r="AZ113" s="22">
        <f t="shared" si="160"/>
        <v>-299.08800000000002</v>
      </c>
      <c r="BA113" s="22">
        <f t="shared" si="160"/>
        <v>20.257000000000005</v>
      </c>
      <c r="BB113" s="22">
        <f t="shared" si="160"/>
        <v>-295.58600000000001</v>
      </c>
      <c r="BC113" s="149">
        <f t="shared" ref="BC113:BC119" si="187">BC53</f>
        <v>-95.221000000000004</v>
      </c>
      <c r="BD113" s="22">
        <f t="shared" si="161"/>
        <v>707.89200000000017</v>
      </c>
      <c r="BE113" s="22">
        <f t="shared" si="161"/>
        <v>20.689000000000021</v>
      </c>
      <c r="BF113" s="22">
        <f t="shared" si="161"/>
        <v>230.88399999999996</v>
      </c>
      <c r="BG113" s="22">
        <f t="shared" ref="BG113:BG119" si="188">BG53</f>
        <v>-315.52499999999998</v>
      </c>
      <c r="BH113" s="22">
        <f t="shared" si="162"/>
        <v>-580.399</v>
      </c>
      <c r="BI113" s="22">
        <f t="shared" si="162"/>
        <v>1.3490000000000038</v>
      </c>
      <c r="BJ113" s="22">
        <f t="shared" si="162"/>
        <v>83.893000000000001</v>
      </c>
      <c r="BK113" s="22">
        <f t="shared" si="163"/>
        <v>2.94</v>
      </c>
      <c r="BL113" s="22">
        <f t="shared" si="164"/>
        <v>2730.6299999999997</v>
      </c>
      <c r="BM113" s="22">
        <f t="shared" si="164"/>
        <v>5.6110000000000007</v>
      </c>
      <c r="BN113" s="22">
        <f t="shared" si="164"/>
        <v>11.795999999999999</v>
      </c>
      <c r="BO113" s="22">
        <f t="shared" si="165"/>
        <v>-8.4039999999999999</v>
      </c>
      <c r="BP113" s="22">
        <f t="shared" si="166"/>
        <v>-1.6790000000000003</v>
      </c>
      <c r="BQ113" s="22">
        <f t="shared" si="166"/>
        <v>0.72599999999999998</v>
      </c>
      <c r="BR113" s="22">
        <f t="shared" si="166"/>
        <v>-7.1530000000000005</v>
      </c>
      <c r="BS113" s="22">
        <f t="shared" si="167"/>
        <v>0.501</v>
      </c>
    </row>
    <row r="114" spans="1:71" s="25" customFormat="1" ht="26.25" x14ac:dyDescent="0.25">
      <c r="A114" s="74">
        <v>114</v>
      </c>
      <c r="B114" s="68" t="s">
        <v>250</v>
      </c>
      <c r="C114" s="93"/>
      <c r="D114" s="88"/>
      <c r="E114" s="94"/>
      <c r="F114" s="270">
        <f t="shared" si="168"/>
        <v>123</v>
      </c>
      <c r="G114" s="270">
        <f t="shared" si="169"/>
        <v>-78</v>
      </c>
      <c r="H114" s="149">
        <f t="shared" si="152"/>
        <v>1</v>
      </c>
      <c r="I114" s="149">
        <f t="shared" si="153"/>
        <v>5</v>
      </c>
      <c r="J114" s="270">
        <f t="shared" si="170"/>
        <v>-4</v>
      </c>
      <c r="K114" s="149">
        <f t="shared" si="171"/>
        <v>-1</v>
      </c>
      <c r="L114" s="149">
        <f t="shared" si="154"/>
        <v>0</v>
      </c>
      <c r="M114" s="149">
        <f t="shared" si="155"/>
        <v>78</v>
      </c>
      <c r="N114" s="270">
        <f t="shared" si="172"/>
        <v>0</v>
      </c>
      <c r="O114" s="149">
        <f t="shared" si="173"/>
        <v>1</v>
      </c>
      <c r="P114" s="149">
        <f t="shared" si="174"/>
        <v>-152</v>
      </c>
      <c r="Q114" s="149">
        <f t="shared" si="174"/>
        <v>114</v>
      </c>
      <c r="R114" s="149">
        <f t="shared" si="175"/>
        <v>13</v>
      </c>
      <c r="S114" s="149">
        <f t="shared" si="156"/>
        <v>-16</v>
      </c>
      <c r="T114" s="400"/>
      <c r="U114" s="400"/>
      <c r="V114" s="400"/>
      <c r="W114" s="400"/>
      <c r="X114" s="149">
        <f t="shared" ref="X114:Y119" si="189">X54-Y54</f>
        <v>-44</v>
      </c>
      <c r="Y114" s="149">
        <f t="shared" si="189"/>
        <v>-2</v>
      </c>
      <c r="Z114" s="149">
        <f t="shared" si="176"/>
        <v>-23</v>
      </c>
      <c r="AA114" s="149">
        <f t="shared" si="177"/>
        <v>-5</v>
      </c>
      <c r="AB114" s="149">
        <f t="shared" ref="AB114:AC119" si="190">AB54-AC54</f>
        <v>13.823</v>
      </c>
      <c r="AC114" s="149">
        <f t="shared" si="190"/>
        <v>-26.288</v>
      </c>
      <c r="AD114" s="149">
        <f t="shared" si="178"/>
        <v>-3.4930000000000003</v>
      </c>
      <c r="AE114" s="149">
        <f t="shared" si="179"/>
        <v>6.9580000000000002</v>
      </c>
      <c r="AF114" s="149">
        <f t="shared" ref="AF114:AG119" si="191">AF54-AG54</f>
        <v>-4.4480000000000075</v>
      </c>
      <c r="AG114" s="149">
        <f t="shared" si="191"/>
        <v>-26.509999999999991</v>
      </c>
      <c r="AH114" s="149">
        <f t="shared" si="180"/>
        <v>-61.545000000000009</v>
      </c>
      <c r="AI114" s="149">
        <f t="shared" si="181"/>
        <v>-3.62</v>
      </c>
      <c r="AJ114" s="149">
        <f t="shared" ref="AJ114:AK119" si="192">AJ54-AK54</f>
        <v>71.008999999999986</v>
      </c>
      <c r="AK114" s="149">
        <f t="shared" si="192"/>
        <v>125.17100000000002</v>
      </c>
      <c r="AL114" s="149">
        <f t="shared" si="182"/>
        <v>164.94399999999999</v>
      </c>
      <c r="AM114" s="149">
        <f t="shared" si="183"/>
        <v>-119.333</v>
      </c>
      <c r="AN114" s="149">
        <f t="shared" si="157"/>
        <v>-45.813000000000017</v>
      </c>
      <c r="AO114" s="149">
        <f t="shared" si="157"/>
        <v>143.38400000000001</v>
      </c>
      <c r="AP114" s="149">
        <f t="shared" si="157"/>
        <v>7.5159999999999982</v>
      </c>
      <c r="AQ114" s="149">
        <f t="shared" si="184"/>
        <v>27.024999999999999</v>
      </c>
      <c r="AR114" s="149">
        <f t="shared" si="158"/>
        <v>152.875</v>
      </c>
      <c r="AS114" s="149">
        <f t="shared" si="158"/>
        <v>-21.72199999999998</v>
      </c>
      <c r="AT114" s="149">
        <f t="shared" si="158"/>
        <v>-40.933000000000021</v>
      </c>
      <c r="AU114" s="149">
        <f t="shared" si="185"/>
        <v>-139.43299999999999</v>
      </c>
      <c r="AV114" s="22">
        <f t="shared" si="159"/>
        <v>-27.708000000000027</v>
      </c>
      <c r="AW114" s="22">
        <f t="shared" si="159"/>
        <v>-47.789999999999964</v>
      </c>
      <c r="AX114" s="22">
        <f t="shared" si="159"/>
        <v>-174.87400000000002</v>
      </c>
      <c r="AY114" s="22">
        <f t="shared" si="186"/>
        <v>-257.173</v>
      </c>
      <c r="AZ114" s="22">
        <f t="shared" si="160"/>
        <v>134.28300000000002</v>
      </c>
      <c r="BA114" s="22">
        <f t="shared" si="160"/>
        <v>-4.0520000000000067</v>
      </c>
      <c r="BB114" s="22">
        <f t="shared" si="160"/>
        <v>59.117000000000004</v>
      </c>
      <c r="BC114" s="149">
        <f t="shared" si="187"/>
        <v>19.045000000000002</v>
      </c>
      <c r="BD114" s="22">
        <f t="shared" si="161"/>
        <v>308.21600000000001</v>
      </c>
      <c r="BE114" s="22">
        <f t="shared" si="161"/>
        <v>-33.40100000000001</v>
      </c>
      <c r="BF114" s="22">
        <f t="shared" si="161"/>
        <v>-46.176999999999992</v>
      </c>
      <c r="BG114" s="22">
        <f t="shared" si="188"/>
        <v>63.104999999999997</v>
      </c>
      <c r="BH114" s="22">
        <f t="shared" si="162"/>
        <v>65.132000000000005</v>
      </c>
      <c r="BI114" s="22">
        <f t="shared" si="162"/>
        <v>-0.26999999999999957</v>
      </c>
      <c r="BJ114" s="22">
        <f t="shared" si="162"/>
        <v>-16.779</v>
      </c>
      <c r="BK114" s="22">
        <f t="shared" si="163"/>
        <v>-0.58799999999999997</v>
      </c>
      <c r="BL114" s="22">
        <f t="shared" si="164"/>
        <v>-828.53899999999999</v>
      </c>
      <c r="BM114" s="22">
        <f t="shared" si="164"/>
        <v>-1.1219999999999999</v>
      </c>
      <c r="BN114" s="22">
        <f t="shared" si="164"/>
        <v>-2.359</v>
      </c>
      <c r="BO114" s="22">
        <f t="shared" si="165"/>
        <v>1.68</v>
      </c>
      <c r="BP114" s="22">
        <f t="shared" si="166"/>
        <v>0.33599999999999985</v>
      </c>
      <c r="BQ114" s="22">
        <f t="shared" si="166"/>
        <v>-0.14500000000000002</v>
      </c>
      <c r="BR114" s="22">
        <f t="shared" si="166"/>
        <v>1.431</v>
      </c>
      <c r="BS114" s="22">
        <f t="shared" si="167"/>
        <v>-0.10100000000000001</v>
      </c>
    </row>
    <row r="115" spans="1:71" s="25" customFormat="1" x14ac:dyDescent="0.25">
      <c r="A115" s="74">
        <v>115</v>
      </c>
      <c r="B115" s="68" t="s">
        <v>300</v>
      </c>
      <c r="C115" s="93"/>
      <c r="D115" s="88"/>
      <c r="E115" s="94"/>
      <c r="F115" s="270">
        <f t="shared" si="168"/>
        <v>0</v>
      </c>
      <c r="G115" s="270">
        <f t="shared" si="169"/>
        <v>0</v>
      </c>
      <c r="H115" s="149">
        <f t="shared" si="152"/>
        <v>0</v>
      </c>
      <c r="I115" s="149">
        <f t="shared" si="153"/>
        <v>0</v>
      </c>
      <c r="J115" s="270">
        <f t="shared" si="170"/>
        <v>0</v>
      </c>
      <c r="K115" s="149">
        <f t="shared" si="171"/>
        <v>0</v>
      </c>
      <c r="L115" s="149">
        <f t="shared" si="154"/>
        <v>0</v>
      </c>
      <c r="M115" s="149">
        <f t="shared" si="155"/>
        <v>0</v>
      </c>
      <c r="N115" s="270">
        <f t="shared" si="172"/>
        <v>0</v>
      </c>
      <c r="O115" s="149">
        <f t="shared" si="173"/>
        <v>0</v>
      </c>
      <c r="P115" s="149">
        <f t="shared" si="174"/>
        <v>0</v>
      </c>
      <c r="Q115" s="149">
        <f t="shared" si="174"/>
        <v>0</v>
      </c>
      <c r="R115" s="149">
        <f t="shared" si="175"/>
        <v>0</v>
      </c>
      <c r="S115" s="149">
        <f t="shared" si="156"/>
        <v>-94</v>
      </c>
      <c r="T115" s="400"/>
      <c r="U115" s="400"/>
      <c r="V115" s="400"/>
      <c r="W115" s="400"/>
      <c r="X115" s="149">
        <f t="shared" si="189"/>
        <v>1</v>
      </c>
      <c r="Y115" s="149">
        <f t="shared" si="189"/>
        <v>-1</v>
      </c>
      <c r="Z115" s="149">
        <f t="shared" si="176"/>
        <v>-9</v>
      </c>
      <c r="AA115" s="149">
        <f t="shared" si="177"/>
        <v>10</v>
      </c>
      <c r="AB115" s="149">
        <f t="shared" si="190"/>
        <v>0.54200000000000159</v>
      </c>
      <c r="AC115" s="149">
        <f t="shared" si="190"/>
        <v>-0.40100000000000335</v>
      </c>
      <c r="AD115" s="149">
        <f t="shared" si="178"/>
        <v>11.080000000000002</v>
      </c>
      <c r="AE115" s="149">
        <f t="shared" si="179"/>
        <v>20.779</v>
      </c>
      <c r="AF115" s="149">
        <f t="shared" si="191"/>
        <v>8.6280000000000019</v>
      </c>
      <c r="AG115" s="149">
        <f t="shared" si="191"/>
        <v>1.2809999999999988</v>
      </c>
      <c r="AH115" s="149">
        <f t="shared" si="180"/>
        <v>5.7999999999999829E-2</v>
      </c>
      <c r="AI115" s="149">
        <f t="shared" si="181"/>
        <v>-21.003</v>
      </c>
      <c r="AJ115" s="149">
        <f t="shared" si="192"/>
        <v>10.73</v>
      </c>
      <c r="AK115" s="149">
        <f t="shared" si="192"/>
        <v>-5.1080000000000005</v>
      </c>
      <c r="AL115" s="149">
        <f t="shared" si="182"/>
        <v>-2.0940000000000003</v>
      </c>
      <c r="AM115" s="149">
        <f t="shared" si="183"/>
        <v>-0.03</v>
      </c>
      <c r="AN115" s="149">
        <f t="shared" si="157"/>
        <v>-0.16500000000000004</v>
      </c>
      <c r="AO115" s="149">
        <f t="shared" si="157"/>
        <v>5.2999999999999936E-2</v>
      </c>
      <c r="AP115" s="149">
        <f t="shared" si="157"/>
        <v>-1.339</v>
      </c>
      <c r="AQ115" s="149">
        <f t="shared" si="184"/>
        <v>0</v>
      </c>
      <c r="AR115" s="149">
        <f t="shared" si="158"/>
        <v>0</v>
      </c>
      <c r="AS115" s="149">
        <f t="shared" si="158"/>
        <v>0</v>
      </c>
      <c r="AT115" s="149">
        <f t="shared" si="158"/>
        <v>0</v>
      </c>
      <c r="AU115" s="149">
        <f t="shared" si="185"/>
        <v>0</v>
      </c>
      <c r="AV115" s="22">
        <f t="shared" si="159"/>
        <v>0</v>
      </c>
      <c r="AW115" s="22">
        <f t="shared" si="159"/>
        <v>0</v>
      </c>
      <c r="AX115" s="22">
        <f t="shared" si="159"/>
        <v>0</v>
      </c>
      <c r="AY115" s="22">
        <f t="shared" si="186"/>
        <v>0</v>
      </c>
      <c r="AZ115" s="22">
        <f t="shared" si="160"/>
        <v>0</v>
      </c>
      <c r="BA115" s="22">
        <f t="shared" si="160"/>
        <v>0</v>
      </c>
      <c r="BB115" s="22">
        <f t="shared" si="160"/>
        <v>0</v>
      </c>
      <c r="BC115" s="149">
        <f t="shared" si="187"/>
        <v>0</v>
      </c>
      <c r="BD115" s="22">
        <f t="shared" si="161"/>
        <v>0</v>
      </c>
      <c r="BE115" s="22">
        <f t="shared" si="161"/>
        <v>0</v>
      </c>
      <c r="BF115" s="22">
        <f t="shared" si="161"/>
        <v>0</v>
      </c>
      <c r="BG115" s="22">
        <f t="shared" si="188"/>
        <v>0</v>
      </c>
      <c r="BH115" s="22">
        <f t="shared" si="162"/>
        <v>0</v>
      </c>
      <c r="BI115" s="22">
        <f t="shared" si="162"/>
        <v>0</v>
      </c>
      <c r="BJ115" s="22">
        <f t="shared" si="162"/>
        <v>0</v>
      </c>
      <c r="BK115" s="22">
        <f t="shared" si="163"/>
        <v>0</v>
      </c>
      <c r="BL115" s="22">
        <f t="shared" si="164"/>
        <v>0</v>
      </c>
      <c r="BM115" s="22">
        <f t="shared" si="164"/>
        <v>0</v>
      </c>
      <c r="BN115" s="22">
        <f t="shared" si="164"/>
        <v>0</v>
      </c>
      <c r="BO115" s="22">
        <f t="shared" si="165"/>
        <v>0</v>
      </c>
      <c r="BP115" s="22">
        <f t="shared" si="166"/>
        <v>0</v>
      </c>
      <c r="BQ115" s="22">
        <f t="shared" si="166"/>
        <v>0</v>
      </c>
      <c r="BR115" s="22">
        <f t="shared" si="166"/>
        <v>0</v>
      </c>
      <c r="BS115" s="22">
        <f t="shared" si="167"/>
        <v>0</v>
      </c>
    </row>
    <row r="116" spans="1:71" s="25" customFormat="1" x14ac:dyDescent="0.25">
      <c r="A116" s="74">
        <v>116</v>
      </c>
      <c r="B116" s="162" t="s">
        <v>247</v>
      </c>
      <c r="C116" s="93"/>
      <c r="D116" s="88"/>
      <c r="E116" s="94"/>
      <c r="F116" s="270">
        <f t="shared" si="168"/>
        <v>0</v>
      </c>
      <c r="G116" s="270">
        <f t="shared" si="169"/>
        <v>0</v>
      </c>
      <c r="H116" s="149">
        <f t="shared" si="152"/>
        <v>0</v>
      </c>
      <c r="I116" s="149">
        <f t="shared" si="153"/>
        <v>0</v>
      </c>
      <c r="J116" s="270">
        <f t="shared" si="170"/>
        <v>0</v>
      </c>
      <c r="K116" s="149">
        <f t="shared" si="171"/>
        <v>0</v>
      </c>
      <c r="L116" s="149">
        <f t="shared" si="154"/>
        <v>0</v>
      </c>
      <c r="M116" s="149">
        <f t="shared" si="155"/>
        <v>0</v>
      </c>
      <c r="N116" s="270">
        <f t="shared" si="172"/>
        <v>0</v>
      </c>
      <c r="O116" s="149">
        <f t="shared" si="173"/>
        <v>0</v>
      </c>
      <c r="P116" s="149">
        <f t="shared" ref="P116:Q119" si="193">P56-Q56</f>
        <v>0</v>
      </c>
      <c r="Q116" s="149">
        <f t="shared" si="193"/>
        <v>0</v>
      </c>
      <c r="R116" s="149">
        <f t="shared" si="175"/>
        <v>0</v>
      </c>
      <c r="S116" s="149">
        <f t="shared" si="156"/>
        <v>0</v>
      </c>
      <c r="T116" s="400"/>
      <c r="U116" s="400"/>
      <c r="V116" s="400"/>
      <c r="W116" s="400"/>
      <c r="X116" s="149">
        <f t="shared" si="189"/>
        <v>0</v>
      </c>
      <c r="Y116" s="149">
        <f t="shared" si="189"/>
        <v>0</v>
      </c>
      <c r="Z116" s="149">
        <f>Z56-AA56</f>
        <v>0</v>
      </c>
      <c r="AA116" s="149">
        <f t="shared" si="177"/>
        <v>0</v>
      </c>
      <c r="AB116" s="149">
        <f t="shared" si="190"/>
        <v>0</v>
      </c>
      <c r="AC116" s="149">
        <f t="shared" si="190"/>
        <v>0</v>
      </c>
      <c r="AD116" s="149">
        <f>AD56-AE56</f>
        <v>0</v>
      </c>
      <c r="AE116" s="149">
        <f t="shared" si="179"/>
        <v>0</v>
      </c>
      <c r="AF116" s="149">
        <f t="shared" si="191"/>
        <v>0</v>
      </c>
      <c r="AG116" s="149">
        <f t="shared" si="191"/>
        <v>0</v>
      </c>
      <c r="AH116" s="149">
        <f>AH56-AI56</f>
        <v>0</v>
      </c>
      <c r="AI116" s="149">
        <f t="shared" si="181"/>
        <v>0</v>
      </c>
      <c r="AJ116" s="149">
        <f t="shared" si="192"/>
        <v>0</v>
      </c>
      <c r="AK116" s="149">
        <f t="shared" si="192"/>
        <v>0</v>
      </c>
      <c r="AL116" s="149">
        <f>AL56-AM56</f>
        <v>0</v>
      </c>
      <c r="AM116" s="149">
        <f t="shared" si="183"/>
        <v>0</v>
      </c>
      <c r="AN116" s="149">
        <f t="shared" si="157"/>
        <v>0</v>
      </c>
      <c r="AO116" s="149">
        <f t="shared" si="157"/>
        <v>0</v>
      </c>
      <c r="AP116" s="149">
        <f t="shared" si="157"/>
        <v>0</v>
      </c>
      <c r="AQ116" s="149">
        <f t="shared" si="184"/>
        <v>0</v>
      </c>
      <c r="AR116" s="149">
        <f t="shared" si="158"/>
        <v>0</v>
      </c>
      <c r="AS116" s="149">
        <f t="shared" si="158"/>
        <v>0</v>
      </c>
      <c r="AT116" s="149">
        <f t="shared" si="158"/>
        <v>0</v>
      </c>
      <c r="AU116" s="149">
        <f t="shared" si="185"/>
        <v>0</v>
      </c>
      <c r="AV116" s="22">
        <f t="shared" si="159"/>
        <v>0</v>
      </c>
      <c r="AW116" s="22">
        <f t="shared" si="159"/>
        <v>0</v>
      </c>
      <c r="AX116" s="22">
        <f t="shared" si="159"/>
        <v>0</v>
      </c>
      <c r="AY116" s="22">
        <f t="shared" si="186"/>
        <v>0</v>
      </c>
      <c r="AZ116" s="22">
        <f t="shared" si="160"/>
        <v>0</v>
      </c>
      <c r="BA116" s="22">
        <f t="shared" si="160"/>
        <v>0</v>
      </c>
      <c r="BB116" s="22">
        <f t="shared" si="160"/>
        <v>0</v>
      </c>
      <c r="BC116" s="149">
        <f t="shared" si="187"/>
        <v>0</v>
      </c>
      <c r="BD116" s="22">
        <f t="shared" si="161"/>
        <v>0</v>
      </c>
      <c r="BE116" s="22">
        <f t="shared" si="161"/>
        <v>0</v>
      </c>
      <c r="BF116" s="22">
        <f t="shared" si="161"/>
        <v>0</v>
      </c>
      <c r="BG116" s="22">
        <f t="shared" si="188"/>
        <v>0</v>
      </c>
      <c r="BH116" s="22">
        <f t="shared" si="162"/>
        <v>0</v>
      </c>
      <c r="BI116" s="22">
        <f t="shared" si="162"/>
        <v>0</v>
      </c>
      <c r="BJ116" s="22">
        <f t="shared" si="162"/>
        <v>0</v>
      </c>
      <c r="BK116" s="22">
        <f t="shared" si="163"/>
        <v>0</v>
      </c>
      <c r="BL116" s="22">
        <f t="shared" si="164"/>
        <v>0</v>
      </c>
      <c r="BM116" s="22">
        <f t="shared" si="164"/>
        <v>0</v>
      </c>
      <c r="BN116" s="22">
        <f t="shared" si="164"/>
        <v>0</v>
      </c>
      <c r="BO116" s="22">
        <f t="shared" si="165"/>
        <v>0</v>
      </c>
      <c r="BP116" s="22">
        <f t="shared" si="166"/>
        <v>0</v>
      </c>
      <c r="BQ116" s="22">
        <f t="shared" si="166"/>
        <v>0</v>
      </c>
      <c r="BR116" s="22">
        <f t="shared" si="166"/>
        <v>0</v>
      </c>
      <c r="BS116" s="22">
        <f t="shared" si="167"/>
        <v>0</v>
      </c>
    </row>
    <row r="117" spans="1:71" s="25" customFormat="1" ht="26.25" x14ac:dyDescent="0.25">
      <c r="A117" s="74">
        <v>117</v>
      </c>
      <c r="B117" s="68" t="s">
        <v>382</v>
      </c>
      <c r="C117" s="93"/>
      <c r="D117" s="88"/>
      <c r="E117" s="94"/>
      <c r="F117" s="270">
        <f t="shared" si="168"/>
        <v>0</v>
      </c>
      <c r="G117" s="270">
        <f t="shared" si="169"/>
        <v>0</v>
      </c>
      <c r="H117" s="149">
        <f t="shared" si="152"/>
        <v>0</v>
      </c>
      <c r="I117" s="149">
        <f t="shared" si="153"/>
        <v>0</v>
      </c>
      <c r="J117" s="270">
        <f t="shared" si="170"/>
        <v>0</v>
      </c>
      <c r="K117" s="149">
        <f t="shared" si="171"/>
        <v>0</v>
      </c>
      <c r="L117" s="149">
        <f t="shared" si="154"/>
        <v>0</v>
      </c>
      <c r="M117" s="149">
        <f t="shared" si="155"/>
        <v>0</v>
      </c>
      <c r="N117" s="270">
        <f t="shared" si="172"/>
        <v>0</v>
      </c>
      <c r="O117" s="149">
        <f t="shared" si="173"/>
        <v>0</v>
      </c>
      <c r="P117" s="149">
        <f t="shared" si="193"/>
        <v>0</v>
      </c>
      <c r="Q117" s="149">
        <f t="shared" si="193"/>
        <v>0</v>
      </c>
      <c r="R117" s="149">
        <f t="shared" si="175"/>
        <v>0</v>
      </c>
      <c r="S117" s="149">
        <f t="shared" si="156"/>
        <v>0</v>
      </c>
      <c r="T117" s="400"/>
      <c r="U117" s="400"/>
      <c r="V117" s="400"/>
      <c r="W117" s="400"/>
      <c r="X117" s="149">
        <f t="shared" si="189"/>
        <v>0</v>
      </c>
      <c r="Y117" s="149">
        <f t="shared" si="189"/>
        <v>0</v>
      </c>
      <c r="Z117" s="149">
        <f>Z57-AA57</f>
        <v>0</v>
      </c>
      <c r="AA117" s="149">
        <f t="shared" si="177"/>
        <v>0</v>
      </c>
      <c r="AB117" s="149">
        <f t="shared" si="190"/>
        <v>0</v>
      </c>
      <c r="AC117" s="149">
        <f t="shared" si="190"/>
        <v>0</v>
      </c>
      <c r="AD117" s="149">
        <f>AD57-AE57</f>
        <v>0</v>
      </c>
      <c r="AE117" s="149">
        <f t="shared" si="179"/>
        <v>0</v>
      </c>
      <c r="AF117" s="149">
        <f t="shared" si="191"/>
        <v>0</v>
      </c>
      <c r="AG117" s="149">
        <f t="shared" si="191"/>
        <v>-20.665999999999997</v>
      </c>
      <c r="AH117" s="149">
        <f>AH57-AI57</f>
        <v>81.626999999999995</v>
      </c>
      <c r="AI117" s="149">
        <f t="shared" si="181"/>
        <v>9.6170000000000009</v>
      </c>
      <c r="AJ117" s="149">
        <f t="shared" si="192"/>
        <v>0</v>
      </c>
      <c r="AK117" s="149">
        <f t="shared" si="192"/>
        <v>0</v>
      </c>
      <c r="AL117" s="149">
        <f>AL57-AM57</f>
        <v>0</v>
      </c>
      <c r="AM117" s="149">
        <f t="shared" si="183"/>
        <v>0</v>
      </c>
      <c r="AN117" s="149">
        <f t="shared" si="157"/>
        <v>0</v>
      </c>
      <c r="AO117" s="149">
        <f t="shared" si="157"/>
        <v>0</v>
      </c>
      <c r="AP117" s="149">
        <f t="shared" si="157"/>
        <v>0</v>
      </c>
      <c r="AQ117" s="149">
        <f t="shared" si="184"/>
        <v>0</v>
      </c>
      <c r="AR117" s="149">
        <f t="shared" si="158"/>
        <v>0</v>
      </c>
      <c r="AS117" s="149">
        <f t="shared" si="158"/>
        <v>0</v>
      </c>
      <c r="AT117" s="149">
        <f t="shared" si="158"/>
        <v>0</v>
      </c>
      <c r="AU117" s="149">
        <f t="shared" si="185"/>
        <v>0</v>
      </c>
      <c r="AV117" s="22">
        <f t="shared" si="159"/>
        <v>0</v>
      </c>
      <c r="AW117" s="22">
        <f t="shared" si="159"/>
        <v>0</v>
      </c>
      <c r="AX117" s="22">
        <f t="shared" si="159"/>
        <v>0</v>
      </c>
      <c r="AY117" s="22">
        <f t="shared" si="186"/>
        <v>0</v>
      </c>
      <c r="AZ117" s="22">
        <f t="shared" si="160"/>
        <v>0</v>
      </c>
      <c r="BA117" s="22">
        <f t="shared" si="160"/>
        <v>0</v>
      </c>
      <c r="BB117" s="22">
        <f t="shared" si="160"/>
        <v>0</v>
      </c>
      <c r="BC117" s="149">
        <f t="shared" si="187"/>
        <v>0</v>
      </c>
      <c r="BD117" s="22">
        <f t="shared" si="161"/>
        <v>0</v>
      </c>
      <c r="BE117" s="22">
        <f t="shared" si="161"/>
        <v>0</v>
      </c>
      <c r="BF117" s="22">
        <f t="shared" si="161"/>
        <v>0</v>
      </c>
      <c r="BG117" s="22">
        <f t="shared" si="188"/>
        <v>0</v>
      </c>
      <c r="BH117" s="22">
        <f t="shared" si="162"/>
        <v>0</v>
      </c>
      <c r="BI117" s="22">
        <f t="shared" si="162"/>
        <v>0</v>
      </c>
      <c r="BJ117" s="22">
        <f t="shared" si="162"/>
        <v>0</v>
      </c>
      <c r="BK117" s="22">
        <f t="shared" si="163"/>
        <v>0</v>
      </c>
      <c r="BL117" s="22">
        <f t="shared" si="164"/>
        <v>0</v>
      </c>
      <c r="BM117" s="22">
        <f t="shared" si="164"/>
        <v>0</v>
      </c>
      <c r="BN117" s="22">
        <f t="shared" si="164"/>
        <v>0</v>
      </c>
      <c r="BO117" s="22">
        <f t="shared" si="165"/>
        <v>0</v>
      </c>
      <c r="BP117" s="22">
        <f t="shared" si="166"/>
        <v>0</v>
      </c>
      <c r="BQ117" s="22">
        <f t="shared" si="166"/>
        <v>0</v>
      </c>
      <c r="BR117" s="22">
        <f t="shared" si="166"/>
        <v>0</v>
      </c>
      <c r="BS117" s="22">
        <f t="shared" si="167"/>
        <v>0</v>
      </c>
    </row>
    <row r="118" spans="1:71" s="25" customFormat="1" x14ac:dyDescent="0.25">
      <c r="A118" s="74">
        <v>118</v>
      </c>
      <c r="B118" s="68" t="s">
        <v>246</v>
      </c>
      <c r="C118" s="93"/>
      <c r="D118" s="88"/>
      <c r="E118" s="94"/>
      <c r="F118" s="270">
        <f t="shared" si="168"/>
        <v>0</v>
      </c>
      <c r="G118" s="270">
        <f t="shared" si="169"/>
        <v>0</v>
      </c>
      <c r="H118" s="149">
        <f t="shared" si="152"/>
        <v>0</v>
      </c>
      <c r="I118" s="149">
        <f t="shared" si="153"/>
        <v>0</v>
      </c>
      <c r="J118" s="270">
        <f t="shared" si="170"/>
        <v>0</v>
      </c>
      <c r="K118" s="149">
        <f t="shared" si="171"/>
        <v>0</v>
      </c>
      <c r="L118" s="149">
        <f t="shared" si="154"/>
        <v>0</v>
      </c>
      <c r="M118" s="149">
        <f t="shared" si="155"/>
        <v>0</v>
      </c>
      <c r="N118" s="270">
        <f t="shared" si="172"/>
        <v>0</v>
      </c>
      <c r="O118" s="149">
        <f t="shared" si="173"/>
        <v>0</v>
      </c>
      <c r="P118" s="149">
        <f t="shared" si="193"/>
        <v>504</v>
      </c>
      <c r="Q118" s="149">
        <f t="shared" si="193"/>
        <v>0</v>
      </c>
      <c r="R118" s="149">
        <f t="shared" si="175"/>
        <v>0</v>
      </c>
      <c r="S118" s="149">
        <f t="shared" si="156"/>
        <v>0</v>
      </c>
      <c r="T118" s="400"/>
      <c r="U118" s="400"/>
      <c r="V118" s="400"/>
      <c r="W118" s="400"/>
      <c r="X118" s="149">
        <f t="shared" si="189"/>
        <v>0</v>
      </c>
      <c r="Y118" s="149">
        <f t="shared" si="189"/>
        <v>0</v>
      </c>
      <c r="Z118" s="149">
        <f>Z58-AA58</f>
        <v>0</v>
      </c>
      <c r="AA118" s="149">
        <f t="shared" si="177"/>
        <v>0</v>
      </c>
      <c r="AB118" s="149">
        <f t="shared" si="190"/>
        <v>25</v>
      </c>
      <c r="AC118" s="149">
        <f t="shared" si="190"/>
        <v>0</v>
      </c>
      <c r="AD118" s="149">
        <f>AD58-AE58</f>
        <v>0</v>
      </c>
      <c r="AE118" s="149">
        <f t="shared" si="179"/>
        <v>0</v>
      </c>
      <c r="AF118" s="149">
        <f t="shared" si="191"/>
        <v>0</v>
      </c>
      <c r="AG118" s="149">
        <f t="shared" si="191"/>
        <v>0</v>
      </c>
      <c r="AH118" s="149">
        <f>AH58-AI58</f>
        <v>0</v>
      </c>
      <c r="AI118" s="149">
        <f t="shared" si="181"/>
        <v>0</v>
      </c>
      <c r="AJ118" s="149">
        <f t="shared" si="192"/>
        <v>0</v>
      </c>
      <c r="AK118" s="149">
        <f t="shared" si="192"/>
        <v>0</v>
      </c>
      <c r="AL118" s="149">
        <f>AL58-AM58</f>
        <v>0</v>
      </c>
      <c r="AM118" s="149">
        <f t="shared" si="183"/>
        <v>0</v>
      </c>
      <c r="AN118" s="149">
        <f t="shared" si="157"/>
        <v>-205.83099999999999</v>
      </c>
      <c r="AO118" s="149">
        <f t="shared" si="157"/>
        <v>0</v>
      </c>
      <c r="AP118" s="149">
        <f t="shared" si="157"/>
        <v>0</v>
      </c>
      <c r="AQ118" s="149">
        <f t="shared" si="184"/>
        <v>0</v>
      </c>
      <c r="AR118" s="149">
        <f t="shared" si="158"/>
        <v>0</v>
      </c>
      <c r="AS118" s="149">
        <f t="shared" si="158"/>
        <v>0</v>
      </c>
      <c r="AT118" s="149">
        <f t="shared" si="158"/>
        <v>0</v>
      </c>
      <c r="AU118" s="149">
        <f t="shared" si="185"/>
        <v>0</v>
      </c>
      <c r="AV118" s="22">
        <f t="shared" si="159"/>
        <v>0</v>
      </c>
      <c r="AW118" s="22">
        <f t="shared" si="159"/>
        <v>0</v>
      </c>
      <c r="AX118" s="22">
        <f t="shared" si="159"/>
        <v>0</v>
      </c>
      <c r="AY118" s="22">
        <f t="shared" si="186"/>
        <v>0</v>
      </c>
      <c r="AZ118" s="22">
        <f t="shared" si="160"/>
        <v>757.79899999999998</v>
      </c>
      <c r="BA118" s="22">
        <f t="shared" si="160"/>
        <v>0</v>
      </c>
      <c r="BB118" s="22">
        <f t="shared" si="160"/>
        <v>0</v>
      </c>
      <c r="BC118" s="149">
        <f t="shared" si="187"/>
        <v>0</v>
      </c>
      <c r="BD118" s="22">
        <f t="shared" si="161"/>
        <v>0</v>
      </c>
      <c r="BE118" s="22">
        <f t="shared" si="161"/>
        <v>0</v>
      </c>
      <c r="BF118" s="22">
        <f t="shared" si="161"/>
        <v>0</v>
      </c>
      <c r="BG118" s="22">
        <f t="shared" si="188"/>
        <v>0</v>
      </c>
      <c r="BH118" s="22">
        <f t="shared" si="162"/>
        <v>254.74</v>
      </c>
      <c r="BI118" s="22">
        <f t="shared" si="162"/>
        <v>0</v>
      </c>
      <c r="BJ118" s="22">
        <f t="shared" si="162"/>
        <v>0</v>
      </c>
      <c r="BK118" s="22">
        <f t="shared" si="163"/>
        <v>0</v>
      </c>
      <c r="BL118" s="22">
        <f t="shared" si="164"/>
        <v>1734.105</v>
      </c>
      <c r="BM118" s="22">
        <f t="shared" si="164"/>
        <v>0</v>
      </c>
      <c r="BN118" s="22">
        <f t="shared" si="164"/>
        <v>0</v>
      </c>
      <c r="BO118" s="22">
        <f t="shared" si="165"/>
        <v>0</v>
      </c>
      <c r="BP118" s="22">
        <f t="shared" si="166"/>
        <v>0</v>
      </c>
      <c r="BQ118" s="22">
        <f t="shared" si="166"/>
        <v>0</v>
      </c>
      <c r="BR118" s="22">
        <f t="shared" si="166"/>
        <v>0</v>
      </c>
      <c r="BS118" s="22">
        <f t="shared" si="167"/>
        <v>0</v>
      </c>
    </row>
    <row r="119" spans="1:71" s="25" customFormat="1" ht="26.25" x14ac:dyDescent="0.25">
      <c r="A119" s="74">
        <v>119</v>
      </c>
      <c r="B119" s="68" t="s">
        <v>241</v>
      </c>
      <c r="C119" s="93"/>
      <c r="D119" s="88"/>
      <c r="E119" s="94"/>
      <c r="F119" s="270">
        <f t="shared" si="168"/>
        <v>0</v>
      </c>
      <c r="G119" s="270">
        <f t="shared" si="169"/>
        <v>0</v>
      </c>
      <c r="H119" s="149">
        <f t="shared" si="152"/>
        <v>0</v>
      </c>
      <c r="I119" s="149">
        <f t="shared" si="153"/>
        <v>0</v>
      </c>
      <c r="J119" s="270">
        <f t="shared" si="170"/>
        <v>0</v>
      </c>
      <c r="K119" s="149">
        <f t="shared" si="171"/>
        <v>0</v>
      </c>
      <c r="L119" s="149">
        <f t="shared" si="154"/>
        <v>-190</v>
      </c>
      <c r="M119" s="149">
        <f t="shared" si="155"/>
        <v>0</v>
      </c>
      <c r="N119" s="270">
        <f t="shared" si="172"/>
        <v>0</v>
      </c>
      <c r="O119" s="149">
        <f t="shared" si="173"/>
        <v>0</v>
      </c>
      <c r="P119" s="149">
        <f t="shared" si="193"/>
        <v>-101</v>
      </c>
      <c r="Q119" s="149">
        <f t="shared" si="193"/>
        <v>0</v>
      </c>
      <c r="R119" s="149">
        <f t="shared" si="175"/>
        <v>0</v>
      </c>
      <c r="S119" s="149">
        <f t="shared" si="156"/>
        <v>0</v>
      </c>
      <c r="T119" s="400"/>
      <c r="U119" s="400"/>
      <c r="V119" s="400"/>
      <c r="W119" s="400"/>
      <c r="X119" s="149">
        <f t="shared" si="189"/>
        <v>0</v>
      </c>
      <c r="Y119" s="149">
        <f t="shared" si="189"/>
        <v>0</v>
      </c>
      <c r="Z119" s="149">
        <f>Z59-AA59</f>
        <v>0</v>
      </c>
      <c r="AA119" s="149">
        <f t="shared" si="177"/>
        <v>0</v>
      </c>
      <c r="AB119" s="149">
        <f t="shared" si="190"/>
        <v>-5</v>
      </c>
      <c r="AC119" s="149">
        <f t="shared" si="190"/>
        <v>0</v>
      </c>
      <c r="AD119" s="149">
        <f>AD59-AE59</f>
        <v>0</v>
      </c>
      <c r="AE119" s="149">
        <f t="shared" si="179"/>
        <v>0</v>
      </c>
      <c r="AF119" s="149">
        <f t="shared" si="191"/>
        <v>0</v>
      </c>
      <c r="AG119" s="149">
        <f t="shared" si="191"/>
        <v>0</v>
      </c>
      <c r="AH119" s="149">
        <f>AH59-AI59</f>
        <v>0</v>
      </c>
      <c r="AI119" s="149">
        <f t="shared" si="181"/>
        <v>0</v>
      </c>
      <c r="AJ119" s="149">
        <f t="shared" si="192"/>
        <v>0</v>
      </c>
      <c r="AK119" s="149">
        <f t="shared" si="192"/>
        <v>0</v>
      </c>
      <c r="AL119" s="149">
        <f>AL59-AM59</f>
        <v>0</v>
      </c>
      <c r="AM119" s="149">
        <f t="shared" si="183"/>
        <v>0</v>
      </c>
      <c r="AN119" s="149">
        <f t="shared" si="157"/>
        <v>41.165999999999997</v>
      </c>
      <c r="AO119" s="149">
        <f t="shared" si="157"/>
        <v>0</v>
      </c>
      <c r="AP119" s="149">
        <f t="shared" si="157"/>
        <v>0</v>
      </c>
      <c r="AQ119" s="149">
        <f t="shared" si="184"/>
        <v>0</v>
      </c>
      <c r="AR119" s="149">
        <f t="shared" si="158"/>
        <v>0</v>
      </c>
      <c r="AS119" s="149">
        <f t="shared" si="158"/>
        <v>0</v>
      </c>
      <c r="AT119" s="149">
        <f t="shared" si="158"/>
        <v>0</v>
      </c>
      <c r="AU119" s="149">
        <f t="shared" si="185"/>
        <v>0</v>
      </c>
      <c r="AV119" s="22">
        <f t="shared" si="159"/>
        <v>0</v>
      </c>
      <c r="AW119" s="22">
        <f t="shared" si="159"/>
        <v>0</v>
      </c>
      <c r="AX119" s="22">
        <f t="shared" si="159"/>
        <v>0</v>
      </c>
      <c r="AY119" s="22">
        <f t="shared" si="186"/>
        <v>0</v>
      </c>
      <c r="AZ119" s="22">
        <f t="shared" si="160"/>
        <v>-151.56</v>
      </c>
      <c r="BA119" s="22">
        <f t="shared" si="160"/>
        <v>0</v>
      </c>
      <c r="BB119" s="22">
        <f t="shared" si="160"/>
        <v>0</v>
      </c>
      <c r="BC119" s="149">
        <f t="shared" si="187"/>
        <v>0</v>
      </c>
      <c r="BD119" s="22">
        <f t="shared" si="161"/>
        <v>0</v>
      </c>
      <c r="BE119" s="22">
        <f t="shared" si="161"/>
        <v>0</v>
      </c>
      <c r="BF119" s="22">
        <f t="shared" si="161"/>
        <v>0</v>
      </c>
      <c r="BG119" s="22">
        <f t="shared" si="188"/>
        <v>0</v>
      </c>
      <c r="BH119" s="22">
        <f t="shared" si="162"/>
        <v>0</v>
      </c>
      <c r="BI119" s="22">
        <f t="shared" si="162"/>
        <v>0</v>
      </c>
      <c r="BJ119" s="22">
        <f t="shared" si="162"/>
        <v>0</v>
      </c>
      <c r="BK119" s="22">
        <f t="shared" si="163"/>
        <v>0</v>
      </c>
      <c r="BL119" s="22">
        <f t="shared" si="164"/>
        <v>0</v>
      </c>
      <c r="BM119" s="22">
        <f t="shared" si="164"/>
        <v>0</v>
      </c>
      <c r="BN119" s="22">
        <f t="shared" si="164"/>
        <v>0</v>
      </c>
      <c r="BO119" s="22">
        <f t="shared" si="165"/>
        <v>0</v>
      </c>
      <c r="BP119" s="22">
        <f t="shared" si="166"/>
        <v>0</v>
      </c>
      <c r="BQ119" s="22">
        <f t="shared" si="166"/>
        <v>0</v>
      </c>
      <c r="BR119" s="22">
        <f t="shared" si="166"/>
        <v>0</v>
      </c>
      <c r="BS119" s="22">
        <f t="shared" si="167"/>
        <v>0</v>
      </c>
    </row>
    <row r="120" spans="1:71" s="19" customFormat="1" ht="26.25" customHeight="1" x14ac:dyDescent="0.25">
      <c r="A120" s="74">
        <v>120</v>
      </c>
      <c r="B120" s="55" t="s">
        <v>296</v>
      </c>
      <c r="C120" s="93"/>
      <c r="D120" s="88"/>
      <c r="E120" s="96"/>
      <c r="F120" s="271"/>
      <c r="G120" s="271"/>
      <c r="H120" s="66"/>
      <c r="I120" s="66"/>
      <c r="J120" s="271"/>
      <c r="K120" s="66"/>
      <c r="L120" s="66"/>
      <c r="M120" s="66"/>
      <c r="N120" s="271"/>
      <c r="O120" s="66"/>
      <c r="P120" s="66"/>
      <c r="Q120" s="66"/>
      <c r="R120" s="66"/>
      <c r="S120" s="66"/>
      <c r="T120" s="412"/>
      <c r="U120" s="412"/>
      <c r="V120" s="412"/>
      <c r="W120" s="412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20"/>
      <c r="BG120" s="20"/>
      <c r="BH120" s="66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</row>
    <row r="121" spans="1:71" s="19" customFormat="1" ht="15" customHeight="1" x14ac:dyDescent="0.25">
      <c r="A121" s="74">
        <v>121</v>
      </c>
      <c r="B121" s="30" t="s">
        <v>295</v>
      </c>
      <c r="C121" s="93"/>
      <c r="D121" s="88"/>
      <c r="E121" s="96"/>
      <c r="F121" s="270">
        <f>F61-G61</f>
        <v>5213.4079999999994</v>
      </c>
      <c r="G121" s="270">
        <f>G61</f>
        <v>11143.592000000001</v>
      </c>
      <c r="H121" s="149">
        <f>H61-I61</f>
        <v>4429</v>
      </c>
      <c r="I121" s="149">
        <f>I61-J61</f>
        <v>8747</v>
      </c>
      <c r="J121" s="270">
        <f>J61-K61</f>
        <v>9139</v>
      </c>
      <c r="K121" s="149">
        <f>K61</f>
        <v>15529</v>
      </c>
      <c r="L121" s="149">
        <f>L61-M61</f>
        <v>13019</v>
      </c>
      <c r="M121" s="149">
        <f>M61-N61</f>
        <v>12953</v>
      </c>
      <c r="N121" s="270">
        <f>N61-O61</f>
        <v>11285</v>
      </c>
      <c r="O121" s="149">
        <f>O61</f>
        <v>13017</v>
      </c>
      <c r="P121" s="149">
        <f>P61-Q61</f>
        <v>11444</v>
      </c>
      <c r="Q121" s="149">
        <f>Q61-R61</f>
        <v>8071</v>
      </c>
      <c r="R121" s="149">
        <f>R61-S61</f>
        <v>13683</v>
      </c>
      <c r="S121" s="149">
        <f>S61</f>
        <v>14590</v>
      </c>
      <c r="T121" s="400"/>
      <c r="U121" s="400"/>
      <c r="V121" s="400"/>
      <c r="W121" s="400"/>
      <c r="X121" s="149">
        <f>X61-Y61</f>
        <v>6853</v>
      </c>
      <c r="Y121" s="149">
        <f>Y61-Z61</f>
        <v>4143</v>
      </c>
      <c r="Z121" s="149">
        <f>Z61-AA61</f>
        <v>4962</v>
      </c>
      <c r="AA121" s="149">
        <f>AA61</f>
        <v>2418</v>
      </c>
      <c r="AB121" s="149">
        <f>AB61-AC61</f>
        <v>4441.6350000000039</v>
      </c>
      <c r="AC121" s="149">
        <f>AC61-AD61</f>
        <v>2854.039999999995</v>
      </c>
      <c r="AD121" s="149">
        <f>AD61-AE61</f>
        <v>2041.6040000000012</v>
      </c>
      <c r="AE121" s="149">
        <f>AE61</f>
        <v>1573.721</v>
      </c>
      <c r="AF121" s="149">
        <f t="shared" ref="AF121:AH122" si="194">AF61-AG61</f>
        <v>2423.780999999999</v>
      </c>
      <c r="AG121" s="149">
        <f t="shared" si="194"/>
        <v>2104.721</v>
      </c>
      <c r="AH121" s="149">
        <f t="shared" si="194"/>
        <v>2505.9169999999999</v>
      </c>
      <c r="AI121" s="149">
        <f>AI61</f>
        <v>1246.1300000000001</v>
      </c>
      <c r="AJ121" s="149">
        <f t="shared" ref="AJ121:AL122" si="195">AJ61-AK61</f>
        <v>2267.59</v>
      </c>
      <c r="AK121" s="149">
        <f t="shared" si="195"/>
        <v>1517.9800000000005</v>
      </c>
      <c r="AL121" s="149">
        <f t="shared" si="195"/>
        <v>1806.3089999999997</v>
      </c>
      <c r="AM121" s="149">
        <v>2300.9389999999999</v>
      </c>
      <c r="AN121" s="149">
        <v>1765.0870000000004</v>
      </c>
      <c r="AO121" s="149">
        <v>1813.6909999999998</v>
      </c>
      <c r="AP121" s="22">
        <v>1787.0079999999984</v>
      </c>
      <c r="AQ121" s="22">
        <f>AQ123</f>
        <v>1564.7420000000011</v>
      </c>
      <c r="AR121" s="22">
        <f t="shared" ref="AR121:BS121" si="196">AR123</f>
        <v>811.17199999999912</v>
      </c>
      <c r="AS121" s="22">
        <f t="shared" si="196"/>
        <v>1402.8470000000013</v>
      </c>
      <c r="AT121" s="22">
        <f t="shared" si="196"/>
        <v>1214.7419999999979</v>
      </c>
      <c r="AU121" s="22">
        <f t="shared" si="196"/>
        <v>1736.5820000000008</v>
      </c>
      <c r="AV121" s="22">
        <f t="shared" si="196"/>
        <v>1279.0180000000028</v>
      </c>
      <c r="AW121" s="22">
        <f t="shared" si="196"/>
        <v>1612.6009999999949</v>
      </c>
      <c r="AX121" s="22">
        <f t="shared" si="196"/>
        <v>1719.2040000000011</v>
      </c>
      <c r="AY121" s="22">
        <f t="shared" si="196"/>
        <v>1891.5789999999995</v>
      </c>
      <c r="AZ121" s="22">
        <f t="shared" si="196"/>
        <v>1137.1660000000036</v>
      </c>
      <c r="BA121" s="22">
        <f t="shared" si="196"/>
        <v>1506.0450000000012</v>
      </c>
      <c r="BB121" s="22">
        <f t="shared" si="196"/>
        <v>971.0169999999996</v>
      </c>
      <c r="BC121" s="22">
        <f t="shared" si="196"/>
        <v>1936.3470000000004</v>
      </c>
      <c r="BD121" s="22">
        <f t="shared" si="196"/>
        <v>25.889000000002056</v>
      </c>
      <c r="BE121" s="22">
        <f t="shared" si="196"/>
        <v>1315.0189999999998</v>
      </c>
      <c r="BF121" s="22">
        <f t="shared" si="196"/>
        <v>1391.709000000001</v>
      </c>
      <c r="BG121" s="22">
        <f t="shared" si="196"/>
        <v>1085.8349999999996</v>
      </c>
      <c r="BH121" s="22">
        <f t="shared" si="196"/>
        <v>376.63000000000142</v>
      </c>
      <c r="BI121" s="22">
        <f t="shared" si="196"/>
        <v>919.73400000000061</v>
      </c>
      <c r="BJ121" s="22">
        <f t="shared" si="196"/>
        <v>505.69899999999984</v>
      </c>
      <c r="BK121" s="22">
        <f t="shared" si="196"/>
        <v>454.56099999999969</v>
      </c>
      <c r="BL121" s="22">
        <f t="shared" si="196"/>
        <v>4161.0219999999999</v>
      </c>
      <c r="BM121" s="22">
        <f t="shared" si="196"/>
        <v>1376.1819999999998</v>
      </c>
      <c r="BN121" s="22">
        <f t="shared" si="196"/>
        <v>1721.6070000000002</v>
      </c>
      <c r="BO121" s="22">
        <f t="shared" si="196"/>
        <v>2251.1540000000005</v>
      </c>
      <c r="BP121" s="22">
        <f t="shared" si="196"/>
        <v>1975.0430000000006</v>
      </c>
      <c r="BQ121" s="22">
        <f t="shared" si="196"/>
        <v>1316.7050000000006</v>
      </c>
      <c r="BR121" s="22">
        <f t="shared" si="196"/>
        <v>913.17700000000059</v>
      </c>
      <c r="BS121" s="22">
        <f t="shared" si="196"/>
        <v>469.56200000000024</v>
      </c>
    </row>
    <row r="122" spans="1:71" s="19" customFormat="1" ht="15" customHeight="1" x14ac:dyDescent="0.25">
      <c r="A122" s="74">
        <v>122</v>
      </c>
      <c r="B122" s="30" t="s">
        <v>293</v>
      </c>
      <c r="C122" s="93"/>
      <c r="D122" s="88"/>
      <c r="E122" s="96"/>
      <c r="F122" s="270">
        <f>F62-G62</f>
        <v>23</v>
      </c>
      <c r="G122" s="270"/>
      <c r="H122" s="149"/>
      <c r="I122" s="149"/>
      <c r="J122" s="270"/>
      <c r="K122" s="149"/>
      <c r="L122" s="149"/>
      <c r="M122" s="149"/>
      <c r="N122" s="270"/>
      <c r="O122" s="149"/>
      <c r="P122" s="149"/>
      <c r="Q122" s="149"/>
      <c r="R122" s="149"/>
      <c r="S122" s="149"/>
      <c r="T122" s="400"/>
      <c r="U122" s="400"/>
      <c r="V122" s="400"/>
      <c r="W122" s="400"/>
      <c r="X122" s="149"/>
      <c r="Y122" s="149"/>
      <c r="Z122" s="149"/>
      <c r="AA122" s="149"/>
      <c r="AB122" s="149"/>
      <c r="AC122" s="149"/>
      <c r="AD122" s="149"/>
      <c r="AE122" s="149"/>
      <c r="AF122" s="149">
        <f t="shared" si="194"/>
        <v>-2.4249999999999998</v>
      </c>
      <c r="AG122" s="149">
        <f t="shared" si="194"/>
        <v>2.706</v>
      </c>
      <c r="AH122" s="149">
        <f t="shared" si="194"/>
        <v>-0.89800000000000002</v>
      </c>
      <c r="AI122" s="149">
        <f>AI62</f>
        <v>0.61699999999999999</v>
      </c>
      <c r="AJ122" s="149">
        <f t="shared" si="195"/>
        <v>21.128</v>
      </c>
      <c r="AK122" s="149">
        <f t="shared" si="195"/>
        <v>43.645000000000003</v>
      </c>
      <c r="AL122" s="149">
        <f t="shared" si="195"/>
        <v>32.117999999999995</v>
      </c>
      <c r="AM122" s="149">
        <v>12.996</v>
      </c>
      <c r="AN122" s="149">
        <v>7.2609999999999957</v>
      </c>
      <c r="AO122" s="149">
        <v>25.795000000000005</v>
      </c>
      <c r="AP122" s="22">
        <v>28.922999999999998</v>
      </c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20"/>
      <c r="BG122" s="20"/>
      <c r="BH122" s="66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</row>
    <row r="123" spans="1:71" s="19" customFormat="1" ht="27" customHeight="1" x14ac:dyDescent="0.25">
      <c r="A123" s="74">
        <v>123</v>
      </c>
      <c r="B123" s="69" t="s">
        <v>141</v>
      </c>
      <c r="C123" s="95"/>
      <c r="D123" s="125"/>
      <c r="E123" s="96"/>
      <c r="F123" s="173">
        <f t="shared" ref="F123" si="197">F109+F113+F119+F118+F112+F115+F114+F117</f>
        <v>5236.4079999999994</v>
      </c>
      <c r="G123" s="271">
        <f t="shared" ref="G123" si="198">G109+G113+G119+G118+G112+G115+G114+G117</f>
        <v>11143.592000000001</v>
      </c>
      <c r="H123" s="173">
        <f t="shared" ref="H123" si="199">H109+H113+H119+H118+H112+H115+H114+H117</f>
        <v>4429</v>
      </c>
      <c r="I123" s="173">
        <f t="shared" ref="I123" si="200">I109+I113+I119+I118+I112+I115+I114+I117</f>
        <v>8747</v>
      </c>
      <c r="J123" s="173">
        <f t="shared" ref="J123" si="201">J109+J113+J119+J118+J112+J115+J114+J117</f>
        <v>9139</v>
      </c>
      <c r="K123" s="173">
        <f t="shared" ref="K123" si="202">K109+K113+K119+K118+K112+K115+K114+K117</f>
        <v>15529</v>
      </c>
      <c r="L123" s="173">
        <f t="shared" ref="L123:AC123" si="203">L109+L113+L119+L118+L112+L115+L114+L117</f>
        <v>13019</v>
      </c>
      <c r="M123" s="173">
        <f t="shared" si="203"/>
        <v>12953</v>
      </c>
      <c r="N123" s="173">
        <f t="shared" si="203"/>
        <v>11285</v>
      </c>
      <c r="O123" s="173">
        <f t="shared" si="203"/>
        <v>13017</v>
      </c>
      <c r="P123" s="173">
        <f t="shared" si="203"/>
        <v>11444</v>
      </c>
      <c r="Q123" s="173">
        <f t="shared" si="203"/>
        <v>8071</v>
      </c>
      <c r="R123" s="173">
        <f t="shared" si="203"/>
        <v>13683</v>
      </c>
      <c r="S123" s="173">
        <f t="shared" si="203"/>
        <v>14590</v>
      </c>
      <c r="T123" s="412"/>
      <c r="U123" s="412"/>
      <c r="V123" s="412"/>
      <c r="W123" s="412"/>
      <c r="X123" s="173">
        <f t="shared" si="203"/>
        <v>6853</v>
      </c>
      <c r="Y123" s="173">
        <f t="shared" si="203"/>
        <v>4143</v>
      </c>
      <c r="Z123" s="173">
        <f t="shared" si="203"/>
        <v>4962</v>
      </c>
      <c r="AA123" s="173">
        <f t="shared" si="203"/>
        <v>2418</v>
      </c>
      <c r="AB123" s="173">
        <f t="shared" si="203"/>
        <v>4441.6350000000039</v>
      </c>
      <c r="AC123" s="173">
        <f t="shared" si="203"/>
        <v>2854.0399999999963</v>
      </c>
      <c r="AD123" s="173">
        <f t="shared" ref="AD123:AI123" si="204">AD109+AD113+AD119+AD118+AD112+AD115+AD114+AD117</f>
        <v>2041.6040000000016</v>
      </c>
      <c r="AE123" s="173">
        <f t="shared" si="204"/>
        <v>1573.7209999999995</v>
      </c>
      <c r="AF123" s="173">
        <f t="shared" si="204"/>
        <v>2421.3570000000022</v>
      </c>
      <c r="AG123" s="173">
        <f t="shared" si="204"/>
        <v>2107.4260000000022</v>
      </c>
      <c r="AH123" s="173">
        <f t="shared" si="204"/>
        <v>2505.0189999999989</v>
      </c>
      <c r="AI123" s="173">
        <f t="shared" si="204"/>
        <v>1246.7470000000005</v>
      </c>
      <c r="AJ123" s="173">
        <f>AJ109+AJ113+AJ119+AJ118+AJ112+AJ115+AJ114</f>
        <v>2288.7180000000067</v>
      </c>
      <c r="AK123" s="173">
        <f t="shared" ref="AK123:AP123" si="205">AK109+AK113+AK119+AK118+AK112+AK115+AK114</f>
        <v>1561.624999999995</v>
      </c>
      <c r="AL123" s="173">
        <f t="shared" si="205"/>
        <v>1838.4269999999992</v>
      </c>
      <c r="AM123" s="173">
        <f t="shared" si="205"/>
        <v>2666.3699999999985</v>
      </c>
      <c r="AN123" s="173">
        <f t="shared" si="205"/>
        <v>2137.2569999999951</v>
      </c>
      <c r="AO123" s="173">
        <f t="shared" si="205"/>
        <v>1555.5719999999994</v>
      </c>
      <c r="AP123" s="173">
        <f t="shared" si="205"/>
        <v>2115.7709999999984</v>
      </c>
      <c r="AQ123" s="173">
        <f t="shared" ref="AQ123:AX123" si="206">AQ109+AQ113+AQ119+AQ118+AQ112+AQ114</f>
        <v>1564.7420000000011</v>
      </c>
      <c r="AR123" s="173">
        <f t="shared" si="206"/>
        <v>811.17199999999912</v>
      </c>
      <c r="AS123" s="173">
        <f t="shared" si="206"/>
        <v>1402.8470000000013</v>
      </c>
      <c r="AT123" s="173">
        <f t="shared" si="206"/>
        <v>1214.7419999999979</v>
      </c>
      <c r="AU123" s="173">
        <f t="shared" si="206"/>
        <v>1736.5820000000008</v>
      </c>
      <c r="AV123" s="66">
        <f t="shared" si="206"/>
        <v>1279.0180000000028</v>
      </c>
      <c r="AW123" s="66">
        <f t="shared" si="206"/>
        <v>1612.6009999999949</v>
      </c>
      <c r="AX123" s="66">
        <f t="shared" si="206"/>
        <v>1719.2040000000011</v>
      </c>
      <c r="AY123" s="66">
        <f t="shared" ref="AY123:BS123" si="207">AY109+AY113+AY119+AY118+AY112+AY114</f>
        <v>1891.5789999999995</v>
      </c>
      <c r="AZ123" s="20">
        <f t="shared" si="207"/>
        <v>1137.1660000000036</v>
      </c>
      <c r="BA123" s="20">
        <f t="shared" si="207"/>
        <v>1506.0450000000012</v>
      </c>
      <c r="BB123" s="20">
        <f t="shared" si="207"/>
        <v>971.0169999999996</v>
      </c>
      <c r="BC123" s="20">
        <f t="shared" si="207"/>
        <v>1936.3470000000004</v>
      </c>
      <c r="BD123" s="20">
        <f t="shared" si="207"/>
        <v>25.889000000002056</v>
      </c>
      <c r="BE123" s="20">
        <f t="shared" si="207"/>
        <v>1315.0189999999998</v>
      </c>
      <c r="BF123" s="20">
        <f t="shared" si="207"/>
        <v>1391.709000000001</v>
      </c>
      <c r="BG123" s="20">
        <f t="shared" si="207"/>
        <v>1085.8349999999996</v>
      </c>
      <c r="BH123" s="20">
        <f t="shared" si="207"/>
        <v>376.63000000000142</v>
      </c>
      <c r="BI123" s="20">
        <f t="shared" si="207"/>
        <v>919.73400000000061</v>
      </c>
      <c r="BJ123" s="20">
        <f t="shared" si="207"/>
        <v>505.69899999999984</v>
      </c>
      <c r="BK123" s="20">
        <f t="shared" si="207"/>
        <v>454.56099999999969</v>
      </c>
      <c r="BL123" s="20">
        <f t="shared" si="207"/>
        <v>4161.0219999999999</v>
      </c>
      <c r="BM123" s="20">
        <f t="shared" si="207"/>
        <v>1376.1819999999998</v>
      </c>
      <c r="BN123" s="20">
        <f t="shared" si="207"/>
        <v>1721.6070000000002</v>
      </c>
      <c r="BO123" s="20">
        <f t="shared" si="207"/>
        <v>2251.1540000000005</v>
      </c>
      <c r="BP123" s="20">
        <f t="shared" si="207"/>
        <v>1975.0430000000006</v>
      </c>
      <c r="BQ123" s="20">
        <f t="shared" si="207"/>
        <v>1316.7050000000006</v>
      </c>
      <c r="BR123" s="20">
        <f t="shared" si="207"/>
        <v>913.17700000000059</v>
      </c>
      <c r="BS123" s="20">
        <f t="shared" si="207"/>
        <v>469.56200000000024</v>
      </c>
    </row>
    <row r="124" spans="1:71" x14ac:dyDescent="0.25">
      <c r="A124" s="74">
        <v>124</v>
      </c>
      <c r="G124" s="301"/>
    </row>
    <row r="125" spans="1:71" x14ac:dyDescent="0.25">
      <c r="A125" s="74">
        <v>125</v>
      </c>
      <c r="F125" s="27"/>
      <c r="G125" s="390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N125" s="25"/>
      <c r="BB125" s="25"/>
      <c r="BC125" s="25"/>
      <c r="BD125" s="25"/>
      <c r="BE125" s="25"/>
    </row>
    <row r="126" spans="1:71" x14ac:dyDescent="0.25">
      <c r="A126" s="74">
        <v>126</v>
      </c>
      <c r="G126" s="301"/>
    </row>
    <row r="127" spans="1:71" x14ac:dyDescent="0.25">
      <c r="A127" s="74">
        <v>127</v>
      </c>
      <c r="B127" s="453" t="s">
        <v>162</v>
      </c>
      <c r="C127" s="470"/>
      <c r="D127" s="222"/>
      <c r="E127" s="468" t="s">
        <v>202</v>
      </c>
      <c r="F127" s="446" t="s">
        <v>474</v>
      </c>
      <c r="G127" s="479" t="s">
        <v>472</v>
      </c>
      <c r="H127" s="446" t="s">
        <v>470</v>
      </c>
      <c r="I127" s="446" t="s">
        <v>467</v>
      </c>
      <c r="J127" s="446" t="s">
        <v>465</v>
      </c>
      <c r="K127" s="446" t="s">
        <v>462</v>
      </c>
      <c r="L127" s="446" t="s">
        <v>458</v>
      </c>
      <c r="M127" s="446" t="s">
        <v>456</v>
      </c>
      <c r="N127" s="446" t="s">
        <v>453</v>
      </c>
      <c r="O127" s="446" t="s">
        <v>452</v>
      </c>
      <c r="P127" s="446" t="s">
        <v>450</v>
      </c>
      <c r="Q127" s="446" t="s">
        <v>448</v>
      </c>
      <c r="R127" s="446" t="s">
        <v>446</v>
      </c>
      <c r="S127" s="446" t="s">
        <v>438</v>
      </c>
      <c r="T127" s="446" t="s">
        <v>436</v>
      </c>
      <c r="U127" s="446" t="s">
        <v>433</v>
      </c>
      <c r="V127" s="446" t="s">
        <v>431</v>
      </c>
      <c r="W127" s="446" t="s">
        <v>429</v>
      </c>
      <c r="X127" s="446" t="s">
        <v>423</v>
      </c>
      <c r="Y127" s="446" t="s">
        <v>420</v>
      </c>
      <c r="Z127" s="446" t="s">
        <v>418</v>
      </c>
      <c r="AA127" s="446" t="s">
        <v>415</v>
      </c>
      <c r="AB127" s="446" t="s">
        <v>409</v>
      </c>
      <c r="AC127" s="446" t="s">
        <v>407</v>
      </c>
      <c r="AD127" s="446" t="s">
        <v>405</v>
      </c>
      <c r="AE127" s="446" t="s">
        <v>402</v>
      </c>
      <c r="AF127" s="446" t="s">
        <v>392</v>
      </c>
      <c r="AG127" s="446" t="s">
        <v>386</v>
      </c>
      <c r="AH127" s="446" t="s">
        <v>383</v>
      </c>
      <c r="AI127" s="446" t="s">
        <v>381</v>
      </c>
      <c r="AJ127" s="446" t="s">
        <v>375</v>
      </c>
      <c r="AK127" s="446" t="s">
        <v>372</v>
      </c>
      <c r="AL127" s="446" t="s">
        <v>346</v>
      </c>
      <c r="AM127" s="446" t="s">
        <v>311</v>
      </c>
      <c r="AN127" s="446" t="s">
        <v>308</v>
      </c>
      <c r="AO127" s="446" t="s">
        <v>306</v>
      </c>
      <c r="AP127" s="446" t="s">
        <v>291</v>
      </c>
      <c r="AQ127" s="446" t="s">
        <v>286</v>
      </c>
      <c r="AR127" s="446" t="s">
        <v>273</v>
      </c>
      <c r="AS127" s="446" t="s">
        <v>272</v>
      </c>
      <c r="AT127" s="446" t="s">
        <v>270</v>
      </c>
      <c r="AU127" s="446" t="s">
        <v>266</v>
      </c>
      <c r="AV127" s="446" t="s">
        <v>265</v>
      </c>
      <c r="AW127" s="446" t="s">
        <v>263</v>
      </c>
      <c r="AX127" s="446" t="s">
        <v>255</v>
      </c>
      <c r="AY127" s="446" t="s">
        <v>253</v>
      </c>
      <c r="AZ127" s="446" t="s">
        <v>244</v>
      </c>
      <c r="BA127" s="446" t="s">
        <v>242</v>
      </c>
      <c r="BB127" s="446" t="s">
        <v>239</v>
      </c>
      <c r="BC127" s="446" t="s">
        <v>231</v>
      </c>
      <c r="BD127" s="446" t="s">
        <v>226</v>
      </c>
      <c r="BE127" s="446" t="s">
        <v>221</v>
      </c>
      <c r="BF127" s="446" t="s">
        <v>204</v>
      </c>
      <c r="BG127" s="446" t="s">
        <v>203</v>
      </c>
      <c r="BH127" s="446" t="s">
        <v>199</v>
      </c>
      <c r="BI127" s="446" t="s">
        <v>163</v>
      </c>
      <c r="BJ127" s="446" t="s">
        <v>164</v>
      </c>
      <c r="BK127" s="446" t="s">
        <v>4</v>
      </c>
      <c r="BL127" s="446" t="s">
        <v>165</v>
      </c>
      <c r="BM127" s="446" t="s">
        <v>168</v>
      </c>
      <c r="BN127" s="446" t="s">
        <v>169</v>
      </c>
      <c r="BO127" s="446" t="s">
        <v>5</v>
      </c>
      <c r="BP127" s="446" t="s">
        <v>170</v>
      </c>
      <c r="BQ127" s="446" t="s">
        <v>171</v>
      </c>
      <c r="BR127" s="446" t="s">
        <v>172</v>
      </c>
      <c r="BS127" s="446" t="s">
        <v>6</v>
      </c>
    </row>
    <row r="128" spans="1:71" x14ac:dyDescent="0.25">
      <c r="A128" s="74">
        <v>128</v>
      </c>
      <c r="B128" s="454"/>
      <c r="C128" s="471"/>
      <c r="D128" s="274"/>
      <c r="E128" s="478"/>
      <c r="F128" s="447"/>
      <c r="G128" s="493"/>
      <c r="H128" s="448"/>
      <c r="I128" s="447"/>
      <c r="J128" s="447"/>
      <c r="K128" s="447"/>
      <c r="L128" s="448"/>
      <c r="M128" s="447"/>
      <c r="N128" s="447"/>
      <c r="O128" s="447"/>
      <c r="P128" s="448"/>
      <c r="Q128" s="447"/>
      <c r="R128" s="447"/>
      <c r="S128" s="447"/>
      <c r="T128" s="448"/>
      <c r="U128" s="447"/>
      <c r="V128" s="447"/>
      <c r="W128" s="447"/>
      <c r="X128" s="448"/>
      <c r="Y128" s="448"/>
      <c r="Z128" s="447"/>
      <c r="AA128" s="447"/>
      <c r="AB128" s="448"/>
      <c r="AC128" s="448"/>
      <c r="AD128" s="448"/>
      <c r="AE128" s="447"/>
      <c r="AF128" s="447"/>
      <c r="AG128" s="448"/>
      <c r="AH128" s="448"/>
      <c r="AI128" s="447"/>
      <c r="AJ128" s="447"/>
      <c r="AK128" s="447"/>
      <c r="AL128" s="447"/>
      <c r="AM128" s="447"/>
      <c r="AN128" s="448"/>
      <c r="AO128" s="447"/>
      <c r="AP128" s="447"/>
      <c r="AQ128" s="447"/>
      <c r="AR128" s="448"/>
      <c r="AS128" s="447"/>
      <c r="AT128" s="447"/>
      <c r="AU128" s="447"/>
      <c r="AV128" s="448"/>
      <c r="AW128" s="448"/>
      <c r="AX128" s="448"/>
      <c r="AY128" s="447"/>
      <c r="AZ128" s="447"/>
      <c r="BA128" s="447"/>
      <c r="BB128" s="447"/>
      <c r="BC128" s="447"/>
      <c r="BD128" s="447"/>
      <c r="BE128" s="447"/>
      <c r="BF128" s="447"/>
      <c r="BG128" s="447"/>
      <c r="BH128" s="447"/>
      <c r="BI128" s="447"/>
      <c r="BJ128" s="447"/>
      <c r="BK128" s="447"/>
      <c r="BL128" s="447"/>
      <c r="BM128" s="447"/>
      <c r="BN128" s="447"/>
      <c r="BO128" s="447"/>
      <c r="BP128" s="447"/>
      <c r="BQ128" s="447"/>
      <c r="BR128" s="447"/>
      <c r="BS128" s="447"/>
    </row>
    <row r="129" spans="1:71" ht="8.1" customHeight="1" x14ac:dyDescent="0.25">
      <c r="A129" s="74">
        <v>129</v>
      </c>
      <c r="B129" s="8" t="s">
        <v>8</v>
      </c>
      <c r="C129" s="89"/>
      <c r="D129" s="57"/>
      <c r="E129" s="90"/>
      <c r="F129" s="57"/>
      <c r="G129" s="303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8"/>
    </row>
    <row r="130" spans="1:71" ht="8.1" customHeight="1" x14ac:dyDescent="0.25">
      <c r="A130" s="74">
        <v>130</v>
      </c>
      <c r="B130" s="8" t="s">
        <v>191</v>
      </c>
      <c r="C130" s="93"/>
      <c r="D130" s="88"/>
      <c r="E130" s="94"/>
      <c r="F130" s="88"/>
      <c r="G130" s="291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"/>
    </row>
    <row r="131" spans="1:71" s="25" customFormat="1" x14ac:dyDescent="0.25">
      <c r="A131" s="74">
        <v>131</v>
      </c>
      <c r="B131" s="70" t="s">
        <v>10</v>
      </c>
      <c r="C131" s="93"/>
      <c r="D131" s="88"/>
      <c r="E131" s="94">
        <f ca="1">OFFSET($E$7,$A131-$A$7,1,1,1)/OFFSET($E$7,$A131-$A$7,5,1,1)-1</f>
        <v>-7.2026375855947289E-2</v>
      </c>
      <c r="F131" s="22">
        <f t="shared" ref="F131" si="208">F13</f>
        <v>36590</v>
      </c>
      <c r="G131" s="270">
        <f t="shared" ref="G131" si="209">G13</f>
        <v>18367</v>
      </c>
      <c r="H131" s="22">
        <f t="shared" ref="H131" si="210">H13</f>
        <v>77758</v>
      </c>
      <c r="I131" s="22">
        <f t="shared" ref="I131" si="211">I13</f>
        <v>59072</v>
      </c>
      <c r="J131" s="22">
        <f t="shared" ref="J131:O131" si="212">J13</f>
        <v>39430</v>
      </c>
      <c r="K131" s="22">
        <f t="shared" si="212"/>
        <v>19928</v>
      </c>
      <c r="L131" s="22">
        <f t="shared" si="212"/>
        <v>70557</v>
      </c>
      <c r="M131" s="22">
        <f t="shared" si="212"/>
        <v>51210</v>
      </c>
      <c r="N131" s="22">
        <f t="shared" si="212"/>
        <v>33866</v>
      </c>
      <c r="O131" s="22">
        <f t="shared" si="212"/>
        <v>17202</v>
      </c>
      <c r="P131" s="22">
        <f t="shared" ref="P131:S131" si="213">P13</f>
        <v>50832</v>
      </c>
      <c r="Q131" s="22">
        <f t="shared" si="213"/>
        <v>34755</v>
      </c>
      <c r="R131" s="22">
        <f t="shared" si="213"/>
        <v>22095</v>
      </c>
      <c r="S131" s="22">
        <f t="shared" si="213"/>
        <v>11209</v>
      </c>
      <c r="T131" s="400"/>
      <c r="U131" s="400"/>
      <c r="V131" s="400"/>
      <c r="W131" s="400"/>
      <c r="X131" s="22">
        <f>X13-803.317</f>
        <v>28107.683000000001</v>
      </c>
      <c r="Y131" s="22">
        <f>Y13-803.317</f>
        <v>20153.683000000001</v>
      </c>
      <c r="Z131" s="22">
        <f>Z13-803.317</f>
        <v>13096.683000000001</v>
      </c>
      <c r="AA131" s="22">
        <f t="shared" ref="AA131:BS131" si="214">AA13</f>
        <v>6466</v>
      </c>
      <c r="AB131" s="22">
        <f t="shared" si="214"/>
        <v>25524</v>
      </c>
      <c r="AC131" s="22">
        <f t="shared" si="214"/>
        <v>18333.587</v>
      </c>
      <c r="AD131" s="22">
        <f t="shared" si="214"/>
        <v>12293.163</v>
      </c>
      <c r="AE131" s="22">
        <f t="shared" si="214"/>
        <v>6235.6049999999996</v>
      </c>
      <c r="AF131" s="22">
        <f t="shared" si="214"/>
        <v>23281.469000000005</v>
      </c>
      <c r="AG131" s="22">
        <f t="shared" si="214"/>
        <v>16914.134000000002</v>
      </c>
      <c r="AH131" s="22">
        <f t="shared" si="214"/>
        <v>11057.760999999999</v>
      </c>
      <c r="AI131" s="22">
        <f t="shared" si="214"/>
        <v>5736.3910000000005</v>
      </c>
      <c r="AJ131" s="22">
        <f t="shared" si="214"/>
        <v>21895.264999999999</v>
      </c>
      <c r="AK131" s="22">
        <f t="shared" si="214"/>
        <v>15829.462999999996</v>
      </c>
      <c r="AL131" s="22">
        <f t="shared" si="214"/>
        <v>10310.013999999999</v>
      </c>
      <c r="AM131" s="22">
        <f t="shared" si="214"/>
        <v>5053.8419999999996</v>
      </c>
      <c r="AN131" s="22">
        <f t="shared" si="214"/>
        <v>19657.520999999997</v>
      </c>
      <c r="AO131" s="22">
        <f t="shared" si="214"/>
        <v>13941.552000000001</v>
      </c>
      <c r="AP131" s="22">
        <f t="shared" si="214"/>
        <v>8793.2519999999986</v>
      </c>
      <c r="AQ131" s="22">
        <f t="shared" si="214"/>
        <v>4453.5990000000011</v>
      </c>
      <c r="AR131" s="22">
        <f t="shared" si="214"/>
        <v>21357.581999999999</v>
      </c>
      <c r="AS131" s="22">
        <f t="shared" si="214"/>
        <v>15506.97</v>
      </c>
      <c r="AT131" s="22">
        <f t="shared" si="214"/>
        <v>10026.615999999998</v>
      </c>
      <c r="AU131" s="22">
        <f t="shared" si="214"/>
        <v>4889.6530000000012</v>
      </c>
      <c r="AV131" s="22">
        <f t="shared" si="214"/>
        <v>16869.748999999996</v>
      </c>
      <c r="AW131" s="22">
        <f t="shared" si="214"/>
        <v>11878.002999999999</v>
      </c>
      <c r="AX131" s="22">
        <f t="shared" si="214"/>
        <v>7952.9910000000018</v>
      </c>
      <c r="AY131" s="22">
        <f t="shared" si="214"/>
        <v>3977.694</v>
      </c>
      <c r="AZ131" s="22">
        <f t="shared" si="214"/>
        <v>17999.700000000004</v>
      </c>
      <c r="BA131" s="22">
        <f t="shared" si="214"/>
        <v>12602.809000000001</v>
      </c>
      <c r="BB131" s="22">
        <f t="shared" si="214"/>
        <v>8259.6350000000002</v>
      </c>
      <c r="BC131" s="22">
        <f t="shared" si="214"/>
        <v>3967.893</v>
      </c>
      <c r="BD131" s="22">
        <f t="shared" si="214"/>
        <v>12943.022000000003</v>
      </c>
      <c r="BE131" s="11">
        <f t="shared" si="214"/>
        <v>9238.4009999999998</v>
      </c>
      <c r="BF131" s="22">
        <f t="shared" si="214"/>
        <v>5945.3370000000004</v>
      </c>
      <c r="BG131" s="22">
        <f t="shared" si="214"/>
        <v>2890.64</v>
      </c>
      <c r="BH131" s="22">
        <f t="shared" si="214"/>
        <v>11624.099999999999</v>
      </c>
      <c r="BI131" s="22">
        <f t="shared" si="214"/>
        <v>8610.232</v>
      </c>
      <c r="BJ131" s="22">
        <f t="shared" si="214"/>
        <v>5788.7879999999986</v>
      </c>
      <c r="BK131" s="22">
        <f t="shared" si="214"/>
        <v>2839.6120000000001</v>
      </c>
      <c r="BL131" s="22">
        <f t="shared" si="214"/>
        <v>13322.564</v>
      </c>
      <c r="BM131" s="22">
        <f t="shared" si="214"/>
        <v>10117.833999999997</v>
      </c>
      <c r="BN131" s="22">
        <f t="shared" si="214"/>
        <v>6645.8789999999999</v>
      </c>
      <c r="BO131" s="22">
        <f t="shared" si="214"/>
        <v>3267.7710000000002</v>
      </c>
      <c r="BP131" s="22">
        <f t="shared" si="214"/>
        <v>11769.359999999999</v>
      </c>
      <c r="BQ131" s="22">
        <f t="shared" si="214"/>
        <v>8858.9659999999985</v>
      </c>
      <c r="BR131" s="22">
        <f t="shared" si="214"/>
        <v>5820.3750000000009</v>
      </c>
      <c r="BS131" s="22">
        <f t="shared" si="214"/>
        <v>3024.3710000000001</v>
      </c>
    </row>
    <row r="132" spans="1:71" s="25" customFormat="1" x14ac:dyDescent="0.25">
      <c r="A132" s="74">
        <v>132</v>
      </c>
      <c r="B132" s="70" t="s">
        <v>261</v>
      </c>
      <c r="C132" s="93"/>
      <c r="D132" s="88"/>
      <c r="E132" s="94">
        <f ca="1">OFFSET($E$7,$A132-$A$7,1,1,1)/OFFSET($E$7,$A132-$A$7,5,1,1)-1</f>
        <v>6.0514102106390633E-2</v>
      </c>
      <c r="F132" s="11">
        <f t="shared" ref="F132" si="215">F20+F21</f>
        <v>5941</v>
      </c>
      <c r="G132" s="342">
        <f t="shared" ref="G132" si="216">G20+G21</f>
        <v>2795</v>
      </c>
      <c r="H132" s="11">
        <f t="shared" ref="H132" si="217">H20+H21</f>
        <v>11787</v>
      </c>
      <c r="I132" s="11">
        <f t="shared" ref="I132" si="218">I20+I21</f>
        <v>8475</v>
      </c>
      <c r="J132" s="11">
        <f t="shared" ref="J132" si="219">J20+J21</f>
        <v>5602</v>
      </c>
      <c r="K132" s="11">
        <f t="shared" ref="K132" si="220">K20+K21</f>
        <v>2761</v>
      </c>
      <c r="L132" s="11">
        <f t="shared" ref="L132:S132" si="221">L20+L21</f>
        <v>11599</v>
      </c>
      <c r="M132" s="11">
        <f t="shared" si="221"/>
        <v>8524</v>
      </c>
      <c r="N132" s="11">
        <f t="shared" si="221"/>
        <v>5368</v>
      </c>
      <c r="O132" s="11">
        <f t="shared" si="221"/>
        <v>2659</v>
      </c>
      <c r="P132" s="11">
        <f t="shared" si="221"/>
        <v>12487</v>
      </c>
      <c r="Q132" s="11">
        <f t="shared" si="221"/>
        <v>9430</v>
      </c>
      <c r="R132" s="11">
        <f t="shared" si="221"/>
        <v>6458</v>
      </c>
      <c r="S132" s="11">
        <f t="shared" si="221"/>
        <v>3566</v>
      </c>
      <c r="T132" s="399"/>
      <c r="U132" s="399"/>
      <c r="V132" s="399"/>
      <c r="W132" s="399"/>
      <c r="X132" s="11">
        <f t="shared" ref="X132:BS132" si="222">X20+X21</f>
        <v>9009</v>
      </c>
      <c r="Y132" s="11">
        <f t="shared" si="222"/>
        <v>6409</v>
      </c>
      <c r="Z132" s="11">
        <f t="shared" si="222"/>
        <v>4213</v>
      </c>
      <c r="AA132" s="11">
        <f t="shared" si="222"/>
        <v>1905</v>
      </c>
      <c r="AB132" s="11">
        <f t="shared" si="222"/>
        <v>7540</v>
      </c>
      <c r="AC132" s="11">
        <f t="shared" si="222"/>
        <v>5225.1329999999998</v>
      </c>
      <c r="AD132" s="11">
        <f t="shared" si="222"/>
        <v>3325.1319999999996</v>
      </c>
      <c r="AE132" s="11">
        <f t="shared" si="222"/>
        <v>1682.1690000000001</v>
      </c>
      <c r="AF132" s="11">
        <f t="shared" si="222"/>
        <v>6818.9260000000013</v>
      </c>
      <c r="AG132" s="11">
        <f t="shared" si="222"/>
        <v>4825.646999999999</v>
      </c>
      <c r="AH132" s="11">
        <f t="shared" si="222"/>
        <v>3042.1179999999995</v>
      </c>
      <c r="AI132" s="11">
        <f t="shared" si="222"/>
        <v>1278.4550000000004</v>
      </c>
      <c r="AJ132" s="11">
        <f t="shared" si="222"/>
        <v>5243.0819999999985</v>
      </c>
      <c r="AK132" s="11">
        <f t="shared" si="222"/>
        <v>3746.9524999999999</v>
      </c>
      <c r="AL132" s="22">
        <f t="shared" si="222"/>
        <v>2421.3310000000001</v>
      </c>
      <c r="AM132" s="22">
        <f t="shared" si="222"/>
        <v>1235.2635000000002</v>
      </c>
      <c r="AN132" s="22">
        <f t="shared" si="222"/>
        <v>5211.0729999999994</v>
      </c>
      <c r="AO132" s="22">
        <f t="shared" si="222"/>
        <v>3745.7579999999998</v>
      </c>
      <c r="AP132" s="22">
        <f t="shared" si="222"/>
        <v>2433.7350000000001</v>
      </c>
      <c r="AQ132" s="22">
        <f t="shared" si="222"/>
        <v>1171.204</v>
      </c>
      <c r="AR132" s="22">
        <f t="shared" si="222"/>
        <v>4699.5190000000002</v>
      </c>
      <c r="AS132" s="22">
        <f t="shared" si="222"/>
        <v>3474.2979999999998</v>
      </c>
      <c r="AT132" s="22">
        <f t="shared" si="222"/>
        <v>2295.7780000000002</v>
      </c>
      <c r="AU132" s="22">
        <f t="shared" si="222"/>
        <v>1127.9749999999999</v>
      </c>
      <c r="AV132" s="22">
        <f t="shared" si="222"/>
        <v>4042.3099999999995</v>
      </c>
      <c r="AW132" s="22">
        <f t="shared" si="222"/>
        <v>2897.942</v>
      </c>
      <c r="AX132" s="22">
        <f t="shared" si="222"/>
        <v>1863.5250000000001</v>
      </c>
      <c r="AY132" s="22">
        <f t="shared" si="222"/>
        <v>836.72</v>
      </c>
      <c r="AZ132" s="22">
        <f t="shared" si="222"/>
        <v>3720.6420000000003</v>
      </c>
      <c r="BA132" s="22">
        <f t="shared" si="222"/>
        <v>2648.2570000000001</v>
      </c>
      <c r="BB132" s="22">
        <f t="shared" si="222"/>
        <v>1685.9559999999999</v>
      </c>
      <c r="BC132" s="22">
        <f t="shared" si="222"/>
        <v>789.62900000000002</v>
      </c>
      <c r="BD132" s="22">
        <f t="shared" si="222"/>
        <v>2677.8679999999999</v>
      </c>
      <c r="BE132" s="11">
        <f t="shared" si="222"/>
        <v>1877.4119999999998</v>
      </c>
      <c r="BF132" s="22">
        <f t="shared" si="222"/>
        <v>1225.8699999999999</v>
      </c>
      <c r="BG132" s="22">
        <f t="shared" si="222"/>
        <v>594.43500000000006</v>
      </c>
      <c r="BH132" s="22">
        <f t="shared" si="222"/>
        <v>2349.1290000000008</v>
      </c>
      <c r="BI132" s="22">
        <f t="shared" si="222"/>
        <v>1644.598</v>
      </c>
      <c r="BJ132" s="22">
        <f t="shared" si="222"/>
        <v>1035.7539999999999</v>
      </c>
      <c r="BK132" s="22">
        <f t="shared" si="222"/>
        <v>482.05899999999997</v>
      </c>
      <c r="BL132" s="22">
        <f t="shared" si="222"/>
        <v>2051.634</v>
      </c>
      <c r="BM132" s="22">
        <f t="shared" si="222"/>
        <v>1463.894</v>
      </c>
      <c r="BN132" s="22">
        <f t="shared" si="222"/>
        <v>938.8309999999999</v>
      </c>
      <c r="BO132" s="22">
        <f t="shared" si="222"/>
        <v>439.13100000000003</v>
      </c>
      <c r="BP132" s="22">
        <f t="shared" si="222"/>
        <v>1715.125</v>
      </c>
      <c r="BQ132" s="22">
        <f t="shared" si="222"/>
        <v>1180.4960000000001</v>
      </c>
      <c r="BR132" s="22">
        <f t="shared" si="222"/>
        <v>763.49700000000007</v>
      </c>
      <c r="BS132" s="22">
        <f t="shared" si="222"/>
        <v>337.197</v>
      </c>
    </row>
    <row r="133" spans="1:71" s="25" customFormat="1" x14ac:dyDescent="0.25">
      <c r="A133" s="74">
        <v>133</v>
      </c>
      <c r="B133" s="70" t="s">
        <v>230</v>
      </c>
      <c r="C133" s="93"/>
      <c r="D133" s="88"/>
      <c r="E133" s="94">
        <f ca="1">OFFSET($E$7,$A133-$A$7,1,1,1)/OFFSET($E$7,$A133-$A$7,5,1,1)-1</f>
        <v>-0.51277052056931183</v>
      </c>
      <c r="F133" s="22">
        <f t="shared" ref="F133" si="223">F17+F18+F19+F35</f>
        <v>2499</v>
      </c>
      <c r="G133" s="270">
        <f t="shared" ref="G133" si="224">G17+G18+G19+G35</f>
        <v>948</v>
      </c>
      <c r="H133" s="22">
        <f>H17+H18+H19+H35+1838</f>
        <v>7865</v>
      </c>
      <c r="I133" s="22">
        <f>I17+I18+I19+I35+1838</f>
        <v>6177</v>
      </c>
      <c r="J133" s="22">
        <f t="shared" ref="J133" si="225">J17+J18+J19+J35</f>
        <v>5129</v>
      </c>
      <c r="K133" s="22">
        <f t="shared" ref="K133" si="226">K17+K18+K19+K35</f>
        <v>2318</v>
      </c>
      <c r="L133" s="22">
        <f t="shared" ref="L133:X133" si="227">L17+L18+L19+L35</f>
        <v>10896</v>
      </c>
      <c r="M133" s="22">
        <f t="shared" si="227"/>
        <v>7623</v>
      </c>
      <c r="N133" s="22">
        <f t="shared" si="227"/>
        <v>4795</v>
      </c>
      <c r="O133" s="22">
        <f t="shared" si="227"/>
        <v>2207</v>
      </c>
      <c r="P133" s="22">
        <f t="shared" si="227"/>
        <v>10270</v>
      </c>
      <c r="Q133" s="22">
        <f t="shared" si="227"/>
        <v>9205</v>
      </c>
      <c r="R133" s="22">
        <f t="shared" si="227"/>
        <v>7675</v>
      </c>
      <c r="S133" s="22">
        <f t="shared" si="227"/>
        <v>5886</v>
      </c>
      <c r="T133" s="400"/>
      <c r="U133" s="400"/>
      <c r="V133" s="400"/>
      <c r="W133" s="400"/>
      <c r="X133" s="22">
        <f t="shared" si="227"/>
        <v>5334</v>
      </c>
      <c r="Y133" s="22">
        <f t="shared" ref="Y133:BS133" si="228">Y17+Y18+Y19+Y35</f>
        <v>3324</v>
      </c>
      <c r="Z133" s="22">
        <f t="shared" si="228"/>
        <v>2121</v>
      </c>
      <c r="AA133" s="22">
        <f t="shared" si="228"/>
        <v>583</v>
      </c>
      <c r="AB133" s="22">
        <f>AB17+AB18+AB19+AB35</f>
        <v>2517</v>
      </c>
      <c r="AC133" s="22">
        <f t="shared" si="228"/>
        <v>967.89900000000011</v>
      </c>
      <c r="AD133" s="22">
        <f t="shared" si="228"/>
        <v>402.59399999999994</v>
      </c>
      <c r="AE133" s="22">
        <f t="shared" si="228"/>
        <v>-25.234999999999999</v>
      </c>
      <c r="AF133" s="22">
        <f t="shared" si="228"/>
        <v>233.70600000000002</v>
      </c>
      <c r="AG133" s="22">
        <f t="shared" si="228"/>
        <v>75.820999999999913</v>
      </c>
      <c r="AH133" s="22">
        <f t="shared" si="228"/>
        <v>496.91999999999996</v>
      </c>
      <c r="AI133" s="22">
        <f t="shared" si="228"/>
        <v>-92.945000000000007</v>
      </c>
      <c r="AJ133" s="22">
        <f t="shared" si="228"/>
        <v>3973.0249999999996</v>
      </c>
      <c r="AK133" s="22">
        <f t="shared" si="228"/>
        <v>2356.8669999999997</v>
      </c>
      <c r="AL133" s="22">
        <f t="shared" si="228"/>
        <v>1847.1049999999996</v>
      </c>
      <c r="AM133" s="22">
        <f t="shared" si="228"/>
        <v>444.65699999999998</v>
      </c>
      <c r="AN133" s="22">
        <f t="shared" si="228"/>
        <v>6245.3089999999993</v>
      </c>
      <c r="AO133" s="22">
        <f t="shared" si="228"/>
        <v>5497.6169999999984</v>
      </c>
      <c r="AP133" s="22">
        <f t="shared" si="228"/>
        <v>4072.1080000000006</v>
      </c>
      <c r="AQ133" s="22">
        <f t="shared" si="228"/>
        <v>1590.3999999999999</v>
      </c>
      <c r="AR133" s="22">
        <f t="shared" si="228"/>
        <v>4168.817</v>
      </c>
      <c r="AS133" s="22">
        <f t="shared" si="228"/>
        <v>3476.5249999999996</v>
      </c>
      <c r="AT133" s="22">
        <f t="shared" si="228"/>
        <v>2508.4010000000003</v>
      </c>
      <c r="AU133" s="22">
        <f t="shared" si="228"/>
        <v>1267.2159999999994</v>
      </c>
      <c r="AV133" s="22">
        <f t="shared" si="228"/>
        <v>6179.3070000000007</v>
      </c>
      <c r="AW133" s="22">
        <f t="shared" si="228"/>
        <v>4341.3639999999987</v>
      </c>
      <c r="AX133" s="22">
        <f t="shared" si="228"/>
        <v>2309.8140000000003</v>
      </c>
      <c r="AY133" s="22">
        <f t="shared" si="228"/>
        <v>501.88600000000002</v>
      </c>
      <c r="AZ133" s="22">
        <f t="shared" si="228"/>
        <v>-122.64699999999993</v>
      </c>
      <c r="BA133" s="22">
        <f t="shared" si="228"/>
        <v>-126.18599999999992</v>
      </c>
      <c r="BB133" s="22">
        <f t="shared" si="228"/>
        <v>41.97199999999998</v>
      </c>
      <c r="BC133" s="22">
        <f t="shared" si="228"/>
        <v>-279.80199999999991</v>
      </c>
      <c r="BD133" s="22">
        <f t="shared" si="228"/>
        <v>4380.2359999999999</v>
      </c>
      <c r="BE133" s="22">
        <f t="shared" si="228"/>
        <v>1864.8550000000002</v>
      </c>
      <c r="BF133" s="22">
        <f t="shared" si="228"/>
        <v>721.73400000000026</v>
      </c>
      <c r="BG133" s="22">
        <f t="shared" si="228"/>
        <v>497.56100000000004</v>
      </c>
      <c r="BH133" s="22">
        <f t="shared" si="228"/>
        <v>867.72799999999984</v>
      </c>
      <c r="BI133" s="22">
        <f t="shared" si="228"/>
        <v>580.45500000000004</v>
      </c>
      <c r="BJ133" s="22">
        <f t="shared" si="228"/>
        <v>115.95999999999998</v>
      </c>
      <c r="BK133" s="22">
        <f t="shared" si="228"/>
        <v>280.89199999999994</v>
      </c>
      <c r="BL133" s="22">
        <f t="shared" si="228"/>
        <v>795.8040000000002</v>
      </c>
      <c r="BM133" s="22">
        <f t="shared" si="228"/>
        <v>447.68000000000006</v>
      </c>
      <c r="BN133" s="22">
        <f t="shared" si="228"/>
        <v>1420.069</v>
      </c>
      <c r="BO133" s="22">
        <f t="shared" si="228"/>
        <v>514.58600000000001</v>
      </c>
      <c r="BP133" s="22">
        <f t="shared" si="228"/>
        <v>903.14900000000011</v>
      </c>
      <c r="BQ133" s="22">
        <f t="shared" si="228"/>
        <v>853.65300000000013</v>
      </c>
      <c r="BR133" s="22">
        <f t="shared" si="228"/>
        <v>735.83600000000001</v>
      </c>
      <c r="BS133" s="22">
        <f t="shared" si="228"/>
        <v>885.99800000000005</v>
      </c>
    </row>
    <row r="134" spans="1:71" s="25" customFormat="1" ht="6.95" customHeight="1" x14ac:dyDescent="0.25">
      <c r="A134" s="74">
        <v>134</v>
      </c>
      <c r="B134" s="70"/>
      <c r="C134" s="93"/>
      <c r="D134" s="88"/>
      <c r="E134" s="94"/>
      <c r="F134" s="22"/>
      <c r="G134" s="270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400"/>
      <c r="U134" s="400"/>
      <c r="V134" s="400"/>
      <c r="W134" s="400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11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</row>
    <row r="135" spans="1:71" s="25" customFormat="1" x14ac:dyDescent="0.25">
      <c r="A135" s="74">
        <v>135</v>
      </c>
      <c r="B135" s="70" t="s">
        <v>229</v>
      </c>
      <c r="C135" s="93"/>
      <c r="D135" s="88"/>
      <c r="E135" s="94">
        <f ca="1">OFFSET($E$7,$A135-$A$7,1,1,1)/OFFSET($E$7,$A135-$A$7,5,1,1)-1</f>
        <v>-9.2884441117371264E-2</v>
      </c>
      <c r="F135" s="22">
        <f t="shared" ref="F135" si="229">F13+F17+F18+F19+F20+F21+F39+F35+F29</f>
        <v>46047</v>
      </c>
      <c r="G135" s="270">
        <f t="shared" ref="G135" si="230">G13+G17+G18+G19+G20+G21+G39+G35+G29</f>
        <v>22615</v>
      </c>
      <c r="H135" s="22">
        <f>H13+H17+H18+H19+H20+H21+H39+H35+H29+1838</f>
        <v>99110</v>
      </c>
      <c r="I135" s="22">
        <f>I13+I17+I18+I19+I20+I21+I39+I35+I29+1838</f>
        <v>74917</v>
      </c>
      <c r="J135" s="22">
        <f t="shared" ref="J135" si="231">J13+J17+J18+J19+J20+J21+J39+J35+J29</f>
        <v>50762</v>
      </c>
      <c r="K135" s="22">
        <f t="shared" ref="K135:P135" si="232">K13+K17+K18+K19+K20+K21+K39+K35+K29</f>
        <v>25386</v>
      </c>
      <c r="L135" s="22">
        <f t="shared" si="232"/>
        <v>94359</v>
      </c>
      <c r="M135" s="22">
        <f t="shared" si="232"/>
        <v>68233</v>
      </c>
      <c r="N135" s="22">
        <f t="shared" si="232"/>
        <v>44578</v>
      </c>
      <c r="O135" s="22">
        <f t="shared" si="232"/>
        <v>22314</v>
      </c>
      <c r="P135" s="22">
        <f t="shared" si="232"/>
        <v>74586</v>
      </c>
      <c r="Q135" s="22">
        <f t="shared" ref="Q135:S135" si="233">Q13+Q17+Q18+Q19+Q20+Q21+Q39+Q35+Q29</f>
        <v>54022</v>
      </c>
      <c r="R135" s="22">
        <f t="shared" si="233"/>
        <v>36618</v>
      </c>
      <c r="S135" s="22">
        <f t="shared" si="233"/>
        <v>20814</v>
      </c>
      <c r="T135" s="400"/>
      <c r="U135" s="400"/>
      <c r="V135" s="400"/>
      <c r="W135" s="400"/>
      <c r="X135" s="22">
        <f>X13+X17+X18+X19+X20+X21+X39+X35+X29-803.317</f>
        <v>44546.682999999997</v>
      </c>
      <c r="Y135" s="22">
        <f>Y13+Y17+Y18+Y19+Y20+Y21+Y39+Y35+Y29-803.317</f>
        <v>30904.683000000001</v>
      </c>
      <c r="Z135" s="22">
        <f>Z13+Z17+Z18+Z19+Z20+Z21+Z39+Z35+Z29-803.317</f>
        <v>20105.683000000001</v>
      </c>
      <c r="AA135" s="22">
        <f t="shared" ref="AA135:BS135" si="234">AA13+AA17+AA18+AA19+AA20+AA21+AA39+AA35+AA29</f>
        <v>9239</v>
      </c>
      <c r="AB135" s="22">
        <f t="shared" si="234"/>
        <v>37070</v>
      </c>
      <c r="AC135" s="22">
        <f t="shared" si="234"/>
        <v>25769.616999999998</v>
      </c>
      <c r="AD135" s="22">
        <f t="shared" si="234"/>
        <v>16590.691999999999</v>
      </c>
      <c r="AE135" s="22">
        <f t="shared" si="234"/>
        <v>8226.92</v>
      </c>
      <c r="AF135" s="22">
        <f t="shared" si="234"/>
        <v>31856.852000000006</v>
      </c>
      <c r="AG135" s="22">
        <f t="shared" si="234"/>
        <v>22922.161000000004</v>
      </c>
      <c r="AH135" s="22">
        <f t="shared" si="234"/>
        <v>15395.686999999998</v>
      </c>
      <c r="AI135" s="22">
        <f t="shared" si="234"/>
        <v>7402.7790000000005</v>
      </c>
      <c r="AJ135" s="22">
        <f t="shared" si="234"/>
        <v>32796.879999999997</v>
      </c>
      <c r="AK135" s="22">
        <f t="shared" si="234"/>
        <v>23169.042999999994</v>
      </c>
      <c r="AL135" s="22">
        <f t="shared" si="234"/>
        <v>15473.766</v>
      </c>
      <c r="AM135" s="22">
        <f t="shared" si="234"/>
        <v>7200.5569999999998</v>
      </c>
      <c r="AN135" s="22">
        <f t="shared" si="234"/>
        <v>32093.572999999989</v>
      </c>
      <c r="AO135" s="22">
        <f t="shared" si="234"/>
        <v>23989.803</v>
      </c>
      <c r="AP135" s="22">
        <f t="shared" si="234"/>
        <v>15749.166999999999</v>
      </c>
      <c r="AQ135" s="22">
        <f t="shared" si="234"/>
        <v>7322.8210000000008</v>
      </c>
      <c r="AR135" s="22">
        <f t="shared" si="234"/>
        <v>30300.364999999998</v>
      </c>
      <c r="AS135" s="22">
        <f t="shared" si="234"/>
        <v>22675.613999999998</v>
      </c>
      <c r="AT135" s="22">
        <f t="shared" si="234"/>
        <v>14986.125999999998</v>
      </c>
      <c r="AU135" s="22">
        <f t="shared" si="234"/>
        <v>7364.264000000001</v>
      </c>
      <c r="AV135" s="22">
        <f t="shared" si="234"/>
        <v>27408.803999999996</v>
      </c>
      <c r="AW135" s="22">
        <f t="shared" si="234"/>
        <v>19365.642999999996</v>
      </c>
      <c r="AX135" s="22">
        <f t="shared" si="234"/>
        <v>12291.070000000003</v>
      </c>
      <c r="AY135" s="22">
        <f t="shared" si="234"/>
        <v>5394.5159999999996</v>
      </c>
      <c r="AZ135" s="22">
        <f t="shared" si="234"/>
        <v>22038.270000000004</v>
      </c>
      <c r="BA135" s="22">
        <f t="shared" si="234"/>
        <v>15427.098000000002</v>
      </c>
      <c r="BB135" s="22">
        <f t="shared" si="234"/>
        <v>10142.876</v>
      </c>
      <c r="BC135" s="22">
        <f t="shared" si="234"/>
        <v>4572.9259999999995</v>
      </c>
      <c r="BD135" s="22">
        <f t="shared" si="234"/>
        <v>20075.062000000002</v>
      </c>
      <c r="BE135" s="22">
        <f t="shared" si="234"/>
        <v>12992.039999999999</v>
      </c>
      <c r="BF135" s="22">
        <f t="shared" si="234"/>
        <v>8013.0659999999998</v>
      </c>
      <c r="BG135" s="22">
        <f t="shared" si="234"/>
        <v>4037.5659999999998</v>
      </c>
      <c r="BH135" s="22">
        <f t="shared" si="234"/>
        <v>14783.519999999999</v>
      </c>
      <c r="BI135" s="22">
        <f t="shared" si="234"/>
        <v>10846.494999999999</v>
      </c>
      <c r="BJ135" s="22">
        <f t="shared" si="234"/>
        <v>6905.4789999999975</v>
      </c>
      <c r="BK135" s="22">
        <f t="shared" si="234"/>
        <v>3548.4580000000005</v>
      </c>
      <c r="BL135" s="22">
        <f t="shared" si="234"/>
        <v>16665.962</v>
      </c>
      <c r="BM135" s="22">
        <f t="shared" si="234"/>
        <v>12913.270999999997</v>
      </c>
      <c r="BN135" s="22">
        <f t="shared" si="234"/>
        <v>9184.1010000000006</v>
      </c>
      <c r="BO135" s="22">
        <f t="shared" si="234"/>
        <v>4267.4639999999999</v>
      </c>
      <c r="BP135" s="22">
        <f t="shared" si="234"/>
        <v>14494.93</v>
      </c>
      <c r="BQ135" s="22">
        <f t="shared" si="234"/>
        <v>10992.956</v>
      </c>
      <c r="BR135" s="22">
        <f t="shared" si="234"/>
        <v>7410.39</v>
      </c>
      <c r="BS135" s="22">
        <f t="shared" si="234"/>
        <v>4259.732</v>
      </c>
    </row>
    <row r="136" spans="1:71" s="25" customFormat="1" x14ac:dyDescent="0.25">
      <c r="A136" s="74">
        <v>136</v>
      </c>
      <c r="B136" s="70" t="s">
        <v>189</v>
      </c>
      <c r="C136" s="93"/>
      <c r="D136" s="88"/>
      <c r="E136" s="94">
        <f ca="1">OFFSET($E$7,$A136-$A$7,1,1,1)/OFFSET($E$7,$A136-$A$7,5,1,1)-1</f>
        <v>0.28362573099415211</v>
      </c>
      <c r="F136" s="22">
        <f t="shared" ref="F136" si="235">SUM(F42:F43)</f>
        <v>-15804</v>
      </c>
      <c r="G136" s="270">
        <f t="shared" ref="G136" si="236">SUM(G42:G43)</f>
        <v>-6959</v>
      </c>
      <c r="H136" s="22">
        <f t="shared" ref="H136" si="237">SUM(H42:H43)</f>
        <v>-30401</v>
      </c>
      <c r="I136" s="22">
        <f t="shared" ref="I136" si="238">SUM(I42:I43)</f>
        <v>-19505</v>
      </c>
      <c r="J136" s="22">
        <f t="shared" ref="J136" si="239">SUM(J42:J43)</f>
        <v>-12312</v>
      </c>
      <c r="K136" s="22">
        <f t="shared" ref="K136" si="240">SUM(K42:K43)</f>
        <v>-5715</v>
      </c>
      <c r="L136" s="22">
        <f t="shared" ref="L136:S136" si="241">SUM(L42:L43)</f>
        <v>-25935</v>
      </c>
      <c r="M136" s="22">
        <f t="shared" si="241"/>
        <v>-18002</v>
      </c>
      <c r="N136" s="22">
        <f t="shared" si="241"/>
        <v>-11443</v>
      </c>
      <c r="O136" s="22">
        <f t="shared" si="241"/>
        <v>-5975</v>
      </c>
      <c r="P136" s="22">
        <f t="shared" si="241"/>
        <v>-23614</v>
      </c>
      <c r="Q136" s="22">
        <f t="shared" si="241"/>
        <v>-18281</v>
      </c>
      <c r="R136" s="22">
        <f t="shared" si="241"/>
        <v>-11962</v>
      </c>
      <c r="S136" s="22">
        <f t="shared" si="241"/>
        <v>-6018</v>
      </c>
      <c r="T136" s="400"/>
      <c r="U136" s="400"/>
      <c r="V136" s="400"/>
      <c r="W136" s="400"/>
      <c r="X136" s="22">
        <f t="shared" ref="X136:BS136" si="242">SUM(X42:X43)</f>
        <v>-16812</v>
      </c>
      <c r="Y136" s="22">
        <f t="shared" si="242"/>
        <v>-11556</v>
      </c>
      <c r="Z136" s="22">
        <f t="shared" si="242"/>
        <v>-7812</v>
      </c>
      <c r="AA136" s="22">
        <f t="shared" si="242"/>
        <v>-4210</v>
      </c>
      <c r="AB136" s="22">
        <f t="shared" si="242"/>
        <v>-15207</v>
      </c>
      <c r="AC136" s="22">
        <f t="shared" si="242"/>
        <v>-10891.248</v>
      </c>
      <c r="AD136" s="22">
        <f t="shared" si="242"/>
        <v>-7545.9970000000003</v>
      </c>
      <c r="AE136" s="22">
        <f t="shared" si="242"/>
        <v>-4133.4210000000003</v>
      </c>
      <c r="AF136" s="22">
        <f t="shared" si="242"/>
        <v>-14085.782999999999</v>
      </c>
      <c r="AG136" s="22">
        <f t="shared" si="242"/>
        <v>-10256.893</v>
      </c>
      <c r="AH136" s="22">
        <f t="shared" si="242"/>
        <v>-6957.0450000000001</v>
      </c>
      <c r="AI136" s="22">
        <f t="shared" si="242"/>
        <v>-3551.4989999999998</v>
      </c>
      <c r="AJ136" s="22">
        <f t="shared" si="242"/>
        <v>-13047.489</v>
      </c>
      <c r="AK136" s="22">
        <f t="shared" si="242"/>
        <v>-9777.0689999999995</v>
      </c>
      <c r="AL136" s="22">
        <f t="shared" si="242"/>
        <v>-6676.8310000000001</v>
      </c>
      <c r="AM136" s="22">
        <f t="shared" si="242"/>
        <v>-2953.2669999999998</v>
      </c>
      <c r="AN136" s="22">
        <f t="shared" si="242"/>
        <v>-12364.661999999998</v>
      </c>
      <c r="AO136" s="22">
        <f t="shared" si="242"/>
        <v>-9156.8559999999998</v>
      </c>
      <c r="AP136" s="22">
        <f t="shared" si="242"/>
        <v>-5986.2039999999997</v>
      </c>
      <c r="AQ136" s="22">
        <f t="shared" si="242"/>
        <v>-2767.43</v>
      </c>
      <c r="AR136" s="22">
        <f t="shared" si="242"/>
        <v>-11951.294999999998</v>
      </c>
      <c r="AS136" s="22">
        <f t="shared" si="242"/>
        <v>-8553.9770000000008</v>
      </c>
      <c r="AT136" s="22">
        <f t="shared" si="242"/>
        <v>-5640.13</v>
      </c>
      <c r="AU136" s="22">
        <f t="shared" si="242"/>
        <v>-2700.2290000000003</v>
      </c>
      <c r="AV136" s="22">
        <f t="shared" si="242"/>
        <v>-10233.736000000001</v>
      </c>
      <c r="AW136" s="22">
        <f t="shared" si="242"/>
        <v>-7026.4920000000002</v>
      </c>
      <c r="AX136" s="22">
        <f t="shared" si="242"/>
        <v>-4672.0959999999995</v>
      </c>
      <c r="AY136" s="22">
        <f t="shared" si="242"/>
        <v>-2123.9540000000002</v>
      </c>
      <c r="AZ136" s="22">
        <f t="shared" si="242"/>
        <v>-9147.9180000000015</v>
      </c>
      <c r="BA136" s="22">
        <f t="shared" si="242"/>
        <v>-6425.2340000000004</v>
      </c>
      <c r="BB136" s="22">
        <f t="shared" si="242"/>
        <v>-4228.6769999999997</v>
      </c>
      <c r="BC136" s="22">
        <f t="shared" si="242"/>
        <v>-1905.8420000000001</v>
      </c>
      <c r="BD136" s="22">
        <f t="shared" si="242"/>
        <v>-7249.7340000000004</v>
      </c>
      <c r="BE136" s="22">
        <f t="shared" si="242"/>
        <v>-5103.3799999999992</v>
      </c>
      <c r="BF136" s="22">
        <f t="shared" si="242"/>
        <v>-3247.67</v>
      </c>
      <c r="BG136" s="22">
        <f t="shared" si="242"/>
        <v>-1551.1420000000003</v>
      </c>
      <c r="BH136" s="22">
        <f t="shared" si="242"/>
        <v>-6853.7150000000001</v>
      </c>
      <c r="BI136" s="22">
        <f t="shared" si="242"/>
        <v>-4895.6470000000008</v>
      </c>
      <c r="BJ136" s="22">
        <f t="shared" si="242"/>
        <v>-3236.4229999999998</v>
      </c>
      <c r="BK136" s="22">
        <f t="shared" si="242"/>
        <v>-1605.1480000000001</v>
      </c>
      <c r="BL136" s="22">
        <f t="shared" si="242"/>
        <v>-5829.9570000000003</v>
      </c>
      <c r="BM136" s="22">
        <f t="shared" si="242"/>
        <v>-4062.7569999999996</v>
      </c>
      <c r="BN136" s="22">
        <f t="shared" si="242"/>
        <v>-2541.953</v>
      </c>
      <c r="BO136" s="22">
        <f t="shared" si="242"/>
        <v>-1118.546</v>
      </c>
      <c r="BP136" s="22">
        <f t="shared" si="242"/>
        <v>-4195.0840000000007</v>
      </c>
      <c r="BQ136" s="22">
        <f t="shared" si="242"/>
        <v>-2958.3670000000002</v>
      </c>
      <c r="BR136" s="22">
        <f t="shared" si="242"/>
        <v>-1686.6790000000001</v>
      </c>
      <c r="BS136" s="22">
        <f t="shared" si="242"/>
        <v>-798.61599999999999</v>
      </c>
    </row>
    <row r="137" spans="1:71" s="25" customFormat="1" x14ac:dyDescent="0.25">
      <c r="A137" s="74">
        <v>137</v>
      </c>
      <c r="B137" s="70" t="s">
        <v>469</v>
      </c>
      <c r="C137" s="93"/>
      <c r="D137" s="88"/>
      <c r="E137" s="94">
        <f ca="1">OFFSET($E$7,$A137-$A$7,1,1,1)/OFFSET($E$7,$A137-$A$7,5,1,1)-1</f>
        <v>0.17081047855992959</v>
      </c>
      <c r="F137" s="22">
        <f>F15+F25+F24+F36+F38</f>
        <v>-8000.1479999999992</v>
      </c>
      <c r="G137" s="270">
        <f>G15+G25+G24+G36</f>
        <v>-1055</v>
      </c>
      <c r="H137" s="22">
        <f>H15+H25+H24+H36-1838</f>
        <v>-17317</v>
      </c>
      <c r="I137" s="22">
        <f>I15+I25+I24+I36-1838</f>
        <v>-12148</v>
      </c>
      <c r="J137" s="22">
        <f>J15+J25+J24+J36+J38</f>
        <v>-6833</v>
      </c>
      <c r="K137" s="22">
        <f>K15+K25+K24+K36</f>
        <v>43</v>
      </c>
      <c r="L137" s="22">
        <f>L15+L25+L24+L36</f>
        <v>-6092</v>
      </c>
      <c r="M137" s="22">
        <f>M15+M25+M24+M36</f>
        <v>-4256</v>
      </c>
      <c r="N137" s="22">
        <f>N15+N25+N24+N36+N38</f>
        <v>-3096</v>
      </c>
      <c r="O137" s="22">
        <f>O15+O25+O24+O36</f>
        <v>-209</v>
      </c>
      <c r="P137" s="22">
        <f>P15+P25+P24+P36</f>
        <v>3256</v>
      </c>
      <c r="Q137" s="22">
        <f t="shared" ref="Q137:AU137" si="243">Q15+Q25+Q24+Q36</f>
        <v>3912</v>
      </c>
      <c r="R137" s="22">
        <f t="shared" si="243"/>
        <v>4334.0929999999998</v>
      </c>
      <c r="S137" s="22">
        <f t="shared" si="243"/>
        <v>3781</v>
      </c>
      <c r="T137" s="400"/>
      <c r="U137" s="400"/>
      <c r="V137" s="400"/>
      <c r="W137" s="400"/>
      <c r="X137" s="22">
        <f t="shared" si="243"/>
        <v>-4596</v>
      </c>
      <c r="Y137" s="22">
        <f t="shared" si="243"/>
        <v>-5102</v>
      </c>
      <c r="Z137" s="22">
        <f t="shared" si="243"/>
        <v>-4189</v>
      </c>
      <c r="AA137" s="22">
        <f t="shared" si="243"/>
        <v>-2178</v>
      </c>
      <c r="AB137" s="22">
        <f t="shared" si="243"/>
        <v>-8983</v>
      </c>
      <c r="AC137" s="22">
        <f t="shared" si="243"/>
        <v>-7204.902</v>
      </c>
      <c r="AD137" s="22">
        <f t="shared" si="243"/>
        <v>-5211.3639999999996</v>
      </c>
      <c r="AE137" s="22">
        <f t="shared" si="243"/>
        <v>-2615.1370000000002</v>
      </c>
      <c r="AF137" s="22">
        <f t="shared" si="243"/>
        <v>-7935.9990000000007</v>
      </c>
      <c r="AG137" s="22">
        <f t="shared" si="243"/>
        <v>-5891.0439999999999</v>
      </c>
      <c r="AH137" s="22">
        <f t="shared" si="243"/>
        <v>-4117.9319999999998</v>
      </c>
      <c r="AI137" s="22">
        <f t="shared" si="243"/>
        <v>-2268.7809999999999</v>
      </c>
      <c r="AJ137" s="22">
        <f t="shared" si="243"/>
        <v>-7151.4089999999997</v>
      </c>
      <c r="AK137" s="22">
        <f t="shared" si="243"/>
        <v>-5317.1900000000005</v>
      </c>
      <c r="AL137" s="22">
        <f t="shared" si="243"/>
        <v>-3287.3150000000001</v>
      </c>
      <c r="AM137" s="22">
        <f t="shared" si="243"/>
        <v>-1758.6980000000001</v>
      </c>
      <c r="AN137" s="22">
        <f t="shared" si="243"/>
        <v>-9574.8340000000007</v>
      </c>
      <c r="AO137" s="22">
        <f t="shared" si="243"/>
        <v>-7216.5439999999999</v>
      </c>
      <c r="AP137" s="22">
        <f t="shared" si="243"/>
        <v>-5203.1329999999998</v>
      </c>
      <c r="AQ137" s="22">
        <f t="shared" si="243"/>
        <v>-2654.989</v>
      </c>
      <c r="AR137" s="22">
        <f t="shared" si="243"/>
        <v>-12490.106</v>
      </c>
      <c r="AS137" s="22">
        <f t="shared" si="243"/>
        <v>-9391.8819999999996</v>
      </c>
      <c r="AT137" s="22">
        <f t="shared" si="243"/>
        <v>-6131.32</v>
      </c>
      <c r="AU137" s="22">
        <f t="shared" si="243"/>
        <v>-2942.0909999999999</v>
      </c>
      <c r="AV137" s="22">
        <f t="shared" ref="AV137:BS137" si="244">AV15+AV25+AV24+AV36</f>
        <v>-12293.143</v>
      </c>
      <c r="AW137" s="22">
        <f t="shared" si="244"/>
        <v>-8880.3510000000006</v>
      </c>
      <c r="AX137" s="22">
        <f t="shared" si="244"/>
        <v>-5593.9179999999997</v>
      </c>
      <c r="AY137" s="22">
        <f t="shared" si="244"/>
        <v>-2554.7150000000001</v>
      </c>
      <c r="AZ137" s="22">
        <f t="shared" si="244"/>
        <v>-7285.9089999999987</v>
      </c>
      <c r="BA137" s="22">
        <f t="shared" si="244"/>
        <v>-4374.7370000000001</v>
      </c>
      <c r="BB137" s="22">
        <f t="shared" si="244"/>
        <v>-2773.2069999999999</v>
      </c>
      <c r="BC137" s="22">
        <f t="shared" si="244"/>
        <v>-1215.3109999999999</v>
      </c>
      <c r="BD137" s="22">
        <f t="shared" si="244"/>
        <v>-4495.0690000000004</v>
      </c>
      <c r="BE137" s="22">
        <f t="shared" si="244"/>
        <v>-3336.0820000000003</v>
      </c>
      <c r="BF137" s="22">
        <f t="shared" si="244"/>
        <v>-2235.4639999999999</v>
      </c>
      <c r="BG137" s="22">
        <f t="shared" si="244"/>
        <v>-1089.8030000000001</v>
      </c>
      <c r="BH137" s="22">
        <f t="shared" si="244"/>
        <v>-6389.9370000000008</v>
      </c>
      <c r="BI137" s="22">
        <f t="shared" si="244"/>
        <v>-4919.4229999999998</v>
      </c>
      <c r="BJ137" s="22">
        <f t="shared" si="244"/>
        <v>-3307.2570000000001</v>
      </c>
      <c r="BK137" s="22">
        <f t="shared" si="244"/>
        <v>-1767.7650000000001</v>
      </c>
      <c r="BL137" s="22">
        <f t="shared" si="244"/>
        <v>-3441.7380000000003</v>
      </c>
      <c r="BM137" s="22">
        <f t="shared" si="244"/>
        <v>-1677.9159999999999</v>
      </c>
      <c r="BN137" s="22">
        <f t="shared" si="244"/>
        <v>-965.904</v>
      </c>
      <c r="BO137" s="22">
        <f t="shared" si="244"/>
        <v>-673.01499999999999</v>
      </c>
      <c r="BP137" s="22">
        <f t="shared" si="244"/>
        <v>-5010.2719999999999</v>
      </c>
      <c r="BQ137" s="22">
        <f t="shared" si="244"/>
        <v>-4962.5630000000001</v>
      </c>
      <c r="BR137" s="22">
        <f t="shared" si="244"/>
        <v>-3964.7039999999997</v>
      </c>
      <c r="BS137" s="22">
        <f t="shared" si="244"/>
        <v>-2774.35</v>
      </c>
    </row>
    <row r="138" spans="1:71" s="25" customFormat="1" ht="6.95" customHeight="1" x14ac:dyDescent="0.25">
      <c r="A138" s="74">
        <v>138</v>
      </c>
      <c r="B138" s="70"/>
      <c r="C138" s="93"/>
      <c r="D138" s="88"/>
      <c r="E138" s="94"/>
      <c r="F138" s="22"/>
      <c r="G138" s="270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400"/>
      <c r="U138" s="400"/>
      <c r="V138" s="400"/>
      <c r="W138" s="400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11"/>
      <c r="BF138" s="22"/>
      <c r="BG138" s="22"/>
      <c r="BH138" s="22"/>
      <c r="BI138" s="22"/>
      <c r="BJ138" s="64"/>
      <c r="BK138" s="22"/>
      <c r="BL138" s="22"/>
      <c r="BM138" s="22"/>
      <c r="BN138" s="22"/>
      <c r="BO138" s="22"/>
      <c r="BP138" s="22"/>
      <c r="BQ138" s="22"/>
      <c r="BR138" s="22"/>
      <c r="BS138" s="22"/>
    </row>
    <row r="139" spans="1:71" s="25" customFormat="1" x14ac:dyDescent="0.25">
      <c r="A139" s="74">
        <v>139</v>
      </c>
      <c r="B139" s="70" t="s">
        <v>144</v>
      </c>
      <c r="C139" s="93"/>
      <c r="D139" s="88"/>
      <c r="E139" s="94">
        <f ca="1">OFFSET($E$7,$A139-$A$7,1,1,1)/OFFSET($E$7,$A139-$A$7,5,1,1)-1</f>
        <v>-0.33011520363459357</v>
      </c>
      <c r="F139" s="22">
        <f t="shared" ref="F139" si="245">F49</f>
        <v>16514</v>
      </c>
      <c r="G139" s="270">
        <f t="shared" ref="G139" si="246">G49</f>
        <v>10910.592000000001</v>
      </c>
      <c r="H139" s="22">
        <f t="shared" ref="H139" si="247">H49</f>
        <v>37847</v>
      </c>
      <c r="I139" s="22">
        <f t="shared" ref="I139" si="248">I49</f>
        <v>33415</v>
      </c>
      <c r="J139" s="22">
        <f t="shared" ref="J139" si="249">J49</f>
        <v>24652</v>
      </c>
      <c r="K139" s="22">
        <f t="shared" ref="K139" si="250">K49</f>
        <v>15527</v>
      </c>
      <c r="L139" s="22">
        <f t="shared" ref="L139:S139" si="251">L49</f>
        <v>50779</v>
      </c>
      <c r="M139" s="22">
        <f t="shared" si="251"/>
        <v>37570</v>
      </c>
      <c r="N139" s="22">
        <f t="shared" si="251"/>
        <v>24307</v>
      </c>
      <c r="O139" s="22">
        <f t="shared" si="251"/>
        <v>13020</v>
      </c>
      <c r="P139" s="22">
        <f t="shared" si="251"/>
        <v>47315</v>
      </c>
      <c r="Q139" s="22">
        <f t="shared" si="251"/>
        <v>36880</v>
      </c>
      <c r="R139" s="22">
        <f t="shared" si="251"/>
        <v>28355</v>
      </c>
      <c r="S139" s="22">
        <f t="shared" si="251"/>
        <v>14621</v>
      </c>
      <c r="T139" s="400"/>
      <c r="U139" s="400"/>
      <c r="V139" s="400"/>
      <c r="W139" s="400"/>
      <c r="X139" s="22">
        <f t="shared" ref="X139:BL139" si="252">X49</f>
        <v>18083</v>
      </c>
      <c r="Y139" s="22">
        <f t="shared" si="252"/>
        <v>11406</v>
      </c>
      <c r="Z139" s="22">
        <f t="shared" si="252"/>
        <v>7269</v>
      </c>
      <c r="AA139" s="22">
        <f t="shared" si="252"/>
        <v>2393</v>
      </c>
      <c r="AB139" s="22">
        <f t="shared" si="252"/>
        <v>10827</v>
      </c>
      <c r="AC139" s="22">
        <f t="shared" si="252"/>
        <v>6348.5399999999972</v>
      </c>
      <c r="AD139" s="22">
        <f t="shared" si="252"/>
        <v>3598.2960000000012</v>
      </c>
      <c r="AE139" s="22">
        <f t="shared" si="252"/>
        <v>1581.1629999999996</v>
      </c>
      <c r="AF139" s="22">
        <f t="shared" si="252"/>
        <v>7905.8910000000033</v>
      </c>
      <c r="AG139" s="22">
        <f t="shared" si="252"/>
        <v>5502.0840000000017</v>
      </c>
      <c r="AH139" s="22">
        <f t="shared" si="252"/>
        <v>3471.6769999999992</v>
      </c>
      <c r="AI139" s="22">
        <f t="shared" si="252"/>
        <v>1281.6540000000005</v>
      </c>
      <c r="AJ139" s="22">
        <f t="shared" si="252"/>
        <v>9046.9279999999999</v>
      </c>
      <c r="AK139" s="22">
        <f t="shared" si="252"/>
        <v>6471.9489999999932</v>
      </c>
      <c r="AL139" s="22">
        <f t="shared" si="252"/>
        <v>4389.9519999999984</v>
      </c>
      <c r="AM139" s="22">
        <f t="shared" si="252"/>
        <v>1847.070999999999</v>
      </c>
      <c r="AN139" s="22">
        <f t="shared" si="252"/>
        <v>7491.0559999999941</v>
      </c>
      <c r="AO139" s="22">
        <f t="shared" si="252"/>
        <v>5737.1329999999989</v>
      </c>
      <c r="AP139" s="22">
        <f t="shared" si="252"/>
        <v>3324.1639999999993</v>
      </c>
      <c r="AQ139" s="22">
        <f t="shared" si="252"/>
        <v>1476.8300000000006</v>
      </c>
      <c r="AR139" s="22">
        <f t="shared" si="252"/>
        <v>4277.8100000000004</v>
      </c>
      <c r="AS139" s="22">
        <f t="shared" si="252"/>
        <v>3030.6719999999978</v>
      </c>
      <c r="AT139" s="22">
        <f t="shared" si="252"/>
        <v>1995.8069999999989</v>
      </c>
      <c r="AU139" s="22">
        <f t="shared" si="252"/>
        <v>1169.5100000000009</v>
      </c>
      <c r="AV139" s="22">
        <f t="shared" si="252"/>
        <v>3618.5149999999967</v>
      </c>
      <c r="AW139" s="22">
        <f t="shared" si="252"/>
        <v>2687.5609999999974</v>
      </c>
      <c r="AX139" s="22">
        <f t="shared" si="252"/>
        <v>1567.6370000000022</v>
      </c>
      <c r="AY139" s="22">
        <f t="shared" si="252"/>
        <v>568.9409999999998</v>
      </c>
      <c r="AZ139" s="22">
        <f t="shared" si="252"/>
        <v>4795.6740000000054</v>
      </c>
      <c r="BA139" s="22">
        <f t="shared" si="252"/>
        <v>4104.5169999999998</v>
      </c>
      <c r="BB139" s="22">
        <f t="shared" si="252"/>
        <v>2919.5159999999996</v>
      </c>
      <c r="BC139" s="22">
        <f t="shared" si="252"/>
        <v>1675.5620000000006</v>
      </c>
      <c r="BD139" s="22">
        <f t="shared" si="252"/>
        <v>6695.2630000000026</v>
      </c>
      <c r="BE139" s="11">
        <f t="shared" si="252"/>
        <v>3615.8859999999986</v>
      </c>
      <c r="BF139" s="22">
        <f t="shared" si="252"/>
        <v>2003.1469999999999</v>
      </c>
      <c r="BG139" s="22">
        <f t="shared" si="252"/>
        <v>1079.9299999999998</v>
      </c>
      <c r="BH139" s="22">
        <f t="shared" si="252"/>
        <v>1303.4999999999991</v>
      </c>
      <c r="BI139" s="22">
        <f t="shared" si="252"/>
        <v>930.27599999999984</v>
      </c>
      <c r="BJ139" s="22">
        <f t="shared" si="252"/>
        <v>237.35299999999816</v>
      </c>
      <c r="BK139" s="22">
        <f t="shared" si="252"/>
        <v>123.28399999999979</v>
      </c>
      <c r="BL139" s="22">
        <f t="shared" si="252"/>
        <v>5885.4820000000018</v>
      </c>
      <c r="BM139" s="22">
        <f>BM49-322.039</f>
        <v>5316.0339999999978</v>
      </c>
      <c r="BN139" s="22">
        <f t="shared" ref="BN139:BS139" si="253">BN49</f>
        <v>4495.4600000000009</v>
      </c>
      <c r="BO139" s="22">
        <f t="shared" si="253"/>
        <v>2090.3870000000006</v>
      </c>
      <c r="BP139" s="22">
        <f t="shared" si="253"/>
        <v>4114.7439999999997</v>
      </c>
      <c r="BQ139" s="22">
        <f t="shared" si="253"/>
        <v>2299.9699999999984</v>
      </c>
      <c r="BR139" s="22">
        <f t="shared" si="253"/>
        <v>1127.1110000000008</v>
      </c>
      <c r="BS139" s="22">
        <f t="shared" si="253"/>
        <v>349.87900000000025</v>
      </c>
    </row>
    <row r="140" spans="1:71" s="25" customFormat="1" ht="6.95" customHeight="1" x14ac:dyDescent="0.25">
      <c r="A140" s="74">
        <v>140</v>
      </c>
      <c r="G140" s="373"/>
    </row>
    <row r="141" spans="1:71" s="25" customFormat="1" x14ac:dyDescent="0.25">
      <c r="A141" s="74">
        <v>141</v>
      </c>
      <c r="B141" s="502"/>
      <c r="C141" s="506" t="str">
        <f ca="1">OFFSET($E$67,0,1,1,1)&amp;"/ "&amp;OFFSET($E$67,0,2,1,1)</f>
        <v>2Q 2026/ 1Q 2026</v>
      </c>
      <c r="D141" s="352"/>
      <c r="E141" s="506" t="str">
        <f ca="1">OFFSET($E$66,1,1,1,1)&amp;"/ "&amp;OFFSET($E$66,1,5,1,1)</f>
        <v>2Q 2026/ 2Q 2025</v>
      </c>
      <c r="F141" s="446" t="s">
        <v>475</v>
      </c>
      <c r="G141" s="479" t="s">
        <v>472</v>
      </c>
      <c r="H141" s="446" t="s">
        <v>471</v>
      </c>
      <c r="I141" s="446" t="s">
        <v>468</v>
      </c>
      <c r="J141" s="446" t="s">
        <v>466</v>
      </c>
      <c r="K141" s="446" t="s">
        <v>462</v>
      </c>
      <c r="L141" s="446" t="s">
        <v>459</v>
      </c>
      <c r="M141" s="446" t="s">
        <v>457</v>
      </c>
      <c r="N141" s="446" t="s">
        <v>454</v>
      </c>
      <c r="O141" s="446" t="s">
        <v>452</v>
      </c>
      <c r="P141" s="446" t="s">
        <v>451</v>
      </c>
      <c r="Q141" s="446" t="s">
        <v>449</v>
      </c>
      <c r="R141" s="446" t="s">
        <v>447</v>
      </c>
      <c r="S141" s="446" t="s">
        <v>438</v>
      </c>
      <c r="T141" s="446" t="s">
        <v>437</v>
      </c>
      <c r="U141" s="446" t="s">
        <v>434</v>
      </c>
      <c r="V141" s="446" t="s">
        <v>432</v>
      </c>
      <c r="W141" s="446" t="s">
        <v>429</v>
      </c>
      <c r="X141" s="446" t="s">
        <v>424</v>
      </c>
      <c r="Y141" s="446" t="s">
        <v>421</v>
      </c>
      <c r="Z141" s="446" t="s">
        <v>419</v>
      </c>
      <c r="AA141" s="446" t="s">
        <v>415</v>
      </c>
      <c r="AB141" s="446" t="s">
        <v>410</v>
      </c>
      <c r="AC141" s="446" t="s">
        <v>408</v>
      </c>
      <c r="AD141" s="446" t="s">
        <v>406</v>
      </c>
      <c r="AE141" s="446" t="s">
        <v>402</v>
      </c>
      <c r="AF141" s="449" t="s">
        <v>393</v>
      </c>
      <c r="AG141" s="446" t="s">
        <v>387</v>
      </c>
      <c r="AH141" s="446" t="s">
        <v>384</v>
      </c>
      <c r="AI141" s="446" t="s">
        <v>381</v>
      </c>
      <c r="AJ141" s="449" t="s">
        <v>376</v>
      </c>
      <c r="AK141" s="449" t="s">
        <v>373</v>
      </c>
      <c r="AL141" s="446" t="s">
        <v>347</v>
      </c>
      <c r="AM141" s="446" t="s">
        <v>311</v>
      </c>
      <c r="AN141" s="446" t="s">
        <v>309</v>
      </c>
      <c r="AO141" s="449" t="s">
        <v>307</v>
      </c>
      <c r="AP141" s="446" t="s">
        <v>292</v>
      </c>
      <c r="AQ141" s="446" t="s">
        <v>286</v>
      </c>
      <c r="AR141" s="446" t="s">
        <v>274</v>
      </c>
      <c r="AS141" s="446" t="s">
        <v>271</v>
      </c>
      <c r="AT141" s="446" t="s">
        <v>269</v>
      </c>
      <c r="AU141" s="446" t="s">
        <v>266</v>
      </c>
      <c r="AV141" s="446" t="s">
        <v>264</v>
      </c>
      <c r="AW141" s="446" t="s">
        <v>262</v>
      </c>
      <c r="AX141" s="446" t="s">
        <v>256</v>
      </c>
      <c r="AY141" s="446" t="s">
        <v>253</v>
      </c>
      <c r="AZ141" s="446" t="s">
        <v>245</v>
      </c>
      <c r="BA141" s="449" t="s">
        <v>243</v>
      </c>
      <c r="BB141" s="449" t="s">
        <v>240</v>
      </c>
      <c r="BC141" s="449" t="s">
        <v>231</v>
      </c>
      <c r="BD141" s="449" t="s">
        <v>227</v>
      </c>
      <c r="BE141" s="449" t="s">
        <v>222</v>
      </c>
      <c r="BF141" s="449" t="s">
        <v>205</v>
      </c>
      <c r="BG141" s="446" t="s">
        <v>203</v>
      </c>
      <c r="BH141" s="449" t="s">
        <v>200</v>
      </c>
      <c r="BI141" s="449" t="s">
        <v>65</v>
      </c>
      <c r="BJ141" s="449" t="s">
        <v>66</v>
      </c>
      <c r="BK141" s="449" t="s">
        <v>4</v>
      </c>
      <c r="BL141" s="449" t="s">
        <v>67</v>
      </c>
      <c r="BM141" s="449" t="s">
        <v>68</v>
      </c>
      <c r="BN141" s="449" t="s">
        <v>69</v>
      </c>
      <c r="BO141" s="449" t="s">
        <v>5</v>
      </c>
      <c r="BP141" s="449" t="s">
        <v>70</v>
      </c>
      <c r="BQ141" s="449" t="s">
        <v>71</v>
      </c>
      <c r="BR141" s="449" t="s">
        <v>72</v>
      </c>
      <c r="BS141" s="449" t="s">
        <v>6</v>
      </c>
    </row>
    <row r="142" spans="1:71" s="25" customFormat="1" x14ac:dyDescent="0.25">
      <c r="A142" s="74">
        <v>142</v>
      </c>
      <c r="B142" s="502"/>
      <c r="C142" s="507"/>
      <c r="D142" s="353"/>
      <c r="E142" s="507"/>
      <c r="F142" s="447"/>
      <c r="G142" s="493"/>
      <c r="H142" s="448"/>
      <c r="I142" s="447"/>
      <c r="J142" s="447"/>
      <c r="K142" s="447"/>
      <c r="L142" s="448"/>
      <c r="M142" s="447"/>
      <c r="N142" s="447"/>
      <c r="O142" s="447"/>
      <c r="P142" s="448"/>
      <c r="Q142" s="447"/>
      <c r="R142" s="447"/>
      <c r="S142" s="447"/>
      <c r="T142" s="448"/>
      <c r="U142" s="447"/>
      <c r="V142" s="447"/>
      <c r="W142" s="447"/>
      <c r="X142" s="448"/>
      <c r="Y142" s="448"/>
      <c r="Z142" s="447"/>
      <c r="AA142" s="447"/>
      <c r="AB142" s="448"/>
      <c r="AC142" s="448"/>
      <c r="AD142" s="448"/>
      <c r="AE142" s="447"/>
      <c r="AF142" s="450"/>
      <c r="AG142" s="448"/>
      <c r="AH142" s="448"/>
      <c r="AI142" s="447"/>
      <c r="AJ142" s="450"/>
      <c r="AK142" s="450"/>
      <c r="AL142" s="447"/>
      <c r="AM142" s="447"/>
      <c r="AN142" s="447"/>
      <c r="AO142" s="450"/>
      <c r="AP142" s="447"/>
      <c r="AQ142" s="447"/>
      <c r="AR142" s="447"/>
      <c r="AS142" s="447"/>
      <c r="AT142" s="447"/>
      <c r="AU142" s="447"/>
      <c r="AV142" s="447"/>
      <c r="AW142" s="447"/>
      <c r="AX142" s="448"/>
      <c r="AY142" s="447"/>
      <c r="AZ142" s="447"/>
      <c r="BA142" s="450"/>
      <c r="BB142" s="450"/>
      <c r="BC142" s="450"/>
      <c r="BD142" s="450"/>
      <c r="BE142" s="450"/>
      <c r="BF142" s="450"/>
      <c r="BG142" s="447"/>
      <c r="BH142" s="450"/>
      <c r="BI142" s="450"/>
      <c r="BJ142" s="450"/>
      <c r="BK142" s="450"/>
      <c r="BL142" s="450"/>
      <c r="BM142" s="450"/>
      <c r="BN142" s="450"/>
      <c r="BO142" s="450"/>
      <c r="BP142" s="450"/>
      <c r="BQ142" s="450"/>
      <c r="BR142" s="450"/>
      <c r="BS142" s="450"/>
    </row>
    <row r="143" spans="1:71" s="25" customFormat="1" ht="8.1" customHeight="1" x14ac:dyDescent="0.25">
      <c r="A143" s="74">
        <v>143</v>
      </c>
      <c r="B143" s="71" t="s">
        <v>8</v>
      </c>
      <c r="C143" s="89"/>
      <c r="D143" s="57"/>
      <c r="E143" s="90"/>
      <c r="F143" s="57"/>
      <c r="G143" s="303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71"/>
    </row>
    <row r="144" spans="1:71" s="25" customFormat="1" ht="8.1" customHeight="1" x14ac:dyDescent="0.25">
      <c r="A144" s="74">
        <v>144</v>
      </c>
      <c r="B144" s="71" t="s">
        <v>64</v>
      </c>
      <c r="C144" s="93"/>
      <c r="D144" s="88"/>
      <c r="E144" s="94"/>
      <c r="F144" s="88"/>
      <c r="G144" s="291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71"/>
    </row>
    <row r="145" spans="1:72" s="25" customFormat="1" x14ac:dyDescent="0.25">
      <c r="A145" s="74">
        <v>145</v>
      </c>
      <c r="B145" s="70" t="s">
        <v>10</v>
      </c>
      <c r="C145" s="93">
        <f ca="1">OFFSET($E$7,$A145-$A$7,1,1,1)/OFFSET($E$7,$A145-$A$7,2,1,1)-1</f>
        <v>-7.8401480916862054E-3</v>
      </c>
      <c r="D145" s="88"/>
      <c r="E145" s="94">
        <f ca="1">OFFSET($E$7,$A145-$A$7,1,1,1)/OFFSET($E$7,$A145-$A$7,5,1,1)-1</f>
        <v>-6.558301712644854E-2</v>
      </c>
      <c r="F145" s="149">
        <f t="shared" ref="F145" si="254">F73</f>
        <v>18223</v>
      </c>
      <c r="G145" s="270">
        <f t="shared" ref="G145" si="255">G73</f>
        <v>18367</v>
      </c>
      <c r="H145" s="149">
        <f t="shared" ref="H145" si="256">H73</f>
        <v>18686</v>
      </c>
      <c r="I145" s="149">
        <f t="shared" ref="I145" si="257">I73</f>
        <v>19642</v>
      </c>
      <c r="J145" s="149">
        <f t="shared" ref="J145" si="258">J73</f>
        <v>19502</v>
      </c>
      <c r="K145" s="149">
        <f t="shared" ref="K145" si="259">K73</f>
        <v>19928</v>
      </c>
      <c r="L145" s="149">
        <f t="shared" ref="L145:S145" si="260">L73</f>
        <v>19347</v>
      </c>
      <c r="M145" s="149">
        <f t="shared" si="260"/>
        <v>17344</v>
      </c>
      <c r="N145" s="149">
        <f t="shared" si="260"/>
        <v>16664</v>
      </c>
      <c r="O145" s="149">
        <f t="shared" si="260"/>
        <v>17202</v>
      </c>
      <c r="P145" s="149">
        <f t="shared" si="260"/>
        <v>16077</v>
      </c>
      <c r="Q145" s="149">
        <f t="shared" si="260"/>
        <v>12660</v>
      </c>
      <c r="R145" s="149">
        <f t="shared" si="260"/>
        <v>10886</v>
      </c>
      <c r="S145" s="149">
        <f t="shared" si="260"/>
        <v>11209</v>
      </c>
      <c r="T145" s="400"/>
      <c r="U145" s="400"/>
      <c r="V145" s="400"/>
      <c r="W145" s="400"/>
      <c r="X145" s="149">
        <f t="shared" ref="X145:BS145" si="261">X73</f>
        <v>7954</v>
      </c>
      <c r="Y145" s="149">
        <f t="shared" si="261"/>
        <v>7057</v>
      </c>
      <c r="Z145" s="149">
        <f>Z73-803.317</f>
        <v>6630.683</v>
      </c>
      <c r="AA145" s="149">
        <f>AA73</f>
        <v>6466</v>
      </c>
      <c r="AB145" s="149">
        <f t="shared" si="261"/>
        <v>7190.4130000000005</v>
      </c>
      <c r="AC145" s="149">
        <f t="shared" si="261"/>
        <v>6040.4239999999991</v>
      </c>
      <c r="AD145" s="149">
        <f t="shared" si="261"/>
        <v>6057.5580000000009</v>
      </c>
      <c r="AE145" s="149">
        <f t="shared" si="261"/>
        <v>6235.6049999999996</v>
      </c>
      <c r="AF145" s="149">
        <f t="shared" si="261"/>
        <v>6367.3350000000028</v>
      </c>
      <c r="AG145" s="149">
        <f t="shared" si="261"/>
        <v>5856.3730000000032</v>
      </c>
      <c r="AH145" s="149">
        <f t="shared" si="261"/>
        <v>5321.3699999999981</v>
      </c>
      <c r="AI145" s="149">
        <f t="shared" si="261"/>
        <v>5736.3910000000005</v>
      </c>
      <c r="AJ145" s="149">
        <f t="shared" si="261"/>
        <v>6065.8020000000033</v>
      </c>
      <c r="AK145" s="149">
        <f t="shared" si="261"/>
        <v>5519.4489999999969</v>
      </c>
      <c r="AL145" s="149">
        <f t="shared" si="261"/>
        <v>5256.1719999999996</v>
      </c>
      <c r="AM145" s="149">
        <f t="shared" si="261"/>
        <v>5053.8419999999996</v>
      </c>
      <c r="AN145" s="149">
        <f t="shared" si="261"/>
        <v>5715.9689999999946</v>
      </c>
      <c r="AO145" s="149">
        <f t="shared" si="261"/>
        <v>5148.300000000002</v>
      </c>
      <c r="AP145" s="149">
        <f t="shared" si="261"/>
        <v>4339.6529999999984</v>
      </c>
      <c r="AQ145" s="149">
        <f t="shared" si="261"/>
        <v>4453.5990000000011</v>
      </c>
      <c r="AR145" s="149">
        <f t="shared" si="261"/>
        <v>5850.6119999999992</v>
      </c>
      <c r="AS145" s="22">
        <f t="shared" si="261"/>
        <v>5480.3540000000021</v>
      </c>
      <c r="AT145" s="22">
        <f t="shared" si="261"/>
        <v>5136.962999999997</v>
      </c>
      <c r="AU145" s="22">
        <f t="shared" si="261"/>
        <v>4889.6530000000012</v>
      </c>
      <c r="AV145" s="22">
        <f t="shared" si="261"/>
        <v>4991.746000000001</v>
      </c>
      <c r="AW145" s="22">
        <f t="shared" si="261"/>
        <v>3925.011999999997</v>
      </c>
      <c r="AX145" s="22">
        <f t="shared" si="261"/>
        <v>3975.2970000000005</v>
      </c>
      <c r="AY145" s="22">
        <f t="shared" si="261"/>
        <v>3977.694</v>
      </c>
      <c r="AZ145" s="22">
        <f t="shared" si="261"/>
        <v>5396.8910000000033</v>
      </c>
      <c r="BA145" s="22">
        <f t="shared" si="261"/>
        <v>4343.1740000000009</v>
      </c>
      <c r="BB145" s="22">
        <f t="shared" si="261"/>
        <v>4291.7419999999993</v>
      </c>
      <c r="BC145" s="22">
        <f t="shared" si="261"/>
        <v>3967.893</v>
      </c>
      <c r="BD145" s="22">
        <f t="shared" si="261"/>
        <v>3704.6210000000024</v>
      </c>
      <c r="BE145" s="22">
        <f t="shared" si="261"/>
        <v>3293.0639999999999</v>
      </c>
      <c r="BF145" s="22">
        <f t="shared" si="261"/>
        <v>3054.6970000000001</v>
      </c>
      <c r="BG145" s="22">
        <f t="shared" si="261"/>
        <v>2890.64</v>
      </c>
      <c r="BH145" s="22">
        <f t="shared" si="261"/>
        <v>3013.8680000000008</v>
      </c>
      <c r="BI145" s="22">
        <f t="shared" si="261"/>
        <v>2821.4440000000004</v>
      </c>
      <c r="BJ145" s="22">
        <f t="shared" si="261"/>
        <v>2949.1759999999995</v>
      </c>
      <c r="BK145" s="22">
        <f t="shared" si="261"/>
        <v>2839.6120000000001</v>
      </c>
      <c r="BL145" s="22">
        <f t="shared" si="261"/>
        <v>3204.7299999999996</v>
      </c>
      <c r="BM145" s="22">
        <f t="shared" si="261"/>
        <v>3471.9549999999995</v>
      </c>
      <c r="BN145" s="22">
        <f t="shared" si="261"/>
        <v>3378.1080000000002</v>
      </c>
      <c r="BO145" s="22">
        <f t="shared" si="261"/>
        <v>3267.7710000000002</v>
      </c>
      <c r="BP145" s="22">
        <f t="shared" si="261"/>
        <v>2910.3940000000007</v>
      </c>
      <c r="BQ145" s="22">
        <f t="shared" si="261"/>
        <v>3038.5910000000003</v>
      </c>
      <c r="BR145" s="22">
        <f t="shared" si="261"/>
        <v>2796.0040000000004</v>
      </c>
      <c r="BS145" s="22">
        <f t="shared" si="261"/>
        <v>3024.3710000000001</v>
      </c>
    </row>
    <row r="146" spans="1:72" s="25" customFormat="1" x14ac:dyDescent="0.25">
      <c r="A146" s="74">
        <v>146</v>
      </c>
      <c r="B146" s="70" t="s">
        <v>261</v>
      </c>
      <c r="C146" s="93">
        <f ca="1">OFFSET($E$7,$A146-$A$7,1,1,1)/OFFSET($E$7,$A146-$A$7,2,1,1)-1</f>
        <v>0.12558139534883717</v>
      </c>
      <c r="D146" s="88"/>
      <c r="E146" s="94">
        <f ca="1">OFFSET($E$7,$A146-$A$7,1,1,1)/OFFSET($E$7,$A146-$A$7,5,1,1)-1</f>
        <v>0.10735656458993303</v>
      </c>
      <c r="F146" s="149">
        <f t="shared" ref="F146" si="262">F80+F81</f>
        <v>3146</v>
      </c>
      <c r="G146" s="270">
        <f t="shared" ref="G146" si="263">G80+G81</f>
        <v>2795</v>
      </c>
      <c r="H146" s="149">
        <f t="shared" ref="H146" si="264">H80+H81</f>
        <v>3312</v>
      </c>
      <c r="I146" s="149">
        <f t="shared" ref="I146" si="265">I80+I81</f>
        <v>2873</v>
      </c>
      <c r="J146" s="149">
        <f t="shared" ref="J146" si="266">J80+J81</f>
        <v>2841</v>
      </c>
      <c r="K146" s="149">
        <f t="shared" ref="K146" si="267">K80+K81</f>
        <v>2761</v>
      </c>
      <c r="L146" s="149">
        <f t="shared" ref="L146:S146" si="268">L80+L81</f>
        <v>3075</v>
      </c>
      <c r="M146" s="149">
        <f t="shared" si="268"/>
        <v>3156</v>
      </c>
      <c r="N146" s="149">
        <f t="shared" si="268"/>
        <v>2709</v>
      </c>
      <c r="O146" s="149">
        <f t="shared" si="268"/>
        <v>2659</v>
      </c>
      <c r="P146" s="149">
        <f t="shared" si="268"/>
        <v>3057</v>
      </c>
      <c r="Q146" s="149">
        <f t="shared" si="268"/>
        <v>2972</v>
      </c>
      <c r="R146" s="149">
        <f t="shared" si="268"/>
        <v>2892</v>
      </c>
      <c r="S146" s="149">
        <f t="shared" si="268"/>
        <v>3566</v>
      </c>
      <c r="T146" s="400"/>
      <c r="U146" s="400"/>
      <c r="V146" s="400"/>
      <c r="W146" s="400"/>
      <c r="X146" s="149">
        <f t="shared" ref="X146:BS146" si="269">X80+X81</f>
        <v>2600</v>
      </c>
      <c r="Y146" s="149">
        <f t="shared" si="269"/>
        <v>2196</v>
      </c>
      <c r="Z146" s="149">
        <f t="shared" si="269"/>
        <v>2308</v>
      </c>
      <c r="AA146" s="149">
        <f t="shared" si="269"/>
        <v>1905</v>
      </c>
      <c r="AB146" s="149">
        <f t="shared" si="269"/>
        <v>2314.8670000000002</v>
      </c>
      <c r="AC146" s="149">
        <f t="shared" si="269"/>
        <v>1900.001</v>
      </c>
      <c r="AD146" s="149">
        <f t="shared" si="269"/>
        <v>1642.9629999999997</v>
      </c>
      <c r="AE146" s="149">
        <f t="shared" si="269"/>
        <v>1682.1690000000001</v>
      </c>
      <c r="AF146" s="149">
        <f>AF80+AF81</f>
        <v>1993.279000000002</v>
      </c>
      <c r="AG146" s="149">
        <f t="shared" si="269"/>
        <v>1783.5289999999995</v>
      </c>
      <c r="AH146" s="149">
        <f t="shared" si="269"/>
        <v>1763.6629999999996</v>
      </c>
      <c r="AI146" s="149">
        <f t="shared" si="269"/>
        <v>1278.4550000000004</v>
      </c>
      <c r="AJ146" s="149">
        <f t="shared" si="269"/>
        <v>1496.1294999999991</v>
      </c>
      <c r="AK146" s="149">
        <f t="shared" si="269"/>
        <v>1325.6214999999997</v>
      </c>
      <c r="AL146" s="149">
        <f t="shared" si="269"/>
        <v>1186.0674999999997</v>
      </c>
      <c r="AM146" s="149">
        <f t="shared" si="269"/>
        <v>1387.7939999999999</v>
      </c>
      <c r="AN146" s="149">
        <f t="shared" si="269"/>
        <v>1465.3149999999998</v>
      </c>
      <c r="AO146" s="149">
        <f t="shared" si="269"/>
        <v>1312.0229999999997</v>
      </c>
      <c r="AP146" s="149">
        <f t="shared" si="269"/>
        <v>1262.5310000000002</v>
      </c>
      <c r="AQ146" s="149">
        <f t="shared" si="269"/>
        <v>1171.204</v>
      </c>
      <c r="AR146" s="149">
        <f t="shared" si="269"/>
        <v>1225.2210000000005</v>
      </c>
      <c r="AS146" s="22">
        <f t="shared" si="269"/>
        <v>1178.5199999999998</v>
      </c>
      <c r="AT146" s="22">
        <f t="shared" si="269"/>
        <v>1167.8030000000001</v>
      </c>
      <c r="AU146" s="22">
        <f t="shared" si="269"/>
        <v>1127.9749999999999</v>
      </c>
      <c r="AV146" s="22">
        <f t="shared" si="269"/>
        <v>1144.3679999999995</v>
      </c>
      <c r="AW146" s="22">
        <f t="shared" si="269"/>
        <v>1034.4169999999999</v>
      </c>
      <c r="AX146" s="22">
        <f t="shared" si="269"/>
        <v>1026.8050000000001</v>
      </c>
      <c r="AY146" s="22">
        <f t="shared" si="269"/>
        <v>836.72</v>
      </c>
      <c r="AZ146" s="22">
        <f t="shared" si="269"/>
        <v>1072.3850000000002</v>
      </c>
      <c r="BA146" s="22">
        <f t="shared" si="269"/>
        <v>962.30100000000016</v>
      </c>
      <c r="BB146" s="22">
        <f t="shared" si="269"/>
        <v>896.327</v>
      </c>
      <c r="BC146" s="22">
        <f t="shared" si="269"/>
        <v>789.62900000000002</v>
      </c>
      <c r="BD146" s="22">
        <f t="shared" si="269"/>
        <v>800.45600000000024</v>
      </c>
      <c r="BE146" s="22">
        <f t="shared" si="269"/>
        <v>651.54200000000003</v>
      </c>
      <c r="BF146" s="22">
        <f t="shared" si="269"/>
        <v>631.43499999999995</v>
      </c>
      <c r="BG146" s="22">
        <f t="shared" si="269"/>
        <v>594.43500000000006</v>
      </c>
      <c r="BH146" s="22">
        <f t="shared" si="269"/>
        <v>704.5310000000004</v>
      </c>
      <c r="BI146" s="22">
        <f t="shared" si="269"/>
        <v>608.84400000000005</v>
      </c>
      <c r="BJ146" s="22">
        <f t="shared" si="269"/>
        <v>553.69500000000005</v>
      </c>
      <c r="BK146" s="22">
        <f t="shared" si="269"/>
        <v>482.05899999999997</v>
      </c>
      <c r="BL146" s="22">
        <f t="shared" si="269"/>
        <v>587.74</v>
      </c>
      <c r="BM146" s="22">
        <f t="shared" si="269"/>
        <v>525.06299999999999</v>
      </c>
      <c r="BN146" s="22">
        <f t="shared" si="269"/>
        <v>499.7</v>
      </c>
      <c r="BO146" s="22">
        <f t="shared" si="269"/>
        <v>439.13100000000003</v>
      </c>
      <c r="BP146" s="22">
        <f t="shared" si="269"/>
        <v>534.62899999999991</v>
      </c>
      <c r="BQ146" s="22">
        <f t="shared" si="269"/>
        <v>416.99899999999997</v>
      </c>
      <c r="BR146" s="22">
        <f t="shared" si="269"/>
        <v>426.3</v>
      </c>
      <c r="BS146" s="22">
        <f t="shared" si="269"/>
        <v>337.197</v>
      </c>
    </row>
    <row r="147" spans="1:72" s="25" customFormat="1" x14ac:dyDescent="0.25">
      <c r="A147" s="74">
        <v>147</v>
      </c>
      <c r="B147" s="70" t="s">
        <v>230</v>
      </c>
      <c r="C147" s="93">
        <f ca="1">OFFSET($E$7,$A147-$A$7,1,1,1)/OFFSET($E$7,$A147-$A$7,2,1,1)-1</f>
        <v>0.63607594936708867</v>
      </c>
      <c r="D147" s="88"/>
      <c r="E147" s="94">
        <f ca="1">OFFSET($E$7,$A147-$A$7,1,1,1)/OFFSET($E$7,$A147-$A$7,5,1,1)-1</f>
        <v>-0.44823906083244403</v>
      </c>
      <c r="F147" s="149">
        <f t="shared" ref="F147" si="270">F77+F78+F79+F95</f>
        <v>1551</v>
      </c>
      <c r="G147" s="270">
        <f t="shared" ref="G147" si="271">G77+G78+G79+G95</f>
        <v>948</v>
      </c>
      <c r="H147" s="149">
        <f t="shared" ref="H147" si="272">H77+H78+H79+H95</f>
        <v>1688</v>
      </c>
      <c r="I147" s="149">
        <f>I77+I78+I79+I95+1838</f>
        <v>1048</v>
      </c>
      <c r="J147" s="149">
        <f t="shared" ref="J147" si="273">J77+J78+J79+J95</f>
        <v>2811</v>
      </c>
      <c r="K147" s="149">
        <f t="shared" ref="K147" si="274">K77+K78+K79+K95</f>
        <v>2318</v>
      </c>
      <c r="L147" s="149">
        <f t="shared" ref="L147:S147" si="275">L77+L78+L79+L95</f>
        <v>3273</v>
      </c>
      <c r="M147" s="149">
        <f t="shared" si="275"/>
        <v>2828</v>
      </c>
      <c r="N147" s="149">
        <f t="shared" si="275"/>
        <v>2588</v>
      </c>
      <c r="O147" s="149">
        <f t="shared" si="275"/>
        <v>2207</v>
      </c>
      <c r="P147" s="149">
        <f t="shared" si="275"/>
        <v>1065</v>
      </c>
      <c r="Q147" s="149">
        <f t="shared" si="275"/>
        <v>1530</v>
      </c>
      <c r="R147" s="149">
        <f t="shared" si="275"/>
        <v>1789</v>
      </c>
      <c r="S147" s="149">
        <f t="shared" si="275"/>
        <v>5886</v>
      </c>
      <c r="T147" s="400"/>
      <c r="U147" s="400"/>
      <c r="V147" s="400"/>
      <c r="W147" s="400"/>
      <c r="X147" s="149">
        <f t="shared" ref="X147:BS147" si="276">X77+X78+X79+X95</f>
        <v>2010</v>
      </c>
      <c r="Y147" s="149">
        <f t="shared" si="276"/>
        <v>1203</v>
      </c>
      <c r="Z147" s="149">
        <f t="shared" si="276"/>
        <v>1538</v>
      </c>
      <c r="AA147" s="149">
        <f t="shared" si="276"/>
        <v>583</v>
      </c>
      <c r="AB147" s="149">
        <f t="shared" si="276"/>
        <v>1549.1009999999999</v>
      </c>
      <c r="AC147" s="149">
        <f t="shared" si="276"/>
        <v>565.30500000000018</v>
      </c>
      <c r="AD147" s="149">
        <f t="shared" si="276"/>
        <v>427.82899999999995</v>
      </c>
      <c r="AE147" s="149">
        <f t="shared" si="276"/>
        <v>-25.234999999999999</v>
      </c>
      <c r="AF147" s="149">
        <f t="shared" si="276"/>
        <v>157.8850000000001</v>
      </c>
      <c r="AG147" s="149">
        <f t="shared" si="276"/>
        <v>-421.09900000000005</v>
      </c>
      <c r="AH147" s="149">
        <f t="shared" si="276"/>
        <v>589.8649999999999</v>
      </c>
      <c r="AI147" s="149">
        <f t="shared" si="276"/>
        <v>-92.945000000000007</v>
      </c>
      <c r="AJ147" s="149">
        <f t="shared" si="276"/>
        <v>1616.1580000000001</v>
      </c>
      <c r="AK147" s="149">
        <f t="shared" si="276"/>
        <v>509.76200000000017</v>
      </c>
      <c r="AL147" s="149">
        <f t="shared" si="276"/>
        <v>1402.4479999999996</v>
      </c>
      <c r="AM147" s="149">
        <f t="shared" si="276"/>
        <v>296.29899999999998</v>
      </c>
      <c r="AN147" s="149">
        <f t="shared" si="276"/>
        <v>582.49600000000066</v>
      </c>
      <c r="AO147" s="149">
        <f t="shared" si="276"/>
        <v>695.5439999999976</v>
      </c>
      <c r="AP147" s="149">
        <f t="shared" si="276"/>
        <v>2342.1730000000007</v>
      </c>
      <c r="AQ147" s="149">
        <f t="shared" si="276"/>
        <v>1426.402</v>
      </c>
      <c r="AR147" s="149">
        <f t="shared" si="276"/>
        <v>402.22700000000009</v>
      </c>
      <c r="AS147" s="149">
        <f t="shared" si="276"/>
        <v>853.53099999999927</v>
      </c>
      <c r="AT147" s="149">
        <f t="shared" si="276"/>
        <v>1038.6670000000008</v>
      </c>
      <c r="AU147" s="149">
        <f t="shared" si="276"/>
        <v>891.47999999999956</v>
      </c>
      <c r="AV147" s="149">
        <f t="shared" si="276"/>
        <v>1652.751000000002</v>
      </c>
      <c r="AW147" s="149">
        <f t="shared" si="276"/>
        <v>2032.561999999999</v>
      </c>
      <c r="AX147" s="149">
        <f t="shared" si="276"/>
        <v>1517.3150000000001</v>
      </c>
      <c r="AY147" s="149">
        <f t="shared" si="276"/>
        <v>501.88600000000002</v>
      </c>
      <c r="AZ147" s="149">
        <f t="shared" si="276"/>
        <v>-12.827999999999975</v>
      </c>
      <c r="BA147" s="149">
        <f t="shared" si="276"/>
        <v>-168.1579999999999</v>
      </c>
      <c r="BB147" s="149">
        <f t="shared" si="276"/>
        <v>-19.242000000000019</v>
      </c>
      <c r="BC147" s="149">
        <f t="shared" si="276"/>
        <v>-187.50999999999988</v>
      </c>
      <c r="BD147" s="149">
        <f t="shared" si="276"/>
        <v>533.79399999999964</v>
      </c>
      <c r="BE147" s="149">
        <f t="shared" si="276"/>
        <v>557.36900000000003</v>
      </c>
      <c r="BF147" s="149">
        <f t="shared" si="276"/>
        <v>224.1730000000002</v>
      </c>
      <c r="BG147" s="149">
        <f t="shared" si="276"/>
        <v>497.56100000000004</v>
      </c>
      <c r="BH147" s="149">
        <f t="shared" si="276"/>
        <v>287.27299999999985</v>
      </c>
      <c r="BI147" s="149">
        <f t="shared" si="276"/>
        <v>426.42300000000006</v>
      </c>
      <c r="BJ147" s="149">
        <f t="shared" si="276"/>
        <v>-164.93200000000002</v>
      </c>
      <c r="BK147" s="149">
        <f t="shared" si="276"/>
        <v>280.89199999999994</v>
      </c>
      <c r="BL147" s="149">
        <f t="shared" si="276"/>
        <v>348.12400000000008</v>
      </c>
      <c r="BM147" s="149">
        <f t="shared" si="276"/>
        <v>-972.38900000000001</v>
      </c>
      <c r="BN147" s="149">
        <f t="shared" si="276"/>
        <v>26.192000000000004</v>
      </c>
      <c r="BO147" s="149">
        <f t="shared" si="276"/>
        <v>514.58600000000001</v>
      </c>
      <c r="BP147" s="149">
        <f t="shared" si="276"/>
        <v>49.49599999999991</v>
      </c>
      <c r="BQ147" s="149">
        <f t="shared" si="276"/>
        <v>117.81700000000019</v>
      </c>
      <c r="BR147" s="149">
        <f t="shared" si="276"/>
        <v>-150.41799999999998</v>
      </c>
      <c r="BS147" s="149">
        <f t="shared" si="276"/>
        <v>885.99800000000005</v>
      </c>
    </row>
    <row r="148" spans="1:72" s="25" customFormat="1" ht="6.95" customHeight="1" x14ac:dyDescent="0.25">
      <c r="A148" s="74">
        <v>148</v>
      </c>
      <c r="B148" s="70"/>
      <c r="C148" s="93"/>
      <c r="D148" s="88"/>
      <c r="E148" s="94"/>
      <c r="F148" s="149"/>
      <c r="G148" s="270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400"/>
      <c r="U148" s="400"/>
      <c r="V148" s="400"/>
      <c r="W148" s="400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</row>
    <row r="149" spans="1:72" s="25" customFormat="1" x14ac:dyDescent="0.25">
      <c r="A149" s="74">
        <v>149</v>
      </c>
      <c r="B149" s="70" t="s">
        <v>229</v>
      </c>
      <c r="C149" s="93">
        <f ca="1">OFFSET($E$7,$A149-$A$7,1,1,1)/OFFSET($E$7,$A149-$A$7,2,1,1)-1</f>
        <v>3.6126464735794839E-2</v>
      </c>
      <c r="D149" s="88"/>
      <c r="E149" s="94">
        <f ca="1">OFFSET($E$7,$A149-$A$7,1,1,1)/OFFSET($E$7,$A149-$A$7,5,1,1)-1</f>
        <v>-7.6607818411097095E-2</v>
      </c>
      <c r="F149" s="175">
        <f t="shared" ref="F149" si="277">F73+F77+F78+F79+F80+F81+F95+F99+F89</f>
        <v>23432</v>
      </c>
      <c r="G149" s="391">
        <f t="shared" ref="G149" si="278">G73+G77+G78+G79+G80+G81+G95+G99+G89</f>
        <v>22615</v>
      </c>
      <c r="H149" s="175">
        <f t="shared" ref="H149" si="279">H73+H77+H78+H79+H80+H81+H95+H99+H89</f>
        <v>24193</v>
      </c>
      <c r="I149" s="175">
        <f>I73+I77+I78+I79+I80+I81+I95+I99+I89+1838</f>
        <v>24155</v>
      </c>
      <c r="J149" s="175">
        <f t="shared" ref="J149" si="280">J73+J77+J78+J79+J80+J81+J95+J99+J89</f>
        <v>25376</v>
      </c>
      <c r="K149" s="175">
        <f t="shared" ref="K149" si="281">K73+K77+K78+K79+K80+K81+K95+K99+K89</f>
        <v>25386</v>
      </c>
      <c r="L149" s="175">
        <f t="shared" ref="L149:S149" si="282">L73+L77+L78+L79+L80+L81+L95+L99+L89</f>
        <v>26126</v>
      </c>
      <c r="M149" s="175">
        <f t="shared" si="282"/>
        <v>23655</v>
      </c>
      <c r="N149" s="175">
        <f t="shared" si="282"/>
        <v>22264</v>
      </c>
      <c r="O149" s="175">
        <f t="shared" si="282"/>
        <v>22314</v>
      </c>
      <c r="P149" s="175">
        <f t="shared" si="282"/>
        <v>20564</v>
      </c>
      <c r="Q149" s="175">
        <f t="shared" si="282"/>
        <v>17404</v>
      </c>
      <c r="R149" s="175">
        <f t="shared" si="282"/>
        <v>15804</v>
      </c>
      <c r="S149" s="175">
        <f t="shared" si="282"/>
        <v>20814</v>
      </c>
      <c r="T149" s="432"/>
      <c r="U149" s="432"/>
      <c r="V149" s="432"/>
      <c r="W149" s="432"/>
      <c r="X149" s="175">
        <f t="shared" ref="X149:BS149" si="283">X73+X77+X78+X79+X80+X81+X95+X99+X89</f>
        <v>13642</v>
      </c>
      <c r="Y149" s="175">
        <f t="shared" si="283"/>
        <v>10799</v>
      </c>
      <c r="Z149" s="175">
        <f>Z73+Z77+Z78+Z79+Z80+Z81+Z95+Z99+Z89-803.317</f>
        <v>10866.683000000001</v>
      </c>
      <c r="AA149" s="175">
        <f>AA73+AA77+AA78+AA79+AA80+AA81+AA95+AA99+AA89</f>
        <v>9239</v>
      </c>
      <c r="AB149" s="175">
        <f t="shared" si="283"/>
        <v>11300.383000000002</v>
      </c>
      <c r="AC149" s="175">
        <f t="shared" si="283"/>
        <v>9178.9249999999975</v>
      </c>
      <c r="AD149" s="175">
        <f t="shared" si="283"/>
        <v>8363.771999999999</v>
      </c>
      <c r="AE149" s="175">
        <f t="shared" si="283"/>
        <v>8226.92</v>
      </c>
      <c r="AF149" s="175">
        <f t="shared" si="283"/>
        <v>8934.6910000000025</v>
      </c>
      <c r="AG149" s="175">
        <f t="shared" si="283"/>
        <v>7526.4740000000038</v>
      </c>
      <c r="AH149" s="175">
        <f t="shared" si="283"/>
        <v>7992.9079999999976</v>
      </c>
      <c r="AI149" s="175">
        <f t="shared" si="283"/>
        <v>7402.7790000000005</v>
      </c>
      <c r="AJ149" s="175">
        <f t="shared" si="283"/>
        <v>9627.8370000000014</v>
      </c>
      <c r="AK149" s="175">
        <f t="shared" si="283"/>
        <v>7695.2769999999964</v>
      </c>
      <c r="AL149" s="175">
        <f t="shared" si="283"/>
        <v>8273.2089999999989</v>
      </c>
      <c r="AM149" s="175">
        <f t="shared" si="283"/>
        <v>7139.4369999999999</v>
      </c>
      <c r="AN149" s="175">
        <f t="shared" si="283"/>
        <v>7938.5739999999951</v>
      </c>
      <c r="AO149" s="175">
        <f t="shared" si="283"/>
        <v>7510.6710000000003</v>
      </c>
      <c r="AP149" s="175">
        <f t="shared" si="283"/>
        <v>8286.8109999999997</v>
      </c>
      <c r="AQ149" s="175">
        <f t="shared" si="283"/>
        <v>7158.8230000000012</v>
      </c>
      <c r="AR149" s="175">
        <f t="shared" si="283"/>
        <v>7334.6859999999997</v>
      </c>
      <c r="AS149" s="175">
        <f t="shared" si="283"/>
        <v>7574.8950000000004</v>
      </c>
      <c r="AT149" s="175">
        <f t="shared" si="283"/>
        <v>7419.3439999999973</v>
      </c>
      <c r="AU149" s="175">
        <f t="shared" si="283"/>
        <v>6988.5280000000002</v>
      </c>
      <c r="AV149" s="175">
        <f t="shared" si="283"/>
        <v>7857.9690000000028</v>
      </c>
      <c r="AW149" s="175">
        <f t="shared" si="283"/>
        <v>7075.5849999999946</v>
      </c>
      <c r="AX149" s="175">
        <f t="shared" si="283"/>
        <v>6605.9410000000016</v>
      </c>
      <c r="AY149" s="175">
        <f t="shared" si="283"/>
        <v>5394.5159999999996</v>
      </c>
      <c r="AZ149" s="175">
        <f t="shared" si="283"/>
        <v>6594.8050000000039</v>
      </c>
      <c r="BA149" s="175">
        <f t="shared" si="283"/>
        <v>5284.2220000000007</v>
      </c>
      <c r="BB149" s="175">
        <f t="shared" si="283"/>
        <v>5228.9339999999993</v>
      </c>
      <c r="BC149" s="175">
        <f t="shared" si="283"/>
        <v>4665.2180000000008</v>
      </c>
      <c r="BD149" s="175">
        <f t="shared" si="283"/>
        <v>5101.4350000000022</v>
      </c>
      <c r="BE149" s="175">
        <f t="shared" si="283"/>
        <v>4393.2220000000007</v>
      </c>
      <c r="BF149" s="175">
        <f t="shared" si="283"/>
        <v>3975.5000000000005</v>
      </c>
      <c r="BG149" s="175">
        <f t="shared" si="283"/>
        <v>4037.5659999999998</v>
      </c>
      <c r="BH149" s="175">
        <f t="shared" si="283"/>
        <v>3937.025000000001</v>
      </c>
      <c r="BI149" s="175">
        <f t="shared" si="283"/>
        <v>3902.9440000000004</v>
      </c>
      <c r="BJ149" s="175">
        <f t="shared" si="283"/>
        <v>3357.0209999999988</v>
      </c>
      <c r="BK149" s="175">
        <f t="shared" si="283"/>
        <v>3548.4580000000005</v>
      </c>
      <c r="BL149" s="175">
        <f t="shared" si="283"/>
        <v>3752.6909999999998</v>
      </c>
      <c r="BM149" s="175">
        <f t="shared" si="283"/>
        <v>3729.1699999999996</v>
      </c>
      <c r="BN149" s="175">
        <f t="shared" si="283"/>
        <v>4037.3460000000005</v>
      </c>
      <c r="BO149" s="175">
        <f t="shared" si="283"/>
        <v>4267.4639999999999</v>
      </c>
      <c r="BP149" s="175">
        <f t="shared" si="283"/>
        <v>3501.9740000000006</v>
      </c>
      <c r="BQ149" s="175">
        <f t="shared" si="283"/>
        <v>3582.5660000000007</v>
      </c>
      <c r="BR149" s="175">
        <f t="shared" si="283"/>
        <v>3150.4020000000005</v>
      </c>
      <c r="BS149" s="175">
        <f t="shared" si="283"/>
        <v>4259.732</v>
      </c>
    </row>
    <row r="150" spans="1:72" s="25" customFormat="1" x14ac:dyDescent="0.25">
      <c r="A150" s="74">
        <v>150</v>
      </c>
      <c r="B150" s="70" t="s">
        <v>189</v>
      </c>
      <c r="C150" s="93">
        <f ca="1">OFFSET($E$7,$A150-$A$7,1,1,1)/OFFSET($E$7,$A150-$A$7,2,1,1)-1</f>
        <v>0.27101595056761019</v>
      </c>
      <c r="D150" s="88"/>
      <c r="E150" s="94">
        <f ca="1">OFFSET($E$7,$A150-$A$7,1,1,1)/OFFSET($E$7,$A150-$A$7,5,1,1)-1</f>
        <v>0.34076095194785516</v>
      </c>
      <c r="F150" s="149">
        <f t="shared" ref="F150" si="284">SUM(F102:F103)</f>
        <v>-8845</v>
      </c>
      <c r="G150" s="270">
        <f t="shared" ref="G150" si="285">SUM(G102:G103)</f>
        <v>-6959</v>
      </c>
      <c r="H150" s="149">
        <f t="shared" ref="H150" si="286">SUM(H102:H103)</f>
        <v>-10896</v>
      </c>
      <c r="I150" s="149">
        <f t="shared" ref="I150" si="287">SUM(I102:I103)</f>
        <v>-7193</v>
      </c>
      <c r="J150" s="149">
        <f t="shared" ref="J150" si="288">SUM(J102:J103)</f>
        <v>-6597</v>
      </c>
      <c r="K150" s="149">
        <f t="shared" ref="K150" si="289">SUM(K102:K103)</f>
        <v>-5715</v>
      </c>
      <c r="L150" s="149">
        <f t="shared" ref="L150:S150" si="290">SUM(L102:L103)</f>
        <v>-7933</v>
      </c>
      <c r="M150" s="149">
        <f t="shared" si="290"/>
        <v>-6559</v>
      </c>
      <c r="N150" s="149">
        <f t="shared" si="290"/>
        <v>-5468</v>
      </c>
      <c r="O150" s="149">
        <f t="shared" si="290"/>
        <v>-5975</v>
      </c>
      <c r="P150" s="149">
        <f t="shared" si="290"/>
        <v>-5333</v>
      </c>
      <c r="Q150" s="149">
        <f t="shared" si="290"/>
        <v>-6319</v>
      </c>
      <c r="R150" s="149">
        <f t="shared" si="290"/>
        <v>-5944</v>
      </c>
      <c r="S150" s="149">
        <f t="shared" si="290"/>
        <v>-6018</v>
      </c>
      <c r="T150" s="400"/>
      <c r="U150" s="400"/>
      <c r="V150" s="400"/>
      <c r="W150" s="400"/>
      <c r="X150" s="149">
        <f t="shared" ref="X150:BS150" si="291">SUM(X102:X103)</f>
        <v>-5256</v>
      </c>
      <c r="Y150" s="149">
        <f t="shared" si="291"/>
        <v>-3744</v>
      </c>
      <c r="Z150" s="149">
        <f t="shared" si="291"/>
        <v>-3602</v>
      </c>
      <c r="AA150" s="149">
        <f t="shared" si="291"/>
        <v>-4210</v>
      </c>
      <c r="AB150" s="149">
        <f t="shared" si="291"/>
        <v>-4315.7520000000004</v>
      </c>
      <c r="AC150" s="149">
        <f t="shared" si="291"/>
        <v>-3345.2509999999993</v>
      </c>
      <c r="AD150" s="149">
        <f t="shared" si="291"/>
        <v>-3412.5760000000005</v>
      </c>
      <c r="AE150" s="149">
        <f t="shared" si="291"/>
        <v>-4133.4210000000003</v>
      </c>
      <c r="AF150" s="149">
        <f t="shared" si="291"/>
        <v>-3828.8900000000003</v>
      </c>
      <c r="AG150" s="149">
        <f t="shared" si="291"/>
        <v>-3299.848</v>
      </c>
      <c r="AH150" s="149">
        <f t="shared" si="291"/>
        <v>-3405.5460000000003</v>
      </c>
      <c r="AI150" s="149">
        <f t="shared" si="291"/>
        <v>-3551.4989999999998</v>
      </c>
      <c r="AJ150" s="149">
        <f t="shared" si="291"/>
        <v>-3270.4199999999992</v>
      </c>
      <c r="AK150" s="149">
        <f t="shared" si="291"/>
        <v>-3100.2380000000003</v>
      </c>
      <c r="AL150" s="149">
        <f t="shared" si="291"/>
        <v>-3723.5640000000003</v>
      </c>
      <c r="AM150" s="149">
        <f t="shared" si="291"/>
        <v>-2539.712</v>
      </c>
      <c r="AN150" s="149">
        <f t="shared" si="291"/>
        <v>-2677.701</v>
      </c>
      <c r="AO150" s="149">
        <f t="shared" si="291"/>
        <v>-2724.6009999999997</v>
      </c>
      <c r="AP150" s="149">
        <f t="shared" si="291"/>
        <v>-2779.3990000000003</v>
      </c>
      <c r="AQ150" s="149">
        <f t="shared" si="291"/>
        <v>-2407.4179999999997</v>
      </c>
      <c r="AR150" s="149">
        <f t="shared" si="291"/>
        <v>-2931.7190000000001</v>
      </c>
      <c r="AS150" s="22">
        <f t="shared" si="291"/>
        <v>-2518.1630000000005</v>
      </c>
      <c r="AT150" s="22">
        <f t="shared" si="291"/>
        <v>-2512.6679999999997</v>
      </c>
      <c r="AU150" s="22">
        <f t="shared" si="291"/>
        <v>-2315.152</v>
      </c>
      <c r="AV150" s="22">
        <f t="shared" si="291"/>
        <v>-2784.8229999999999</v>
      </c>
      <c r="AW150" s="22">
        <f t="shared" si="291"/>
        <v>-2054.6419999999998</v>
      </c>
      <c r="AX150" s="22">
        <f t="shared" si="291"/>
        <v>-2235.7640000000001</v>
      </c>
      <c r="AY150" s="22">
        <f t="shared" si="291"/>
        <v>-1830.0070000000001</v>
      </c>
      <c r="AZ150" s="22">
        <f t="shared" si="291"/>
        <v>-2329.4190000000003</v>
      </c>
      <c r="BA150" s="22">
        <f t="shared" si="291"/>
        <v>-1891.7180000000001</v>
      </c>
      <c r="BB150" s="22">
        <f t="shared" si="291"/>
        <v>-2018.2869999999998</v>
      </c>
      <c r="BC150" s="22">
        <f t="shared" si="291"/>
        <v>-1661.173</v>
      </c>
      <c r="BD150" s="22">
        <f t="shared" si="291"/>
        <v>-1809.6680000000003</v>
      </c>
      <c r="BE150" s="22">
        <f t="shared" si="291"/>
        <v>-1554.9660000000001</v>
      </c>
      <c r="BF150" s="22">
        <f t="shared" si="291"/>
        <v>-1412.7429999999999</v>
      </c>
      <c r="BG150" s="22">
        <f t="shared" si="291"/>
        <v>-1292.817</v>
      </c>
      <c r="BH150" s="22">
        <f t="shared" si="291"/>
        <v>-1694.1349999999998</v>
      </c>
      <c r="BI150" s="22">
        <f t="shared" si="291"/>
        <v>-1395.42</v>
      </c>
      <c r="BJ150" s="22">
        <f t="shared" si="291"/>
        <v>-1306.759</v>
      </c>
      <c r="BK150" s="22">
        <f t="shared" si="291"/>
        <v>-1276.223</v>
      </c>
      <c r="BL150" s="22">
        <f t="shared" si="291"/>
        <v>-1489.7829999999999</v>
      </c>
      <c r="BM150" s="22">
        <f t="shared" si="291"/>
        <v>-1291.7239999999999</v>
      </c>
      <c r="BN150" s="22">
        <f t="shared" si="291"/>
        <v>-1237.019</v>
      </c>
      <c r="BO150" s="22">
        <f t="shared" si="291"/>
        <v>-951.05500000000006</v>
      </c>
      <c r="BP150" s="22">
        <f t="shared" si="291"/>
        <v>-1075.105</v>
      </c>
      <c r="BQ150" s="22">
        <f t="shared" si="291"/>
        <v>-1128.423</v>
      </c>
      <c r="BR150" s="22">
        <f t="shared" si="291"/>
        <v>-746.14</v>
      </c>
      <c r="BS150" s="22">
        <f t="shared" si="291"/>
        <v>-679.33300000000008</v>
      </c>
    </row>
    <row r="151" spans="1:72" s="25" customFormat="1" x14ac:dyDescent="0.25">
      <c r="A151" s="74">
        <v>151</v>
      </c>
      <c r="B151" s="70" t="s">
        <v>469</v>
      </c>
      <c r="C151" s="93">
        <f ca="1">OFFSET($E$7,$A151-$A$7,1,1,1)/OFFSET($E$7,$A151-$A$7,2,1,1)-1</f>
        <v>5.5830786729857813</v>
      </c>
      <c r="D151" s="88"/>
      <c r="E151" s="94">
        <f ca="1">OFFSET($E$7,$A151-$A$7,1,1,1)/OFFSET($E$7,$A151-$A$7,5,1,1)-1</f>
        <v>1.0056428155904573E-2</v>
      </c>
      <c r="F151" s="176">
        <f>F75+F85+F84+F96+F98</f>
        <v>-6945.1479999999992</v>
      </c>
      <c r="G151" s="306">
        <f t="shared" ref="G151" si="292">G75+G85+G84+G96</f>
        <v>-1055</v>
      </c>
      <c r="H151" s="176">
        <f>H75+H85+H84+H96</f>
        <v>-5169</v>
      </c>
      <c r="I151" s="176">
        <f>I75+I85+I84+I96-1838</f>
        <v>-5315</v>
      </c>
      <c r="J151" s="176">
        <f>J75+J85+J84+J96+J98</f>
        <v>-6876</v>
      </c>
      <c r="K151" s="176">
        <f t="shared" ref="K151" si="293">K75+K85+K84+K96</f>
        <v>43</v>
      </c>
      <c r="L151" s="176">
        <f>L75+L85+L84+L96</f>
        <v>-1836</v>
      </c>
      <c r="M151" s="176">
        <f>M75+M85+M84+M96</f>
        <v>-1160</v>
      </c>
      <c r="N151" s="176">
        <f>N75+N85+N84+N96+N98</f>
        <v>-2887</v>
      </c>
      <c r="O151" s="176">
        <f t="shared" ref="O151:S151" si="294">O75+O85+O84+O96</f>
        <v>-209</v>
      </c>
      <c r="P151" s="176">
        <f t="shared" si="294"/>
        <v>-656</v>
      </c>
      <c r="Q151" s="176">
        <f t="shared" si="294"/>
        <v>-422.09299999999985</v>
      </c>
      <c r="R151" s="176">
        <f t="shared" si="294"/>
        <v>553.09299999999985</v>
      </c>
      <c r="S151" s="176">
        <f t="shared" si="294"/>
        <v>3781</v>
      </c>
      <c r="T151" s="417"/>
      <c r="U151" s="417"/>
      <c r="V151" s="417"/>
      <c r="W151" s="417"/>
      <c r="X151" s="176">
        <f t="shared" ref="X151:BS151" si="295">X75+X85+X84+X96</f>
        <v>506</v>
      </c>
      <c r="Y151" s="176">
        <f t="shared" si="295"/>
        <v>-913</v>
      </c>
      <c r="Z151" s="176">
        <f t="shared" si="295"/>
        <v>-2011</v>
      </c>
      <c r="AA151" s="176">
        <f t="shared" si="295"/>
        <v>-2178</v>
      </c>
      <c r="AB151" s="176">
        <f t="shared" si="295"/>
        <v>-1778.098</v>
      </c>
      <c r="AC151" s="176">
        <f t="shared" si="295"/>
        <v>-1993.5380000000002</v>
      </c>
      <c r="AD151" s="176">
        <f t="shared" si="295"/>
        <v>-2596.2269999999999</v>
      </c>
      <c r="AE151" s="176">
        <f t="shared" si="295"/>
        <v>-2615.1370000000002</v>
      </c>
      <c r="AF151" s="176">
        <f t="shared" si="295"/>
        <v>-2044.9550000000002</v>
      </c>
      <c r="AG151" s="176">
        <f t="shared" si="295"/>
        <v>-1773.1120000000003</v>
      </c>
      <c r="AH151" s="176">
        <f t="shared" si="295"/>
        <v>-1849.1509999999998</v>
      </c>
      <c r="AI151" s="176">
        <f t="shared" si="295"/>
        <v>-2268.7809999999999</v>
      </c>
      <c r="AJ151" s="176">
        <f t="shared" si="295"/>
        <v>-1834.2190000000001</v>
      </c>
      <c r="AK151" s="176">
        <f t="shared" si="295"/>
        <v>-2029.875</v>
      </c>
      <c r="AL151" s="176">
        <f t="shared" si="295"/>
        <v>-1528.617</v>
      </c>
      <c r="AM151" s="176">
        <f t="shared" si="295"/>
        <v>-1758.6980000000001</v>
      </c>
      <c r="AN151" s="176">
        <f t="shared" si="295"/>
        <v>-2358.2900000000009</v>
      </c>
      <c r="AO151" s="176">
        <f t="shared" si="295"/>
        <v>-2013.4110000000001</v>
      </c>
      <c r="AP151" s="176">
        <f t="shared" si="295"/>
        <v>-2548.1439999999998</v>
      </c>
      <c r="AQ151" s="176">
        <f t="shared" si="295"/>
        <v>-2654.989</v>
      </c>
      <c r="AR151" s="176">
        <f t="shared" si="295"/>
        <v>-3098.2240000000002</v>
      </c>
      <c r="AS151" s="176">
        <f t="shared" si="295"/>
        <v>-3260.5619999999999</v>
      </c>
      <c r="AT151" s="176">
        <f t="shared" si="295"/>
        <v>-3189.2289999999998</v>
      </c>
      <c r="AU151" s="176">
        <f t="shared" si="295"/>
        <v>-2942.0909999999999</v>
      </c>
      <c r="AV151" s="176">
        <f t="shared" si="295"/>
        <v>-3412.7919999999999</v>
      </c>
      <c r="AW151" s="176">
        <f t="shared" si="295"/>
        <v>-3286.4330000000009</v>
      </c>
      <c r="AX151" s="176">
        <f t="shared" si="295"/>
        <v>-3039.2029999999995</v>
      </c>
      <c r="AY151" s="176">
        <f t="shared" si="295"/>
        <v>-2554.7150000000001</v>
      </c>
      <c r="AZ151" s="176">
        <f t="shared" si="295"/>
        <v>-2911.1719999999996</v>
      </c>
      <c r="BA151" s="176">
        <f t="shared" si="295"/>
        <v>-1601.5300000000002</v>
      </c>
      <c r="BB151" s="176">
        <f t="shared" si="295"/>
        <v>-1557.896</v>
      </c>
      <c r="BC151" s="176">
        <f t="shared" si="295"/>
        <v>-1215.3109999999999</v>
      </c>
      <c r="BD151" s="176">
        <f t="shared" si="295"/>
        <v>-1158.9870000000001</v>
      </c>
      <c r="BE151" s="176">
        <f t="shared" si="295"/>
        <v>-1100.6180000000002</v>
      </c>
      <c r="BF151" s="176">
        <f t="shared" si="295"/>
        <v>-1145.6609999999998</v>
      </c>
      <c r="BG151" s="176">
        <f t="shared" si="295"/>
        <v>-1089.8030000000001</v>
      </c>
      <c r="BH151" s="176">
        <f t="shared" si="295"/>
        <v>-1470.5140000000001</v>
      </c>
      <c r="BI151" s="176">
        <f t="shared" si="295"/>
        <v>-1612.1659999999999</v>
      </c>
      <c r="BJ151" s="176">
        <f t="shared" si="295"/>
        <v>-1539.492</v>
      </c>
      <c r="BK151" s="176">
        <f t="shared" si="295"/>
        <v>-1767.7650000000001</v>
      </c>
      <c r="BL151" s="176">
        <f t="shared" si="295"/>
        <v>-1763.8219999999999</v>
      </c>
      <c r="BM151" s="176">
        <f t="shared" si="295"/>
        <v>-712.01199999999994</v>
      </c>
      <c r="BN151" s="176">
        <f t="shared" si="295"/>
        <v>-292.88900000000001</v>
      </c>
      <c r="BO151" s="176">
        <f t="shared" si="295"/>
        <v>-673.01499999999999</v>
      </c>
      <c r="BP151" s="176">
        <f t="shared" si="295"/>
        <v>-47.70900000000006</v>
      </c>
      <c r="BQ151" s="176">
        <f t="shared" si="295"/>
        <v>-997.85900000000004</v>
      </c>
      <c r="BR151" s="176">
        <f t="shared" si="295"/>
        <v>-1190.3539999999998</v>
      </c>
      <c r="BS151" s="176">
        <f t="shared" si="295"/>
        <v>-2774.35</v>
      </c>
    </row>
    <row r="152" spans="1:72" s="25" customFormat="1" ht="6.95" customHeight="1" x14ac:dyDescent="0.25">
      <c r="A152" s="74">
        <v>152</v>
      </c>
      <c r="B152" s="70"/>
      <c r="C152" s="93"/>
      <c r="D152" s="88"/>
      <c r="E152" s="94"/>
      <c r="F152" s="151"/>
      <c r="G152" s="373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433"/>
      <c r="U152" s="433"/>
      <c r="V152" s="433"/>
      <c r="W152" s="433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</row>
    <row r="153" spans="1:72" s="25" customFormat="1" x14ac:dyDescent="0.25">
      <c r="A153" s="74">
        <v>153</v>
      </c>
      <c r="B153" s="70" t="s">
        <v>144</v>
      </c>
      <c r="C153" s="93">
        <f ca="1">OFFSET($E$7,$A153-$A$7,1,1,1)/OFFSET($E$7,$A153-$A$7,2,1,1)-1</f>
        <v>-0.48642493459566638</v>
      </c>
      <c r="D153" s="88"/>
      <c r="E153" s="94">
        <f ca="1">OFFSET($E$7,$A153-$A$7,1,1,1)/OFFSET($E$7,$A153-$A$7,5,1,1)-1</f>
        <v>-0.38592789041095898</v>
      </c>
      <c r="F153" s="176">
        <f t="shared" ref="F153" si="296">F109</f>
        <v>5603.4079999999994</v>
      </c>
      <c r="G153" s="306">
        <f t="shared" ref="G153" si="297">G109</f>
        <v>10910.592000000001</v>
      </c>
      <c r="H153" s="176">
        <f t="shared" ref="H153" si="298">H109</f>
        <v>4432</v>
      </c>
      <c r="I153" s="176">
        <f t="shared" ref="I153" si="299">I109</f>
        <v>8763</v>
      </c>
      <c r="J153" s="176">
        <f t="shared" ref="J153" si="300">J109</f>
        <v>9125</v>
      </c>
      <c r="K153" s="176">
        <f t="shared" ref="K153" si="301">K109</f>
        <v>15527</v>
      </c>
      <c r="L153" s="176">
        <f t="shared" ref="L153:AJ153" si="302">L109</f>
        <v>13209</v>
      </c>
      <c r="M153" s="176">
        <f t="shared" si="302"/>
        <v>13263</v>
      </c>
      <c r="N153" s="176">
        <f t="shared" si="302"/>
        <v>11287</v>
      </c>
      <c r="O153" s="176">
        <f t="shared" si="302"/>
        <v>13020</v>
      </c>
      <c r="P153" s="176">
        <f t="shared" si="302"/>
        <v>10435</v>
      </c>
      <c r="Q153" s="176">
        <f t="shared" si="302"/>
        <v>8525</v>
      </c>
      <c r="R153" s="176">
        <f t="shared" si="302"/>
        <v>13734</v>
      </c>
      <c r="S153" s="176">
        <f t="shared" si="302"/>
        <v>14621</v>
      </c>
      <c r="T153" s="417"/>
      <c r="U153" s="417"/>
      <c r="V153" s="417"/>
      <c r="W153" s="417"/>
      <c r="X153" s="176">
        <f t="shared" si="302"/>
        <v>6677</v>
      </c>
      <c r="Y153" s="176">
        <f t="shared" si="302"/>
        <v>4137</v>
      </c>
      <c r="Z153" s="176">
        <f t="shared" si="302"/>
        <v>4876</v>
      </c>
      <c r="AA153" s="176">
        <f t="shared" si="302"/>
        <v>2393</v>
      </c>
      <c r="AB153" s="176">
        <f t="shared" si="302"/>
        <v>4478.4600000000028</v>
      </c>
      <c r="AC153" s="176">
        <f t="shared" si="302"/>
        <v>2750.243999999996</v>
      </c>
      <c r="AD153" s="176">
        <f t="shared" si="302"/>
        <v>2017.1330000000016</v>
      </c>
      <c r="AE153" s="176">
        <f t="shared" si="302"/>
        <v>1581.1629999999996</v>
      </c>
      <c r="AF153" s="176">
        <f t="shared" si="302"/>
        <v>2403.8070000000016</v>
      </c>
      <c r="AG153" s="176">
        <f t="shared" si="302"/>
        <v>2030.4070000000024</v>
      </c>
      <c r="AH153" s="176">
        <f t="shared" si="302"/>
        <v>2190.0229999999988</v>
      </c>
      <c r="AI153" s="176">
        <f t="shared" si="302"/>
        <v>1281.6540000000005</v>
      </c>
      <c r="AJ153" s="176">
        <f t="shared" si="302"/>
        <v>2574.9790000000066</v>
      </c>
      <c r="AK153" s="176">
        <f t="shared" ref="AK153:AP153" si="303">AK109</f>
        <v>2081.9969999999948</v>
      </c>
      <c r="AL153" s="176">
        <f t="shared" si="303"/>
        <v>2542.8809999999994</v>
      </c>
      <c r="AM153" s="176">
        <f t="shared" si="303"/>
        <v>2199.5059999999989</v>
      </c>
      <c r="AN153" s="176">
        <f t="shared" si="303"/>
        <v>2118.8319999999949</v>
      </c>
      <c r="AO153" s="176">
        <f t="shared" si="303"/>
        <v>2129.0549999999994</v>
      </c>
      <c r="AP153" s="176">
        <f t="shared" si="303"/>
        <v>2147.1739999999982</v>
      </c>
      <c r="AQ153" s="176">
        <f t="shared" ref="AQ153:BB153" si="304">AQ109</f>
        <v>1672.844000000001</v>
      </c>
      <c r="AR153" s="176">
        <f t="shared" si="304"/>
        <v>1422.6719999999991</v>
      </c>
      <c r="AS153" s="72">
        <f t="shared" si="304"/>
        <v>1315.956000000001</v>
      </c>
      <c r="AT153" s="72">
        <f t="shared" si="304"/>
        <v>1051.0119999999981</v>
      </c>
      <c r="AU153" s="72">
        <f t="shared" si="304"/>
        <v>1178.8510000000006</v>
      </c>
      <c r="AV153" s="72">
        <f t="shared" si="304"/>
        <v>1168.1830000000027</v>
      </c>
      <c r="AW153" s="72">
        <f t="shared" si="304"/>
        <v>1420.6899999999951</v>
      </c>
      <c r="AX153" s="72">
        <f t="shared" si="304"/>
        <v>1020.4610000000013</v>
      </c>
      <c r="AY153" s="72">
        <f t="shared" si="304"/>
        <v>862.88799999999969</v>
      </c>
      <c r="AZ153" s="72">
        <f t="shared" si="304"/>
        <v>1068.0550000000035</v>
      </c>
      <c r="BA153" s="72">
        <f t="shared" si="304"/>
        <v>1489.8400000000011</v>
      </c>
      <c r="BB153" s="72">
        <f t="shared" si="304"/>
        <v>1207.4859999999996</v>
      </c>
      <c r="BC153" s="72">
        <f t="shared" ref="BC153:BK153" si="305">BC109</f>
        <v>2012.5230000000004</v>
      </c>
      <c r="BD153" s="72">
        <f t="shared" si="305"/>
        <v>1434.4760000000019</v>
      </c>
      <c r="BE153" s="72">
        <f t="shared" si="305"/>
        <v>1327.7309999999998</v>
      </c>
      <c r="BF153" s="72">
        <f t="shared" si="305"/>
        <v>1207.0020000000009</v>
      </c>
      <c r="BG153" s="72">
        <f t="shared" si="305"/>
        <v>1338.2549999999997</v>
      </c>
      <c r="BH153" s="72">
        <f t="shared" si="305"/>
        <v>637.1570000000014</v>
      </c>
      <c r="BI153" s="72">
        <f t="shared" si="305"/>
        <v>918.65500000000054</v>
      </c>
      <c r="BJ153" s="72">
        <f t="shared" si="305"/>
        <v>438.58499999999981</v>
      </c>
      <c r="BK153" s="72">
        <f t="shared" si="305"/>
        <v>452.20899999999972</v>
      </c>
      <c r="BL153" s="72">
        <f>BL109+322.039</f>
        <v>846.86499999999978</v>
      </c>
      <c r="BM153" s="72">
        <f>BM109-322.039</f>
        <v>1049.6539999999998</v>
      </c>
      <c r="BN153" s="72">
        <f t="shared" ref="BN153:BS153" si="306">BN109</f>
        <v>1712.17</v>
      </c>
      <c r="BO153" s="72">
        <f t="shared" si="306"/>
        <v>2257.8780000000006</v>
      </c>
      <c r="BP153" s="72">
        <f t="shared" si="306"/>
        <v>1976.3860000000006</v>
      </c>
      <c r="BQ153" s="72">
        <f t="shared" si="306"/>
        <v>1316.1240000000005</v>
      </c>
      <c r="BR153" s="72">
        <f t="shared" si="306"/>
        <v>918.89900000000057</v>
      </c>
      <c r="BS153" s="72">
        <f t="shared" si="306"/>
        <v>469.16200000000026</v>
      </c>
    </row>
    <row r="154" spans="1:72" ht="15" customHeight="1" x14ac:dyDescent="0.25">
      <c r="A154" s="74">
        <v>154</v>
      </c>
      <c r="F154" s="176"/>
      <c r="G154" s="392"/>
      <c r="H154" s="350"/>
      <c r="I154" s="350"/>
      <c r="J154" s="176"/>
      <c r="K154" s="350"/>
      <c r="L154" s="350"/>
      <c r="M154" s="350"/>
      <c r="N154" s="176"/>
      <c r="O154" s="350"/>
      <c r="P154" s="350"/>
      <c r="Q154" s="350"/>
      <c r="R154" s="350"/>
      <c r="S154" s="350"/>
      <c r="T154" s="350"/>
      <c r="U154" s="350"/>
      <c r="V154" s="350"/>
      <c r="W154" s="350"/>
      <c r="X154" s="350"/>
      <c r="Y154" s="350"/>
      <c r="Z154" s="25"/>
      <c r="AA154" s="25"/>
      <c r="AB154" s="25"/>
      <c r="AG154" s="25"/>
      <c r="AJ154" s="300"/>
      <c r="BB154" s="25"/>
      <c r="BC154" s="25"/>
      <c r="BH154" s="27"/>
    </row>
    <row r="155" spans="1:72" x14ac:dyDescent="0.25">
      <c r="A155" s="74">
        <v>155</v>
      </c>
      <c r="G155" s="301"/>
      <c r="BB155" s="25"/>
      <c r="BC155" s="25"/>
      <c r="BD155" s="25"/>
      <c r="BE155" s="25"/>
      <c r="BH155" s="27"/>
    </row>
    <row r="156" spans="1:72" x14ac:dyDescent="0.25">
      <c r="A156" s="74">
        <v>156</v>
      </c>
      <c r="G156" s="301"/>
      <c r="BH156" s="27"/>
    </row>
    <row r="157" spans="1:72" x14ac:dyDescent="0.25">
      <c r="A157" s="74">
        <v>157</v>
      </c>
      <c r="B157" s="453" t="s">
        <v>9</v>
      </c>
      <c r="C157" s="470"/>
      <c r="D157" s="222"/>
      <c r="E157" s="468" t="s">
        <v>202</v>
      </c>
      <c r="F157" s="446" t="s">
        <v>474</v>
      </c>
      <c r="G157" s="479" t="s">
        <v>472</v>
      </c>
      <c r="H157" s="446" t="s">
        <v>470</v>
      </c>
      <c r="I157" s="446" t="s">
        <v>467</v>
      </c>
      <c r="J157" s="446" t="s">
        <v>465</v>
      </c>
      <c r="K157" s="446" t="s">
        <v>462</v>
      </c>
      <c r="L157" s="446" t="s">
        <v>458</v>
      </c>
      <c r="M157" s="446" t="s">
        <v>456</v>
      </c>
      <c r="N157" s="446" t="s">
        <v>453</v>
      </c>
      <c r="O157" s="446" t="s">
        <v>452</v>
      </c>
      <c r="P157" s="446" t="s">
        <v>450</v>
      </c>
      <c r="Q157" s="446" t="s">
        <v>448</v>
      </c>
      <c r="R157" s="446" t="s">
        <v>446</v>
      </c>
      <c r="S157" s="446" t="s">
        <v>438</v>
      </c>
      <c r="T157" s="446" t="s">
        <v>436</v>
      </c>
      <c r="U157" s="446" t="s">
        <v>433</v>
      </c>
      <c r="V157" s="446" t="s">
        <v>431</v>
      </c>
      <c r="W157" s="446" t="s">
        <v>429</v>
      </c>
      <c r="X157" s="446" t="s">
        <v>423</v>
      </c>
      <c r="Y157" s="446" t="s">
        <v>420</v>
      </c>
      <c r="Z157" s="446" t="s">
        <v>418</v>
      </c>
      <c r="AA157" s="446" t="s">
        <v>415</v>
      </c>
      <c r="AB157" s="446" t="s">
        <v>409</v>
      </c>
      <c r="AC157" s="446" t="s">
        <v>407</v>
      </c>
      <c r="AD157" s="446" t="s">
        <v>405</v>
      </c>
      <c r="AE157" s="446" t="s">
        <v>402</v>
      </c>
      <c r="AF157" s="446" t="s">
        <v>392</v>
      </c>
      <c r="AG157" s="446" t="s">
        <v>386</v>
      </c>
      <c r="AH157" s="446" t="s">
        <v>383</v>
      </c>
      <c r="AI157" s="446" t="s">
        <v>381</v>
      </c>
      <c r="AJ157" s="446" t="s">
        <v>375</v>
      </c>
      <c r="AK157" s="446" t="s">
        <v>372</v>
      </c>
      <c r="AL157" s="446" t="s">
        <v>346</v>
      </c>
      <c r="AM157" s="446" t="s">
        <v>311</v>
      </c>
      <c r="AN157" s="446" t="s">
        <v>308</v>
      </c>
      <c r="AO157" s="446" t="s">
        <v>306</v>
      </c>
      <c r="AP157" s="446" t="s">
        <v>291</v>
      </c>
      <c r="AQ157" s="446" t="s">
        <v>286</v>
      </c>
      <c r="AR157" s="446" t="s">
        <v>273</v>
      </c>
      <c r="AS157" s="446" t="s">
        <v>272</v>
      </c>
      <c r="AT157" s="446" t="s">
        <v>270</v>
      </c>
      <c r="AU157" s="446" t="s">
        <v>266</v>
      </c>
      <c r="AV157" s="446" t="s">
        <v>265</v>
      </c>
      <c r="AW157" s="446" t="s">
        <v>263</v>
      </c>
      <c r="AX157" s="446" t="s">
        <v>255</v>
      </c>
      <c r="AY157" s="446" t="s">
        <v>253</v>
      </c>
      <c r="AZ157" s="446" t="s">
        <v>244</v>
      </c>
      <c r="BA157" s="446" t="s">
        <v>242</v>
      </c>
      <c r="BB157" s="446" t="s">
        <v>239</v>
      </c>
      <c r="BC157" s="446" t="s">
        <v>231</v>
      </c>
      <c r="BD157" s="446" t="s">
        <v>226</v>
      </c>
      <c r="BE157" s="446" t="s">
        <v>221</v>
      </c>
      <c r="BF157" s="446" t="s">
        <v>204</v>
      </c>
      <c r="BG157" s="446" t="s">
        <v>203</v>
      </c>
      <c r="BH157" s="446" t="s">
        <v>199</v>
      </c>
      <c r="BI157" s="446" t="s">
        <v>163</v>
      </c>
      <c r="BJ157" s="446" t="s">
        <v>164</v>
      </c>
      <c r="BK157" s="446" t="s">
        <v>4</v>
      </c>
      <c r="BL157" s="446" t="s">
        <v>165</v>
      </c>
      <c r="BM157" s="446" t="s">
        <v>168</v>
      </c>
      <c r="BN157" s="446" t="s">
        <v>169</v>
      </c>
      <c r="BO157" s="446" t="s">
        <v>5</v>
      </c>
      <c r="BP157" s="446" t="s">
        <v>170</v>
      </c>
      <c r="BQ157" s="446" t="s">
        <v>171</v>
      </c>
      <c r="BR157" s="446" t="s">
        <v>172</v>
      </c>
      <c r="BS157" s="446" t="s">
        <v>6</v>
      </c>
      <c r="BT157" s="488"/>
    </row>
    <row r="158" spans="1:72" x14ac:dyDescent="0.25">
      <c r="A158" s="74">
        <v>158</v>
      </c>
      <c r="B158" s="454"/>
      <c r="C158" s="471"/>
      <c r="D158" s="274"/>
      <c r="E158" s="478"/>
      <c r="F158" s="447"/>
      <c r="G158" s="493"/>
      <c r="H158" s="448"/>
      <c r="I158" s="447"/>
      <c r="J158" s="447"/>
      <c r="K158" s="447"/>
      <c r="L158" s="448"/>
      <c r="M158" s="447"/>
      <c r="N158" s="447"/>
      <c r="O158" s="447"/>
      <c r="P158" s="448"/>
      <c r="Q158" s="447"/>
      <c r="R158" s="447"/>
      <c r="S158" s="447"/>
      <c r="T158" s="448"/>
      <c r="U158" s="447"/>
      <c r="V158" s="447"/>
      <c r="W158" s="447"/>
      <c r="X158" s="448"/>
      <c r="Y158" s="448"/>
      <c r="Z158" s="447"/>
      <c r="AA158" s="447"/>
      <c r="AB158" s="448"/>
      <c r="AC158" s="448"/>
      <c r="AD158" s="448"/>
      <c r="AE158" s="447"/>
      <c r="AF158" s="447"/>
      <c r="AG158" s="448"/>
      <c r="AH158" s="448"/>
      <c r="AI158" s="447"/>
      <c r="AJ158" s="447"/>
      <c r="AK158" s="447"/>
      <c r="AL158" s="447"/>
      <c r="AM158" s="447"/>
      <c r="AN158" s="448"/>
      <c r="AO158" s="447"/>
      <c r="AP158" s="447"/>
      <c r="AQ158" s="447"/>
      <c r="AR158" s="448"/>
      <c r="AS158" s="447"/>
      <c r="AT158" s="447"/>
      <c r="AU158" s="447"/>
      <c r="AV158" s="448"/>
      <c r="AW158" s="448"/>
      <c r="AX158" s="448"/>
      <c r="AY158" s="447"/>
      <c r="AZ158" s="447"/>
      <c r="BA158" s="447"/>
      <c r="BB158" s="447"/>
      <c r="BC158" s="447"/>
      <c r="BD158" s="447"/>
      <c r="BE158" s="447"/>
      <c r="BF158" s="447"/>
      <c r="BG158" s="447"/>
      <c r="BH158" s="447"/>
      <c r="BI158" s="447"/>
      <c r="BJ158" s="447"/>
      <c r="BK158" s="447"/>
      <c r="BL158" s="447"/>
      <c r="BM158" s="447"/>
      <c r="BN158" s="447"/>
      <c r="BO158" s="447"/>
      <c r="BP158" s="447"/>
      <c r="BQ158" s="447"/>
      <c r="BR158" s="447"/>
      <c r="BS158" s="447"/>
      <c r="BT158" s="500"/>
    </row>
    <row r="159" spans="1:72" ht="8.1" customHeight="1" x14ac:dyDescent="0.25">
      <c r="A159" s="74">
        <v>159</v>
      </c>
      <c r="B159" s="8" t="s">
        <v>166</v>
      </c>
      <c r="C159" s="89"/>
      <c r="D159" s="57"/>
      <c r="E159" s="90"/>
      <c r="F159" s="57"/>
      <c r="G159" s="303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8"/>
      <c r="BT159" s="39"/>
    </row>
    <row r="160" spans="1:72" s="301" customFormat="1" x14ac:dyDescent="0.25">
      <c r="A160" s="289">
        <v>160</v>
      </c>
      <c r="B160" s="364" t="s">
        <v>12</v>
      </c>
      <c r="C160" s="365"/>
      <c r="D160" s="291"/>
      <c r="E160" s="286">
        <f ca="1">OFFSET($E$7,$A160-$A$7,1,1,1)-OFFSET($E$7,$A160-$A$7,5,1,1)</f>
        <v>-9.9353010648812468E-3</v>
      </c>
      <c r="F160" s="251">
        <v>6.4388083919636796E-2</v>
      </c>
      <c r="G160" s="251">
        <v>6.4792164695837706E-2</v>
      </c>
      <c r="H160" s="251">
        <v>6.9639680106487439E-2</v>
      </c>
      <c r="I160" s="251">
        <v>7.1599999999999997E-2</v>
      </c>
      <c r="J160" s="251">
        <v>7.4323384984518043E-2</v>
      </c>
      <c r="K160" s="251">
        <v>7.631658359504738E-2</v>
      </c>
      <c r="L160" s="251">
        <v>7.0152088987617711E-2</v>
      </c>
      <c r="M160" s="251">
        <v>6.9002668060685834E-2</v>
      </c>
      <c r="N160" s="251">
        <v>6.912224725097646E-2</v>
      </c>
      <c r="O160" s="251">
        <v>6.9295130393284735E-2</v>
      </c>
      <c r="P160" s="251">
        <v>5.8897017108796121E-2</v>
      </c>
      <c r="Q160" s="251">
        <v>5.6111813151518801E-2</v>
      </c>
      <c r="R160" s="251">
        <v>5.5351175524950391E-2</v>
      </c>
      <c r="S160" s="251">
        <v>5.6125913319225174E-2</v>
      </c>
      <c r="T160" s="402"/>
      <c r="U160" s="402"/>
      <c r="V160" s="402"/>
      <c r="W160" s="402"/>
      <c r="X160" s="251">
        <v>3.9399999999999998E-2</v>
      </c>
      <c r="Y160" s="251">
        <v>3.8397617846329342E-2</v>
      </c>
      <c r="Z160" s="251">
        <v>3.7987883612481413E-2</v>
      </c>
      <c r="AA160" s="251">
        <v>3.8534518789598189E-2</v>
      </c>
      <c r="AB160" s="251">
        <v>3.9199999999999999E-2</v>
      </c>
      <c r="AC160" s="251">
        <v>3.7659324212404401E-2</v>
      </c>
      <c r="AD160" s="251">
        <v>4.0104915550283934E-2</v>
      </c>
      <c r="AE160" s="251">
        <v>4.0538711410975439E-2</v>
      </c>
      <c r="AF160" s="251">
        <v>3.7072526401586085E-2</v>
      </c>
      <c r="AG160" s="251">
        <v>3.6900000000000002E-2</v>
      </c>
      <c r="AH160" s="251">
        <v>3.6200000000000003E-2</v>
      </c>
      <c r="AI160" s="251">
        <v>3.8176583175730756E-2</v>
      </c>
      <c r="AJ160" s="251">
        <v>3.6330349910235746E-2</v>
      </c>
      <c r="AK160" s="251">
        <v>3.6900000000000002E-2</v>
      </c>
      <c r="AL160" s="251">
        <v>3.6499999999999998E-2</v>
      </c>
      <c r="AM160" s="251">
        <v>3.5799999999999998E-2</v>
      </c>
      <c r="AN160" s="251">
        <v>3.4799999999999998E-2</v>
      </c>
      <c r="AO160" s="251">
        <v>3.4299999999999997E-2</v>
      </c>
      <c r="AP160" s="251">
        <v>3.3000000000000002E-2</v>
      </c>
      <c r="AQ160" s="251">
        <v>3.3399999999999999E-2</v>
      </c>
      <c r="AR160" s="251">
        <v>3.9199999999999999E-2</v>
      </c>
      <c r="AS160" s="251">
        <v>3.9300000000000002E-2</v>
      </c>
      <c r="AT160" s="251">
        <v>3.8100000000000002E-2</v>
      </c>
      <c r="AU160" s="251">
        <v>3.6600000000000001E-2</v>
      </c>
      <c r="AV160" s="251">
        <v>3.39E-2</v>
      </c>
      <c r="AW160" s="251">
        <v>3.3700000000000001E-2</v>
      </c>
      <c r="AX160" s="251">
        <v>3.4099999999999998E-2</v>
      </c>
      <c r="AY160" s="251">
        <v>3.4599999999999999E-2</v>
      </c>
      <c r="AZ160" s="251">
        <v>4.2999999999999997E-2</v>
      </c>
      <c r="BA160" s="251">
        <v>4.2700000000000002E-2</v>
      </c>
      <c r="BB160" s="251">
        <v>4.2799999999999998E-2</v>
      </c>
      <c r="BC160" s="251">
        <v>4.1000000000000002E-2</v>
      </c>
      <c r="BD160" s="251">
        <v>3.7400000000000003E-2</v>
      </c>
      <c r="BE160" s="251">
        <v>3.6400000000000002E-2</v>
      </c>
      <c r="BF160" s="251">
        <v>3.6400000000000002E-2</v>
      </c>
      <c r="BG160" s="251">
        <v>3.5900000000000001E-2</v>
      </c>
      <c r="BH160" s="251">
        <v>3.85E-2</v>
      </c>
      <c r="BI160" s="251">
        <v>3.9100000000000003E-2</v>
      </c>
      <c r="BJ160" s="251">
        <v>3.8399999999999997E-2</v>
      </c>
      <c r="BK160" s="251">
        <v>3.6499999999999998E-2</v>
      </c>
      <c r="BL160" s="251">
        <v>4.7800000000000002E-2</v>
      </c>
      <c r="BM160" s="251">
        <v>0.05</v>
      </c>
      <c r="BN160" s="251">
        <v>5.0700000000000002E-2</v>
      </c>
      <c r="BO160" s="251">
        <v>0.05</v>
      </c>
      <c r="BP160" s="251">
        <v>4.9399999999999999E-2</v>
      </c>
      <c r="BQ160" s="251">
        <v>5.21E-2</v>
      </c>
      <c r="BR160" s="251">
        <v>5.5399999999999998E-2</v>
      </c>
      <c r="BS160" s="251">
        <v>5.57E-2</v>
      </c>
      <c r="BT160" s="305"/>
    </row>
    <row r="161" spans="1:72" s="301" customFormat="1" x14ac:dyDescent="0.25">
      <c r="A161" s="289">
        <v>161</v>
      </c>
      <c r="B161" s="364" t="s">
        <v>13</v>
      </c>
      <c r="C161" s="365"/>
      <c r="D161" s="291"/>
      <c r="E161" s="286">
        <f ca="1">OFFSET($E$7,$A161-$A$7,1,1,1)-OFFSET($E$7,$A161-$A$7,5,1,1)</f>
        <v>0.10067090666139109</v>
      </c>
      <c r="F161" s="251">
        <f t="shared" ref="F161" si="307">-F136/(F135)</f>
        <v>0.34321454166395204</v>
      </c>
      <c r="G161" s="251">
        <f t="shared" ref="G161" si="308">-G136/(G135)</f>
        <v>0.307716117621048</v>
      </c>
      <c r="H161" s="251">
        <f t="shared" ref="H161" si="309">-H136/(H135)</f>
        <v>0.30673998587428108</v>
      </c>
      <c r="I161" s="251">
        <f t="shared" ref="I161" si="310">-I136/(I135)</f>
        <v>0.26035479263718514</v>
      </c>
      <c r="J161" s="251">
        <f t="shared" ref="J161" si="311">-J136/(J135)</f>
        <v>0.24254363500256096</v>
      </c>
      <c r="K161" s="251">
        <f t="shared" ref="K161" si="312">-K136/(K135)</f>
        <v>0.22512408414086504</v>
      </c>
      <c r="L161" s="251">
        <f t="shared" ref="L161:AN161" si="313">-L136/(L135)</f>
        <v>0.27485454487648237</v>
      </c>
      <c r="M161" s="251">
        <f t="shared" si="313"/>
        <v>0.26383128398282357</v>
      </c>
      <c r="N161" s="251">
        <f t="shared" si="313"/>
        <v>0.25669612813495446</v>
      </c>
      <c r="O161" s="251">
        <f t="shared" si="313"/>
        <v>0.26776911356099309</v>
      </c>
      <c r="P161" s="251">
        <f t="shared" si="313"/>
        <v>0.31660097069155069</v>
      </c>
      <c r="Q161" s="251">
        <f t="shared" si="313"/>
        <v>0.33839917070823</v>
      </c>
      <c r="R161" s="251">
        <f t="shared" si="313"/>
        <v>0.3266699437435141</v>
      </c>
      <c r="S161" s="251">
        <f t="shared" si="313"/>
        <v>0.2891323147881234</v>
      </c>
      <c r="T161" s="402"/>
      <c r="U161" s="402"/>
      <c r="V161" s="402"/>
      <c r="W161" s="402"/>
      <c r="X161" s="251">
        <f t="shared" si="313"/>
        <v>0.37740183707954195</v>
      </c>
      <c r="Y161" s="251">
        <f t="shared" si="313"/>
        <v>0.37392391308462863</v>
      </c>
      <c r="Z161" s="251">
        <f t="shared" si="313"/>
        <v>0.38854686010915418</v>
      </c>
      <c r="AA161" s="251">
        <f t="shared" si="313"/>
        <v>0.45567702132265397</v>
      </c>
      <c r="AB161" s="251">
        <f t="shared" si="313"/>
        <v>0.41022390072835174</v>
      </c>
      <c r="AC161" s="251">
        <f t="shared" si="313"/>
        <v>0.422639110235903</v>
      </c>
      <c r="AD161" s="251">
        <f t="shared" si="313"/>
        <v>0.45483316789920519</v>
      </c>
      <c r="AE161" s="251">
        <f t="shared" si="313"/>
        <v>0.50242630291773838</v>
      </c>
      <c r="AF161" s="251">
        <f t="shared" si="313"/>
        <v>0.44215866024678135</v>
      </c>
      <c r="AG161" s="251">
        <f t="shared" si="313"/>
        <v>0.44746623147791337</v>
      </c>
      <c r="AH161" s="251">
        <f t="shared" si="313"/>
        <v>0.45188272533729745</v>
      </c>
      <c r="AI161" s="251">
        <f t="shared" si="313"/>
        <v>0.47975213092272506</v>
      </c>
      <c r="AJ161" s="251">
        <f t="shared" si="313"/>
        <v>0.39782714087437587</v>
      </c>
      <c r="AK161" s="251">
        <f t="shared" si="313"/>
        <v>0.42198846970071235</v>
      </c>
      <c r="AL161" s="251">
        <f t="shared" si="313"/>
        <v>0.43149360020049421</v>
      </c>
      <c r="AM161" s="251">
        <f t="shared" si="313"/>
        <v>0.41014424300786728</v>
      </c>
      <c r="AN161" s="251">
        <f t="shared" si="313"/>
        <v>0.38526910045198154</v>
      </c>
      <c r="AO161" s="251">
        <f t="shared" ref="AO161:BS161" si="314">-AO136/(AO40-AO14-AO22-AO23-AO24-AO27-AO28-AO30-AO31-AO32-AO33-AO34-AO35-AO36)</f>
        <v>0.38169784053666467</v>
      </c>
      <c r="AP161" s="251">
        <f t="shared" si="314"/>
        <v>0.38009654732850312</v>
      </c>
      <c r="AQ161" s="251">
        <f t="shared" si="314"/>
        <v>0.37791856444394856</v>
      </c>
      <c r="AR161" s="251">
        <f t="shared" si="314"/>
        <v>0.3944274268643298</v>
      </c>
      <c r="AS161" s="251">
        <f t="shared" si="314"/>
        <v>0.37723243128058193</v>
      </c>
      <c r="AT161" s="251">
        <f t="shared" si="314"/>
        <v>0.37635677158993602</v>
      </c>
      <c r="AU161" s="251">
        <f t="shared" si="314"/>
        <v>0.36666651277031892</v>
      </c>
      <c r="AV161" s="251">
        <f t="shared" si="314"/>
        <v>0.37337404433991356</v>
      </c>
      <c r="AW161" s="251">
        <f t="shared" si="314"/>
        <v>0.36283287882566051</v>
      </c>
      <c r="AX161" s="251">
        <f t="shared" si="314"/>
        <v>0.38012117740766255</v>
      </c>
      <c r="AY161" s="251">
        <f t="shared" si="314"/>
        <v>0.3937246640847854</v>
      </c>
      <c r="AZ161" s="251">
        <f t="shared" si="314"/>
        <v>0.40608940696875728</v>
      </c>
      <c r="BA161" s="251">
        <f t="shared" si="314"/>
        <v>0.40370452167154602</v>
      </c>
      <c r="BB161" s="251">
        <f t="shared" si="314"/>
        <v>0.39775118438544155</v>
      </c>
      <c r="BC161" s="251">
        <f t="shared" si="314"/>
        <v>0.37653602786360518</v>
      </c>
      <c r="BD161" s="251">
        <f t="shared" si="314"/>
        <v>0.36113133797544428</v>
      </c>
      <c r="BE161" s="251">
        <f t="shared" si="314"/>
        <v>0.39280821179737746</v>
      </c>
      <c r="BF161" s="251">
        <f t="shared" si="314"/>
        <v>0.40529679900302829</v>
      </c>
      <c r="BG161" s="251">
        <f t="shared" si="314"/>
        <v>0.38417749703658105</v>
      </c>
      <c r="BH161" s="251">
        <f t="shared" si="314"/>
        <v>0.46360508187495264</v>
      </c>
      <c r="BI161" s="251">
        <f t="shared" si="314"/>
        <v>0.4513575122654831</v>
      </c>
      <c r="BJ161" s="251">
        <f t="shared" si="314"/>
        <v>0.46867465674720038</v>
      </c>
      <c r="BK161" s="251">
        <f t="shared" si="314"/>
        <v>0.45235097959479298</v>
      </c>
      <c r="BL161" s="251">
        <f t="shared" si="314"/>
        <v>0.34981206313296265</v>
      </c>
      <c r="BM161" s="251">
        <f t="shared" si="314"/>
        <v>0.31461873602745577</v>
      </c>
      <c r="BN161" s="251">
        <f t="shared" si="314"/>
        <v>0.27677755286010025</v>
      </c>
      <c r="BO161" s="251">
        <f t="shared" si="314"/>
        <v>0.26211023689947943</v>
      </c>
      <c r="BP161" s="251">
        <f t="shared" si="314"/>
        <v>0.28807890855507873</v>
      </c>
      <c r="BQ161" s="251">
        <f t="shared" si="314"/>
        <v>0.26924417936354683</v>
      </c>
      <c r="BR161" s="251">
        <f t="shared" si="314"/>
        <v>0.22776692591844877</v>
      </c>
      <c r="BS161" s="251">
        <f t="shared" si="314"/>
        <v>0.18748033913870638</v>
      </c>
      <c r="BT161" s="305"/>
    </row>
    <row r="162" spans="1:72" s="301" customFormat="1" x14ac:dyDescent="0.25">
      <c r="A162" s="289">
        <v>162</v>
      </c>
      <c r="B162" s="364" t="s">
        <v>190</v>
      </c>
      <c r="C162" s="365"/>
      <c r="D162" s="291"/>
      <c r="E162" s="286">
        <f ca="1">OFFSET($E$7,$A162-$A$7,1,1,1)-OFFSET($E$7,$A162-$A$7,5,1,1)</f>
        <v>-1.6555244032025726E-2</v>
      </c>
      <c r="F162" s="251">
        <f>F139/(('Assets and Liabili-s structure'!F29+'Assets and Liabili-s structure'!H29)/2)/((IF(LEFT(F157,2)="1Q",DATE(RIGHT(F157,4),3,31),IF(LEFT(F157,2)="1H",DATE(RIGHT(F157,4),6,30),IF(LEFT(F157,2)="9M",DATE(RIGHT(F157,4),9,30),DATE(RIGHT(F157,4),12,31))))-DATE(RIGHT(F157,4)-1,12,31))/(DATE(RIGHT(F157,4),12,31)-DATE(RIGHT(F157,4)-1,12,31)))</f>
        <v>2.5043984681978299E-2</v>
      </c>
      <c r="G162" s="251">
        <f>G139/(('Assets and Liabili-s structure'!G29+'Assets and Liabili-s structure'!H29)/2)/((IF(LEFT(G157,2)="1Q",DATE(RIGHT(G157,4),3,31),IF(LEFT(G157,2)="1H",DATE(RIGHT(G157,4),6,30),IF(LEFT(G157,2)="9M",DATE(RIGHT(G157,4),9,30),DATE(RIGHT(G157,4),12,31))))-DATE(RIGHT(G157,4)-1,12,31))/(DATE(RIGHT(G157,4),12,31)-DATE(RIGHT(G157,4)-1,12,31)))</f>
        <v>3.2794773411994028E-2</v>
      </c>
      <c r="H162" s="251">
        <f>H139/(('Assets and Liabili-s structure'!H29+'Assets and Liabili-s structure'!L29)/2)/((IF(LEFT(H157,2)="1Q",DATE(RIGHT(H157,4),3,31),IF(LEFT(H157,2)="1H",DATE(RIGHT(H157,4),6,30),IF(LEFT(H157,2)="9M",DATE(RIGHT(H157,4),9,30),DATE(RIGHT(H157,4),12,31))))-DATE(RIGHT(H157,4)-1,12,31))/(DATE(RIGHT(H157,4),12,31)-DATE(RIGHT(H157,4)-1,12,31)))</f>
        <v>3.0981613799330465E-2</v>
      </c>
      <c r="I162" s="251">
        <f>I139/(('Assets and Liabili-s structure'!I29+'Assets and Liabili-s structure'!L29)/2)/((IF(LEFT(I157,2)="1Q",DATE(RIGHT(I157,4),3,31),IF(LEFT(I157,2)="1H",DATE(RIGHT(I157,4),6,30),IF(LEFT(I157,2)="9M",DATE(RIGHT(I157,4),9,30),DATE(RIGHT(I157,4),12,31))))-DATE(RIGHT(I157,4)-1,12,31))/(DATE(RIGHT(I157,4),12,31)-DATE(RIGHT(I157,4)-1,12,31)))</f>
        <v>3.5873101316850523E-2</v>
      </c>
      <c r="J162" s="251">
        <f>J139/(('Assets and Liabili-s structure'!J29+'Assets and Liabili-s structure'!L29)/2)/((IF(LEFT(J157,2)="1Q",DATE(RIGHT(J157,4),3,31),IF(LEFT(J157,2)="1H",DATE(RIGHT(J157,4),6,30),IF(LEFT(J157,2)="9M",DATE(RIGHT(J157,4),9,30),DATE(RIGHT(J157,4),12,31))))-DATE(RIGHT(J157,4)-1,12,31))/(DATE(RIGHT(J157,4),12,31)-DATE(RIGHT(J157,4)-1,12,31)))</f>
        <v>4.1599228714004025E-2</v>
      </c>
      <c r="K162" s="251">
        <f>K139/(('Assets and Liabili-s structure'!K29+'Assets and Liabili-s structure'!L29)/2)/((IF(LEFT(K157,2)="1Q",DATE(RIGHT(K157,4),3,31),IF(LEFT(K157,2)="1H",DATE(RIGHT(K157,4),6,30),IF(LEFT(K157,2)="9M",DATE(RIGHT(K157,4),9,30),DATE(RIGHT(K157,4),12,31))))-DATE(RIGHT(K157,4)-1,12,31))/(DATE(RIGHT(K157,4),12,31)-DATE(RIGHT(K157,4)-1,12,31)))</f>
        <v>5.5219213952525367E-2</v>
      </c>
      <c r="L162" s="251">
        <f>L139/(('Assets and Liabili-s structure'!L29+'Assets and Liabili-s structure'!P29)/2)/((IF(LEFT(L157,2)="1Q",DATE(RIGHT(L157,4),3,31),IF(LEFT(L157,2)="1H",DATE(RIGHT(L157,4),6,30),IF(LEFT(L157,2)="9M",DATE(RIGHT(L157,4),9,30),DATE(RIGHT(L157,4),12,31))))-DATE(RIGHT(L157,4)-1,12,31))/(DATE(RIGHT(L157,4),12,31)-DATE(RIGHT(L157,4)-1,12,31)))</f>
        <v>4.6273489179098695E-2</v>
      </c>
      <c r="M162" s="251">
        <f>M139/(('Assets and Liabili-s structure'!M29+'Assets and Liabili-s structure'!P29)/2)/((IF(LEFT(M157,2)="1Q",DATE(RIGHT(M157,4),3,31),IF(LEFT(M157,2)="1H",DATE(RIGHT(M157,4),6,30),IF(LEFT(M157,2)="9M",DATE(RIGHT(M157,4),9,30),DATE(RIGHT(M157,4),12,31))))-DATE(RIGHT(M157,4)-1,12,31))/(DATE(RIGHT(M157,4),12,31)-DATE(RIGHT(M157,4)-1,12,31)))</f>
        <v>4.7907257459549206E-2</v>
      </c>
      <c r="N162" s="251">
        <f>N139/(('Assets and Liabili-s structure'!N29+'Assets and Liabili-s structure'!P29)/2)/((IF(LEFT(N157,2)="1Q",DATE(RIGHT(N157,4),3,31),IF(LEFT(N157,2)="1H",DATE(RIGHT(N157,4),6,30),IF(LEFT(N157,2)="9M",DATE(RIGHT(N157,4),9,30),DATE(RIGHT(N157,4),12,31))))-DATE(RIGHT(N157,4)-1,12,31))/(DATE(RIGHT(N157,4),12,31)-DATE(RIGHT(N157,4)-1,12,31)))</f>
        <v>4.5852506015293719E-2</v>
      </c>
      <c r="O162" s="251">
        <f>O139/(('Assets and Liabili-s structure'!O29+'Assets and Liabili-s structure'!P29)/2)/((IF(LEFT(O157,2)="1Q",DATE(RIGHT(O157,4),3,31),IF(LEFT(O157,2)="1H",DATE(RIGHT(O157,4),6,30),IF(LEFT(O157,2)="9M",DATE(RIGHT(O157,4),9,30),DATE(RIGHT(O157,4),12,31))))-DATE(RIGHT(O157,4)-1,12,31))/(DATE(RIGHT(O157,4),12,31)-DATE(RIGHT(O157,4)-1,12,31)))</f>
        <v>5.0599473238047421E-2</v>
      </c>
      <c r="P162" s="251">
        <f>P139/(('Assets and Liabili-s structure'!P29+'Assets and Liabili-s structure'!T29)/2)/((IF(LEFT(P157,2)="1Q",DATE(RIGHT(P157,4),3,31),IF(LEFT(P157,2)="1H",DATE(RIGHT(P157,4),6,30),IF(LEFT(P157,2)="9M",DATE(RIGHT(P157,4),9,30),DATE(RIGHT(P157,4),12,31))))-DATE(RIGHT(P157,4)-1,12,31))/(DATE(RIGHT(P157,4),12,31)-DATE(RIGHT(P157,4)-1,12,31)))</f>
        <v>4.9893732623794505E-2</v>
      </c>
      <c r="Q162" s="251">
        <f>Q139/(('Assets and Liabili-s structure'!Q29+'Assets and Liabili-s structure'!T29)/2)/((IF(LEFT(Q157,2)="1Q",DATE(RIGHT(Q157,4),3,31),IF(LEFT(Q157,2)="1H",DATE(RIGHT(Q157,4),6,30),IF(LEFT(Q157,2)="9M",DATE(RIGHT(Q157,4),9,30),DATE(RIGHT(Q157,4),12,31))))-DATE(RIGHT(Q157,4)-1,12,31))/(DATE(RIGHT(Q157,4),12,31)-DATE(RIGHT(Q157,4)-1,12,31)))</f>
        <v>5.4625992110413066E-2</v>
      </c>
      <c r="R162" s="251">
        <f>R139/(('Assets and Liabili-s structure'!R29+'Assets and Liabili-s structure'!T29)/2)/((IF(LEFT(R157,2)="1Q",DATE(RIGHT(R157,4),3,31),IF(LEFT(R157,2)="1H",DATE(RIGHT(R157,4),6,30),IF(LEFT(R157,2)="9M",DATE(RIGHT(R157,4),9,30),DATE(RIGHT(R157,4),12,31))))-DATE(RIGHT(R157,4)-1,12,31))/(DATE(RIGHT(R157,4),12,31)-DATE(RIGHT(R157,4)-1,12,31)))</f>
        <v>6.7246149339552183E-2</v>
      </c>
      <c r="S162" s="251">
        <f>S139/(('Assets and Liabili-s structure'!S29+'Assets and Liabili-s structure'!T29)/2)/((IF(LEFT(S157,2)="1Q",DATE(RIGHT(S157,4),3,31),IF(LEFT(S157,2)="1H",DATE(RIGHT(S157,4),6,30),IF(LEFT(S157,2)="9M",DATE(RIGHT(S157,4),9,30),DATE(RIGHT(S157,4),12,31))))-DATE(RIGHT(S157,4)-1,12,31))/(DATE(RIGHT(S157,4),12,31)-DATE(RIGHT(S157,4)-1,12,31)))</f>
        <v>7.0759323576896849E-2</v>
      </c>
      <c r="T162" s="402"/>
      <c r="U162" s="402"/>
      <c r="V162" s="402"/>
      <c r="W162" s="402"/>
      <c r="X162" s="251">
        <f>X139/(('Assets and Liabili-s structure'!X29+'Assets and Liabili-s structure'!AB29)/2)/((IF(LEFT(X157,2)="1Q",DATE(RIGHT(X157,4),3,31),IF(LEFT(X157,2)="1H",DATE(RIGHT(X157,4),6,30),IF(LEFT(X157,2)="9M",DATE(RIGHT(X157,4),9,30),DATE(RIGHT(X157,4),12,31))))-DATE(RIGHT(X157,4)-1,12,31))/(DATE(RIGHT(X157,4),12,31)-DATE(RIGHT(X157,4)-1,12,31)))</f>
        <v>2.3687699111334674E-2</v>
      </c>
      <c r="Y162" s="251">
        <f>Y139/(('Assets and Liabili-s structure'!Y29+'Assets and Liabili-s structure'!AB29)/2)/((IF(LEFT(Y157,2)="1Q",DATE(RIGHT(Y157,4),3,31),IF(LEFT(Y157,2)="1H",DATE(RIGHT(Y157,4),6,30),IF(LEFT(Y157,2)="9M",DATE(RIGHT(Y157,4),9,30),DATE(RIGHT(Y157,4),12,31))))-DATE(RIGHT(Y157,4)-1,12,31))/(DATE(RIGHT(Y157,4),12,31)-DATE(RIGHT(Y157,4)-1,12,31)))</f>
        <v>2.0317984964178946E-2</v>
      </c>
      <c r="Z162" s="251">
        <f>Z139/(('Assets and Liabili-s structure'!Z29+'Assets and Liabili-s structure'!AB29)/2)/((IF(LEFT(Z157,2)="1Q",DATE(RIGHT(Z157,4),3,31),IF(LEFT(Z157,2)="1H",DATE(RIGHT(Z157,4),6,30),IF(LEFT(Z157,2)="9M",DATE(RIGHT(Z157,4),9,30),DATE(RIGHT(Z157,4),12,31))))-DATE(RIGHT(Z157,4)-1,12,31))/(DATE(RIGHT(Z157,4),12,31)-DATE(RIGHT(Z157,4)-1,12,31)))</f>
        <v>1.9970843501399289E-2</v>
      </c>
      <c r="AA162" s="251">
        <f>AA139/(('Assets and Liabili-s structure'!AA29+'Assets and Liabili-s structure'!AB29)/2)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1.3283230873773111E-2</v>
      </c>
      <c r="AB162" s="251">
        <f>AB139/(('Assets and Liabili-s structure'!AB29+'Assets and Liabili-s structure'!AF29)/2)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1.5424414156065163E-2</v>
      </c>
      <c r="AC162" s="251">
        <f>AC139/(('Assets and Liabili-s structure'!AC29+'Assets and Liabili-s structure'!AF29)/2)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1.2163018249778607E-2</v>
      </c>
      <c r="AD162" s="251">
        <f>AD139/(('Assets and Liabili-s structure'!AD29+'Assets and Liabili-s structure'!AF29)/2)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1.0759913037874871E-2</v>
      </c>
      <c r="AE162" s="251">
        <f>AE139/(('Assets and Liabili-s structure'!AE29+'Assets and Liabili-s structure'!AF29)/2)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9.4753657391389978E-3</v>
      </c>
      <c r="AF162" s="251">
        <f>AF139/(('Assets and Liabili-s structure'!AF29+'Assets and Liabili-s structure'!AJ29)/2)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1.1738039443990895E-2</v>
      </c>
      <c r="AG162" s="251">
        <f>AG139/(('Assets and Liabili-s structure'!AG29+'Assets and Liabili-s structure'!AJ29)/2)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1.1067470204105404E-2</v>
      </c>
      <c r="AH162" s="251">
        <f>AH139/(('Assets and Liabili-s structure'!AH29+'Assets and Liabili-s structure'!AJ29)/2)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1.0520139963968734E-2</v>
      </c>
      <c r="AI162" s="251">
        <f>AI139/(('Assets and Liabili-s structure'!AI29+'Assets and Liabili-s structure'!AJ29)/2)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7.8502075087644538E-3</v>
      </c>
      <c r="AJ162" s="251">
        <f>AJ139/(('Assets and Liabili-s structure'!AJ29+'Assets and Liabili-s structure'!AN29)/2)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1.4132922671833187E-2</v>
      </c>
      <c r="AK162" s="251">
        <f>AK139/(('Assets and Liabili-s structure'!AK29+'Assets and Liabili-s structure'!AN29)/2)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1.4186257794545604E-2</v>
      </c>
      <c r="AL162" s="251">
        <f>AL139/(('Assets and Liabili-s structure'!AL29+'Assets and Liabili-s structure'!AN29)/2)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1.4644695766052939E-2</v>
      </c>
      <c r="AM162" s="251">
        <f>AM139/(('Assets and Liabili-s structure'!AM29+'Assets and Liabili-s structure'!AN29)/2)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1.2386195580978834E-2</v>
      </c>
      <c r="AN162" s="251">
        <f>AN139/(('Assets and Liabili-s structure'!AN29+'Assets and Liabili-s structure'!AR29)/2)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1.2620268067568049E-2</v>
      </c>
      <c r="AO162" s="251">
        <f>AO139/(('Assets and Liabili-s structure'!AO29+'Assets and Liabili-s structure'!AR29)/2)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1.3304634052472656E-2</v>
      </c>
      <c r="AP162" s="251">
        <f>AP139/(('Assets and Liabili-s structure'!AP29+'Assets and Liabili-s structure'!AR29)/2)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1.176069234352887E-2</v>
      </c>
      <c r="AQ162" s="251">
        <f>AQ139/(('Assets and Liabili-s structure'!AQ29+'Assets and Liabili-s structure'!AR29)/2)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1.0570077458800488E-2</v>
      </c>
      <c r="AR162" s="251">
        <f>AR139/(('Assets and Liabili-s structure'!AR29+'Assets and Liabili-s structure'!AV29)/2)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7.4863970778527907E-3</v>
      </c>
      <c r="AS162" s="251">
        <f>AS139/(('Assets and Liabili-s structure'!AS29+'Assets and Liabili-s structure'!AV29)/2)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7.2991708271228917E-3</v>
      </c>
      <c r="AT162" s="251">
        <f>AT139/(('Assets and Liabili-s structure'!AT29+'Assets and Liabili-s structure'!AV29)/2)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7.0592070969761889E-3</v>
      </c>
      <c r="AU162" s="251">
        <f>AU139/(('Assets and Liabili-s structure'!AU29+'Assets and Liabili-s structure'!AV29)/2)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8.3691403888480845E-3</v>
      </c>
      <c r="AV162" s="251">
        <f>AV139/(('Assets and Liabili-s structure'!AV29+'Assets and Liabili-s structure'!AZ29)/2)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6.6753972789909445E-3</v>
      </c>
      <c r="AW162" s="251">
        <f>AW139/(('Assets and Liabili-s structure'!AW29+'Assets and Liabili-s structure'!AZ29)/2)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6.8497105537993867E-3</v>
      </c>
      <c r="AX162" s="251">
        <f>AX139/(('Assets and Liabili-s structure'!AX29+'Assets and Liabili-s structure'!AZ29)/2)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6.068465211520711E-3</v>
      </c>
      <c r="AY162" s="251">
        <f>AY139/(('Assets and Liabili-s structure'!AY29+'Assets and Liabili-s structure'!AZ29)/2)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4.4252434532044043E-3</v>
      </c>
      <c r="AZ162" s="251">
        <f>AZ139/(('Assets and Liabili-s structure'!AZ29+'Assets and Liabili-s structure'!BD29)/2)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1.0301951155165957E-2</v>
      </c>
      <c r="BA162" s="251">
        <f>BA139/(('Assets and Liabili-s structure'!BA29+'Assets and Liabili-s structure'!BD29)/2)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1.2796193009664126E-2</v>
      </c>
      <c r="BB162" s="251">
        <f>BB139/(('Assets and Liabili-s structure'!BB29+'Assets and Liabili-s structure'!BD29)/2)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1.3867102341102295E-2</v>
      </c>
      <c r="BC162" s="251">
        <f>BC139/(('Assets and Liabili-s structure'!BC29+'Assets and Liabili-s structure'!BD29)/2)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1.6212634857267792E-2</v>
      </c>
      <c r="BD162" s="251">
        <f>BD139/(('Assets and Liabili-s structure'!BD29+'Assets and Liabili-s structure'!BH29)/2)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1.7600851070640199E-2</v>
      </c>
      <c r="BE162" s="251">
        <f>BE139/(('Assets and Liabili-s structure'!BE29+'Assets and Liabili-s structure'!BH29)/2)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1.281112516297969E-2</v>
      </c>
      <c r="BF162" s="251">
        <f>BF139/(('Assets and Liabili-s structure'!BF29+'Assets and Liabili-s structure'!BH29)/2)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1.11340183059644E-2</v>
      </c>
      <c r="BG162" s="251">
        <f>BG139/(('Assets and Liabili-s structure'!BG29+'Assets and Liabili-s structure'!BH29)/2)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1.2509510839569976E-2</v>
      </c>
      <c r="BH162" s="251">
        <f>BH139/(('Assets and Liabili-s structure'!BH29+'Assets and Liabili-s structure'!BL29)/2)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3.8259483155533135E-3</v>
      </c>
      <c r="BI162" s="251">
        <f>BI139/(('Assets and Liabili-s structure'!BI29+'Assets and Liabili-s structure'!BL29)/2)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3.8395844632074217E-3</v>
      </c>
      <c r="BJ162" s="251">
        <f>BJ139/(('Assets and Liabili-s structure'!BJ29+'Assets and Liabili-s structure'!BL29)/2)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1.4234991722859955E-3</v>
      </c>
      <c r="BK162" s="251">
        <f>BK139/(('Assets and Liabili-s structure'!BK29+'Assets and Liabili-s structure'!BL29)/2)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1.4785261230835353E-3</v>
      </c>
      <c r="BL162" s="251">
        <f>BL139/(('Assets and Liabili-s structure'!BL29+'Assets and Liabili-s structure'!BP29)/2)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1.9532261165725262E-2</v>
      </c>
      <c r="BM162" s="251">
        <f>BM139/(('Assets and Liabili-s structure'!BM29+'Assets and Liabili-s structure'!BP29)/2)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2.4575301605172635E-2</v>
      </c>
      <c r="BN162" s="251">
        <f>BN139/(('Assets and Liabili-s structure'!BN29+'Assets and Liabili-s structure'!BP29)/2)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3.2109072023143746E-2</v>
      </c>
      <c r="BO162" s="251">
        <f>BO139/(('Assets and Liabili-s structure'!BO29+'Assets and Liabili-s structure'!BP29)/2)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3.0547826201331594E-2</v>
      </c>
      <c r="BP162" s="251">
        <f>BP139/(('Assets and Liabili-s structure'!BP29+'Assets and Liabili-s structure'!BT29)/2)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1.6192924979538042E-2</v>
      </c>
      <c r="BQ162" s="251">
        <f>BQ139/(('Assets and Liabili-s structure'!BQ29+'Assets and Liabili-s structure'!BT29)/2)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1.2732250408904751E-2</v>
      </c>
      <c r="BR162" s="251">
        <f>BR139/(('Assets and Liabili-s structure'!BR29+'Assets and Liabili-s structure'!BT29)/2)/((IF(LEFT(BR157,2)="1Q",DATE(RIGHT(BR157,4),3,31),IF(LEFT(BR157,2)="1H",DATE(RIGHT(BR157,4),6,30),IF(LEFT(BR157,2)="9M",DATE(RIGHT(BR157,4),9,30),DATE(RIGHT(BR157,4),12,31))))-DATE(RIGHT(BR157,4)-1,12,31))/(DATE(RIGHT(BR157,4),12,31)-DATE(RIGHT(BR157,4)-1,12,31)))</f>
        <v>9.5687806454200323E-3</v>
      </c>
      <c r="BS162" s="251">
        <f>BS139/(('Assets and Liabili-s structure'!BS29+'Assets and Liabili-s structure'!BT29)/2)/((IF(LEFT(BS157,2)="1Q",DATE(RIGHT(BS157,4),3,31),IF(LEFT(BS157,2)="1H",DATE(RIGHT(BS157,4),6,30),IF(LEFT(BS157,2)="9M",DATE(RIGHT(BS157,4),9,30),DATE(RIGHT(BS157,4),12,31))))-DATE(RIGHT(BS157,4)-1,12,31))/(DATE(RIGHT(BS157,4),12,31)-DATE(RIGHT(BS157,4)-1,12,31)))</f>
        <v>6.0680186531512671E-3</v>
      </c>
      <c r="BT162" s="305"/>
    </row>
    <row r="163" spans="1:72" s="301" customFormat="1" x14ac:dyDescent="0.25">
      <c r="A163" s="289">
        <v>163</v>
      </c>
      <c r="B163" s="364" t="s">
        <v>14</v>
      </c>
      <c r="C163" s="365"/>
      <c r="D163" s="291"/>
      <c r="E163" s="286">
        <f ca="1">OFFSET($E$7,$A163-$A$7,1,1,1)-OFFSET($E$7,$A163-$A$7,5,1,1)</f>
        <v>-8.7151884329414175E-2</v>
      </c>
      <c r="F163" s="251">
        <f>F139/(('Assets and Liabili-s structure'!F58+'Assets and Liabili-s structure'!H58)/2)/((IF(LEFT(F157,2)="1Q",DATE(RIGHT(F157,4),3,31),IF(LEFT(F157,2)="1H",DATE(RIGHT(F157,4),6,30),IF(LEFT(F157,2)="9M",DATE(RIGHT(F157,4),9,30),DATE(RIGHT(F157,4),12,31))))-DATE(RIGHT(F157,4)-1,12,31))/(DATE(RIGHT(F157,4),12,31)-DATE(RIGHT(F157,4)-1,12,31)))</f>
        <v>0.15282183958286977</v>
      </c>
      <c r="G163" s="251">
        <f>G139/(('Assets and Liabili-s structure'!G58+'Assets and Liabili-s structure'!H58)/2)/((IF(LEFT(G157,2)="1Q",DATE(RIGHT(G157,4),3,31),IF(LEFT(G157,2)="1H",DATE(RIGHT(G157,4),6,30),IF(LEFT(G157,2)="9M",DATE(RIGHT(G157,4),9,30),DATE(RIGHT(G157,4),12,31))))-DATE(RIGHT(G157,4)-1,12,31))/(DATE(RIGHT(G157,4),12,31)-DATE(RIGHT(G157,4)-1,12,31)))</f>
        <v>0.19875493029868146</v>
      </c>
      <c r="H163" s="251">
        <f>H139/(('Assets and Liabili-s structure'!H58+'Assets and Liabili-s structure'!L58)/2)/((IF(LEFT(H157,2)="1Q",DATE(RIGHT(H157,4),3,31),IF(LEFT(H157,2)="1H",DATE(RIGHT(H157,4),6,30),IF(LEFT(H157,2)="9M",DATE(RIGHT(H157,4),9,30),DATE(RIGHT(H157,4),12,31))))-DATE(RIGHT(H157,4)-1,12,31))/(DATE(RIGHT(H157,4),12,31)-DATE(RIGHT(H157,4)-1,12,31)))</f>
        <v>0.18070784840346166</v>
      </c>
      <c r="I163" s="251">
        <f>I139/(('Assets and Liabili-s structure'!I58+'Assets and Liabili-s structure'!L58)/2)/((IF(LEFT(I157,2)="1Q",DATE(RIGHT(I157,4),3,31),IF(LEFT(I157,2)="1H",DATE(RIGHT(I157,4),6,30),IF(LEFT(I157,2)="9M",DATE(RIGHT(I157,4),9,30),DATE(RIGHT(I157,4),12,31))))-DATE(RIGHT(I157,4)-1,12,31))/(DATE(RIGHT(I157,4),12,31)-DATE(RIGHT(I157,4)-1,12,31)))</f>
        <v>0.21120082351952707</v>
      </c>
      <c r="J163" s="251">
        <f>J139/(('Assets and Liabili-s structure'!J58+'Assets and Liabili-s structure'!L58)/2)/((IF(LEFT(J157,2)="1Q",DATE(RIGHT(J157,4),3,31),IF(LEFT(J157,2)="1H",DATE(RIGHT(J157,4),6,30),IF(LEFT(J157,2)="9M",DATE(RIGHT(J157,4),9,30),DATE(RIGHT(J157,4),12,31))))-DATE(RIGHT(J157,4)-1,12,31))/(DATE(RIGHT(J157,4),12,31)-DATE(RIGHT(J157,4)-1,12,31)))</f>
        <v>0.23997372391228394</v>
      </c>
      <c r="K163" s="251">
        <f>K139/(('Assets and Liabili-s structure'!K58+'Assets and Liabili-s structure'!L58)/2)/((IF(LEFT(K157,2)="1Q",DATE(RIGHT(K157,4),3,31),IF(LEFT(K157,2)="1H",DATE(RIGHT(K157,4),6,30),IF(LEFT(K157,2)="9M",DATE(RIGHT(K157,4),9,30),DATE(RIGHT(K157,4),12,31))))-DATE(RIGHT(K157,4)-1,12,31))/(DATE(RIGHT(K157,4),12,31)-DATE(RIGHT(K157,4)-1,12,31)))</f>
        <v>0.30099307684933579</v>
      </c>
      <c r="L163" s="251">
        <f>L139/(('Assets and Liabili-s structure'!L58+'Assets and Liabili-s structure'!P58)/2)/((IF(LEFT(L157,2)="1Q",DATE(RIGHT(L157,4),3,31),IF(LEFT(L157,2)="1H",DATE(RIGHT(L157,4),6,30),IF(LEFT(L157,2)="9M",DATE(RIGHT(L157,4),9,30),DATE(RIGHT(L157,4),12,31))))-DATE(RIGHT(L157,4)-1,12,31))/(DATE(RIGHT(L157,4),12,31)-DATE(RIGHT(L157,4)-1,12,31)))</f>
        <v>0.27057817374785859</v>
      </c>
      <c r="M163" s="251">
        <f>M139/(('Assets and Liabili-s structure'!M58+'Assets and Liabili-s structure'!P58)/2)/((IF(LEFT(M157,2)="1Q",DATE(RIGHT(M157,4),3,31),IF(LEFT(M157,2)="1H",DATE(RIGHT(M157,4),6,30),IF(LEFT(M157,2)="9M",DATE(RIGHT(M157,4),9,30),DATE(RIGHT(M157,4),12,31))))-DATE(RIGHT(M157,4)-1,12,31))/(DATE(RIGHT(M157,4),12,31)-DATE(RIGHT(M157,4)-1,12,31)))</f>
        <v>0.26792632736213851</v>
      </c>
      <c r="N163" s="251">
        <f>N139/(('Assets and Liabili-s structure'!N58+'Assets and Liabili-s structure'!P58)/2)/((IF(LEFT(N157,2)="1Q",DATE(RIGHT(N157,4),3,31),IF(LEFT(N157,2)="1H",DATE(RIGHT(N157,4),6,30),IF(LEFT(N157,2)="9M",DATE(RIGHT(N157,4),9,30),DATE(RIGHT(N157,4),12,31))))-DATE(RIGHT(N157,4)-1,12,31))/(DATE(RIGHT(N157,4),12,31)-DATE(RIGHT(N157,4)-1,12,31)))</f>
        <v>0.2703130256073189</v>
      </c>
      <c r="O163" s="251">
        <f>O139/(('Assets and Liabili-s structure'!O58+'Assets and Liabili-s structure'!P58)/2)/((IF(LEFT(O157,2)="1Q",DATE(RIGHT(O157,4),3,31),IF(LEFT(O157,2)="1H",DATE(RIGHT(O157,4),6,30),IF(LEFT(O157,2)="9M",DATE(RIGHT(O157,4),9,30),DATE(RIGHT(O157,4),12,31))))-DATE(RIGHT(O157,4)-1,12,31))/(DATE(RIGHT(O157,4),12,31)-DATE(RIGHT(O157,4)-1,12,31)))</f>
        <v>0.29027721013053653</v>
      </c>
      <c r="P163" s="251">
        <f>P139/(('Assets and Liabili-s structure'!P58+'Assets and Liabili-s structure'!T58)/2)/((IF(LEFT(P157,2)="1Q",DATE(RIGHT(P157,4),3,31),IF(LEFT(P157,2)="1H",DATE(RIGHT(P157,4),6,30),IF(LEFT(P157,2)="9M",DATE(RIGHT(P157,4),9,30),DATE(RIGHT(P157,4),12,31))))-DATE(RIGHT(P157,4)-1,12,31))/(DATE(RIGHT(P157,4),12,31)-DATE(RIGHT(P157,4)-1,12,31)))</f>
        <v>0.29695109705276901</v>
      </c>
      <c r="Q163" s="251">
        <f>Q139/(('Assets and Liabili-s structure'!Q58+'Assets and Liabili-s structure'!T58)/2)/((IF(LEFT(Q157,2)="1Q",DATE(RIGHT(Q157,4),3,31),IF(LEFT(Q157,2)="1H",DATE(RIGHT(Q157,4),6,30),IF(LEFT(Q157,2)="9M",DATE(RIGHT(Q157,4),9,30),DATE(RIGHT(Q157,4),12,31))))-DATE(RIGHT(Q157,4)-1,12,31))/(DATE(RIGHT(Q157,4),12,31)-DATE(RIGHT(Q157,4)-1,12,31)))</f>
        <v>0.31233661288865111</v>
      </c>
      <c r="R163" s="251">
        <f>R139/(('Assets and Liabili-s structure'!R58+'Assets and Liabili-s structure'!T58)/2)/((IF(LEFT(R157,2)="1Q",DATE(RIGHT(R157,4),3,31),IF(LEFT(R157,2)="1H",DATE(RIGHT(R157,4),6,30),IF(LEFT(R157,2)="9M",DATE(RIGHT(R157,4),9,30),DATE(RIGHT(R157,4),12,31))))-DATE(RIGHT(R157,4)-1,12,31))/(DATE(RIGHT(R157,4),12,31)-DATE(RIGHT(R157,4)-1,12,31)))</f>
        <v>0.37153857444056781</v>
      </c>
      <c r="S163" s="251">
        <f>S139/(('Assets and Liabili-s structure'!S58+'Assets and Liabili-s structure'!T58)/2)/((IF(LEFT(S157,2)="1Q",DATE(RIGHT(S157,4),3,31),IF(LEFT(S157,2)="1H",DATE(RIGHT(S157,4),6,30),IF(LEFT(S157,2)="9M",DATE(RIGHT(S157,4),9,30),DATE(RIGHT(S157,4),12,31))))-DATE(RIGHT(S157,4)-1,12,31))/(DATE(RIGHT(S157,4),12,31)-DATE(RIGHT(S157,4)-1,12,31)))</f>
        <v>0.38998137296383256</v>
      </c>
      <c r="T163" s="402"/>
      <c r="U163" s="402"/>
      <c r="V163" s="402"/>
      <c r="W163" s="402"/>
      <c r="X163" s="251">
        <f>X139/(('Assets and Liabili-s structure'!X58+'Assets and Liabili-s structure'!AB58)/2)/((IF(LEFT(X157,2)="1Q",DATE(RIGHT(X157,4),3,31),IF(LEFT(X157,2)="1H",DATE(RIGHT(X157,4),6,30),IF(LEFT(X157,2)="9M",DATE(RIGHT(X157,4),9,30),DATE(RIGHT(X157,4),12,31))))-DATE(RIGHT(X157,4)-1,12,31))/(DATE(RIGHT(X157,4),12,31)-DATE(RIGHT(X157,4)-1,12,31)))</f>
        <v>0.18781775975155668</v>
      </c>
      <c r="Y163" s="251">
        <f>Y139/(('Assets and Liabili-s structure'!Y58+'Assets and Liabili-s structure'!AB58)/2)/((IF(LEFT(Y157,2)="1Q",DATE(RIGHT(Y157,4),3,31),IF(LEFT(Y157,2)="1H",DATE(RIGHT(Y157,4),6,30),IF(LEFT(Y157,2)="9M",DATE(RIGHT(Y157,4),9,30),DATE(RIGHT(Y157,4),12,31))))-DATE(RIGHT(Y157,4)-1,12,31))/(DATE(RIGHT(Y157,4),12,31)-DATE(RIGHT(Y157,4)-1,12,31)))</f>
        <v>0.16333073526382463</v>
      </c>
      <c r="Z163" s="251">
        <f>Z139/(('Assets and Liabili-s structure'!Z58+'Assets and Liabili-s structure'!AB58)/2)/((IF(LEFT(Z157,2)="1Q",DATE(RIGHT(Z157,4),3,31),IF(LEFT(Z157,2)="1H",DATE(RIGHT(Z157,4),6,30),IF(LEFT(Z157,2)="9M",DATE(RIGHT(Z157,4),9,30),DATE(RIGHT(Z157,4),12,31))))-DATE(RIGHT(Z157,4)-1,12,31))/(DATE(RIGHT(Z157,4),12,31)-DATE(RIGHT(Z157,4)-1,12,31)))</f>
        <v>0.16055917123672081</v>
      </c>
      <c r="AA163" s="251">
        <f>AA139/(('Assets and Liabili-s structure'!AA58+'Assets and Liabili-s structure'!AB58)/2)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0.10795009738694469</v>
      </c>
      <c r="AB163" s="251">
        <f>AB139/(('Assets and Liabili-s structure'!AB58+'Assets and Liabili-s structure'!AF58)/2)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0.12884433497984821</v>
      </c>
      <c r="AC163" s="251">
        <f>AC139/(('Assets and Liabili-s structure'!AC58+'Assets and Liabili-s structure'!AF58)/2)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0.10222752868589831</v>
      </c>
      <c r="AD163" s="251">
        <f>AD139/(('Assets and Liabili-s structure'!AD58+'Assets and Liabili-s structure'!AF58)/2)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8.8757702931344593E-2</v>
      </c>
      <c r="AE163" s="251">
        <f>AE139/(('Assets and Liabili-s structure'!AE58+'Assets and Liabili-s structure'!AF58)/2)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7.8991798038913222E-2</v>
      </c>
      <c r="AF163" s="251">
        <f>AF139/(('Assets and Liabili-s structure'!AF58+'Assets and Liabili-s structure'!AJ58)/2)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0.10199575455202489</v>
      </c>
      <c r="AG163" s="251">
        <f>AG139/(('Assets and Liabili-s structure'!AG58+'Assets and Liabili-s structure'!AJ58)/2)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9.5242034986420782E-2</v>
      </c>
      <c r="AH163" s="251">
        <f>AH139/(('Assets and Liabili-s structure'!AH58+'Assets and Liabili-s structure'!AJ58)/2)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9.1894703398758174E-2</v>
      </c>
      <c r="AI163" s="251">
        <f>AI139/(('Assets and Liabili-s structure'!AI58+'Assets and Liabili-s structure'!AJ58)/2)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6.8539449037305675E-2</v>
      </c>
      <c r="AJ163" s="251">
        <f>AJ139/(('Assets and Liabili-s structure'!AJ58+'Assets and Liabili-s structure'!AN58)/2)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0.1234537994734088</v>
      </c>
      <c r="AK163" s="251">
        <f>AK139/(('Assets and Liabili-s structure'!AK58+'Assets and Liabili-s structure'!AN58)/2)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0.11934582726516552</v>
      </c>
      <c r="AL163" s="251">
        <f>AL139/(('Assets and Liabili-s structure'!AL58+'Assets and Liabili-s structure'!AN58)/2)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0.12386489199605519</v>
      </c>
      <c r="AM163" s="251">
        <f>AM139/(('Assets and Liabili-s structure'!AM58+'Assets and Liabili-s structure'!AN58)/2)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0.10597028227810167</v>
      </c>
      <c r="AN163" s="251">
        <f>AN139/(('Assets and Liabili-s structure'!AN58+'Assets and Liabili-s structure'!AR58)/2)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0.11369111314658814</v>
      </c>
      <c r="AO163" s="251">
        <f>AO139/(('Assets and Liabili-s structure'!AO58+'Assets and Liabili-s structure'!AR58)/2)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0.11800196501895097</v>
      </c>
      <c r="AP163" s="251">
        <f>AP139/(('Assets and Liabili-s structure'!AP58+'Assets and Liabili-s structure'!AR58)/2)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0.10732294518291832</v>
      </c>
      <c r="AQ163" s="251">
        <f>AQ139/(('Assets and Liabili-s structure'!AQ58+'Assets and Liabili-s structure'!AR58)/2)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9.7304911493946766E-2</v>
      </c>
      <c r="AR163" s="251">
        <f>AR139/(('Assets and Liabili-s structure'!AR58+'Assets and Liabili-s structure'!AV58)/2)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7.2719437631770537E-2</v>
      </c>
      <c r="AS163" s="251">
        <f>AS139/(('Assets and Liabili-s structure'!AS58+'Assets and Liabili-s structure'!AV58)/2)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6.919125258360681E-2</v>
      </c>
      <c r="AT163" s="251">
        <f>AT139/(('Assets and Liabili-s structure'!AT58+'Assets and Liabili-s structure'!AV58)/2)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6.9261728387360069E-2</v>
      </c>
      <c r="AU163" s="251">
        <f>AU139/(('Assets and Liabili-s structure'!AU58+'Assets and Liabili-s structure'!AV58)/2)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8.2008180857696303E-2</v>
      </c>
      <c r="AV163" s="251">
        <f>AV139/(('Assets and Liabili-s structure'!AV58+'Assets and Liabili-s structure'!AZ58)/2)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6.6961284611343666E-2</v>
      </c>
      <c r="AW163" s="251">
        <f>AW139/(('Assets and Liabili-s structure'!AW58+'Assets and Liabili-s structure'!AZ58)/2)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6.7141495997156159E-2</v>
      </c>
      <c r="AX163" s="251">
        <f>AX139/(('Assets and Liabili-s structure'!AX58+'Assets and Liabili-s structure'!AZ58)/2)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5.9802301331310502E-2</v>
      </c>
      <c r="AY163" s="251">
        <f>AY139/(('Assets and Liabili-s structure'!AY58+'Assets and Liabili-s structure'!AZ58)/2)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4.4142210961831144E-2</v>
      </c>
      <c r="AZ163" s="251">
        <f>AZ139/(('Assets and Liabili-s structure'!AZ58+'Assets and Liabili-s structure'!BD58)/2)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9.6911380360022475E-2</v>
      </c>
      <c r="BA163" s="251">
        <f>BA139/(('Assets and Liabili-s structure'!BA58+'Assets and Liabili-s structure'!BD58)/2)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0.11074071298747204</v>
      </c>
      <c r="BB163" s="251">
        <f>BB139/(('Assets and Liabili-s structure'!BB58+'Assets and Liabili-s structure'!BD58)/2)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0.12026409688763311</v>
      </c>
      <c r="BC163" s="251">
        <f>BC139/(('Assets and Liabili-s structure'!BC58+'Assets and Liabili-s structure'!BD58)/2)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0.14018038042065534</v>
      </c>
      <c r="BD163" s="251">
        <f>BD139/(('Assets and Liabili-s structure'!BD58+'Assets and Liabili-s structure'!BH58)/2)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0.15217465864382779</v>
      </c>
      <c r="BE163" s="251">
        <f>BE139/(('Assets and Liabili-s structure'!BE58+'Assets and Liabili-s structure'!BH58)/2)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0.11200697729874706</v>
      </c>
      <c r="BF163" s="251">
        <f>BF139/(('Assets and Liabili-s structure'!BF58+'Assets and Liabili-s structure'!BH58)/2)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9.8879942708356747E-2</v>
      </c>
      <c r="BG163" s="251">
        <f>BG139/(('Assets and Liabili-s structure'!BG58+'Assets and Liabili-s structure'!BH58)/2)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0.10752452125804554</v>
      </c>
      <c r="BH163" s="251">
        <f>BH139/(('Assets and Liabili-s structure'!BH58+'Assets and Liabili-s structure'!BL58)/2)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3.2449063372161906E-2</v>
      </c>
      <c r="BI163" s="251">
        <f>BI139/(('Assets and Liabili-s structure'!BI58+'Assets and Liabili-s structure'!BL58)/2)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3.0977266655838626E-2</v>
      </c>
      <c r="BJ163" s="251">
        <f>BJ139/(('Assets and Liabili-s structure'!BJ58+'Assets and Liabili-s structure'!BL58)/2)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1.2002682020686543E-2</v>
      </c>
      <c r="BK163" s="251">
        <f>BK139/(('Assets and Liabili-s structure'!BK58+'Assets and Liabili-s structure'!BL58)/2)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1.236966089315512E-2</v>
      </c>
      <c r="BL163" s="251">
        <f>BL139/(('Assets and Liabili-s structure'!BL58+'Assets and Liabili-s structure'!BP58)/2)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0.17162088438490711</v>
      </c>
      <c r="BM163" s="251">
        <f>BM139/(('Assets and Liabili-s structure'!BM58+'Assets and Liabili-s structure'!BP58)/2)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0.21969531730076175</v>
      </c>
      <c r="BN163" s="251">
        <f>BN139/(('Assets and Liabili-s structure'!BN58+'Assets and Liabili-s structure'!BP58)/2)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0.29804324376642333</v>
      </c>
      <c r="BO163" s="251">
        <f>BO139/(('Assets and Liabili-s structure'!BO58+'Assets and Liabili-s structure'!BP58)/2)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0.28631290069607296</v>
      </c>
      <c r="BP163" s="251">
        <f>BP139/(('Assets and Liabili-s structure'!BP58+'Assets and Liabili-s structure'!BT58)/2)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0.1528259461192441</v>
      </c>
      <c r="BQ163" s="251">
        <f>BQ139/(('Assets and Liabili-s structure'!BQ58+'Assets and Liabili-s structure'!BT58)/2)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0.11819090629793297</v>
      </c>
      <c r="BR163" s="251">
        <f>BR139/(('Assets and Liabili-s structure'!BR58+'Assets and Liabili-s structure'!BT58)/2)/((IF(LEFT(BR157,2)="1Q",DATE(RIGHT(BR157,4),3,31),IF(LEFT(BR157,2)="1H",DATE(RIGHT(BR157,4),6,30),IF(LEFT(BR157,2)="9M",DATE(RIGHT(BR157,4),9,30),DATE(RIGHT(BR157,4),12,31))))-DATE(RIGHT(BR157,4)-1,12,31))/(DATE(RIGHT(BR157,4),12,31)-DATE(RIGHT(BR157,4)-1,12,31)))</f>
        <v>8.9375497178823204E-2</v>
      </c>
      <c r="BS163" s="251">
        <f>BS139/(('Assets and Liabili-s structure'!BS58+'Assets and Liabili-s structure'!BT58)/2)/((IF(LEFT(BS157,2)="1Q",DATE(RIGHT(BS157,4),3,31),IF(LEFT(BS157,2)="1H",DATE(RIGHT(BS157,4),6,30),IF(LEFT(BS157,2)="9M",DATE(RIGHT(BS157,4),9,30),DATE(RIGHT(BS157,4),12,31))))-DATE(RIGHT(BS157,4)-1,12,31))/(DATE(RIGHT(BS157,4),12,31)-DATE(RIGHT(BS157,4)-1,12,31)))</f>
        <v>5.5733394568311861E-2</v>
      </c>
      <c r="BT163" s="305"/>
    </row>
    <row r="164" spans="1:72" s="301" customFormat="1" x14ac:dyDescent="0.25">
      <c r="A164" s="289">
        <v>164</v>
      </c>
      <c r="B164" s="366" t="s">
        <v>192</v>
      </c>
      <c r="C164" s="365"/>
      <c r="D164" s="291"/>
      <c r="E164" s="286">
        <f ca="1">OFFSET($E$7,$A164-$A$7,1,1,1)-OFFSET($E$7,$A164-$A$7,5,1,1)</f>
        <v>-8.3604116234696144E-4</v>
      </c>
      <c r="F164" s="251">
        <f>(-F137)/AVERAGE('Loan Portfolio IFRS 9'!F55,'Loan Portfolio IFRS 9'!H55)/((IF(LEFT(F157,2)="1Q",DATE(RIGHT(F157,4),3,31),IF(LEFT(F157,2)="1H",DATE(RIGHT(F157,4),6,30),IF(LEFT(F157,2)="9M",DATE(RIGHT(F157,4),9,30),DATE(RIGHT(F157,4),12,31))))-DATE(RIGHT(F157,4)-1,12,31))/(DATE(RIGHT(F157,4),12,31)-DATE(RIGHT(F157,4)-1,12,31)))</f>
        <v>1.6293343841601721E-2</v>
      </c>
      <c r="G164" s="251">
        <f>(-G137)/AVERAGE('Loan Portfolio IFRS 9'!G55,'Loan Portfolio IFRS 9'!H55)/((IF(LEFT(G157,2)="1Q",DATE(RIGHT(G157,4),3,31),IF(LEFT(G157,2)="1H",DATE(RIGHT(G157,4),6,30),IF(LEFT(G157,2)="9M",DATE(RIGHT(G157,4),9,30),DATE(RIGHT(G157,4),12,31))))-DATE(RIGHT(G157,4)-1,12,31))/(DATE(RIGHT(G157,4),12,31)-DATE(RIGHT(G157,4)-1,12,31)))</f>
        <v>4.4126861676283304E-3</v>
      </c>
      <c r="H164" s="251">
        <f>(-H137)/AVERAGE('Loan Portfolio IFRS 9'!H55,'Loan Portfolio IFRS 9'!L55)/((IF(LEFT(H157,2)="1Q",DATE(RIGHT(H157,4),3,31),IF(LEFT(H157,2)="1H",DATE(RIGHT(H157,4),6,30),IF(LEFT(H157,2)="9M",DATE(RIGHT(H157,4),9,30),DATE(RIGHT(H157,4),12,31))))-DATE(RIGHT(H157,4)-1,12,31))/(DATE(RIGHT(H157,4),12,31)-DATE(RIGHT(H157,4)-1,12,31)))</f>
        <v>2.0219144845881123E-2</v>
      </c>
      <c r="I164" s="251">
        <f>(-I137)/AVERAGE('Loan Portfolio IFRS 9'!I55,'Loan Portfolio IFRS 9'!L55)/((IF(LEFT(I157,2)="1Q",DATE(RIGHT(I157,4),3,31),IF(LEFT(I157,2)="1H",DATE(RIGHT(I157,4),6,30),IF(LEFT(I157,2)="9M",DATE(RIGHT(I157,4),9,30),DATE(RIGHT(I157,4),12,31))))-DATE(RIGHT(I157,4)-1,12,31))/(DATE(RIGHT(I157,4),12,31)-DATE(RIGHT(I157,4)-1,12,31)))</f>
        <v>1.9058708638619457E-2</v>
      </c>
      <c r="J164" s="251">
        <f>(-J137)/AVERAGE('Loan Portfolio IFRS 9'!J55,'Loan Portfolio IFRS 9'!L55)/((IF(LEFT(J157,2)="1Q",DATE(RIGHT(J157,4),3,31),IF(LEFT(J157,2)="1H",DATE(RIGHT(J157,4),6,30),IF(LEFT(J157,2)="9M",DATE(RIGHT(J157,4),9,30),DATE(RIGHT(J157,4),12,31))))-DATE(RIGHT(J157,4)-1,12,31))/(DATE(RIGHT(J157,4),12,31)-DATE(RIGHT(J157,4)-1,12,31)))</f>
        <v>1.7129385003948682E-2</v>
      </c>
      <c r="K164" s="251">
        <f>(-K137)/AVERAGE('Loan Portfolio IFRS 9'!K55,'Loan Portfolio IFRS 9'!L55)/((IF(LEFT(K157,2)="1Q",DATE(RIGHT(K157,4),3,31),IF(LEFT(K157,2)="1H",DATE(RIGHT(K157,4),6,30),IF(LEFT(K157,2)="9M",DATE(RIGHT(K157,4),9,30),DATE(RIGHT(K157,4),12,31))))-DATE(RIGHT(K157,4)-1,12,31))/(DATE(RIGHT(K157,4),12,31)-DATE(RIGHT(K157,4)-1,12,31)))</f>
        <v>-2.3075646217336274E-4</v>
      </c>
      <c r="L164" s="251">
        <f>(-L137)/AVERAGE('Loan Portfolio IFRS 9'!L55,'Loan Portfolio IFRS 9'!P55)/((IF(LEFT(L157,2)="1Q",DATE(RIGHT(L157,4),3,31),IF(LEFT(L157,2)="1H",DATE(RIGHT(L157,4),6,30),IF(LEFT(L157,2)="9M",DATE(RIGHT(L157,4),9,30),DATE(RIGHT(L157,4),12,31))))-DATE(RIGHT(L157,4)-1,12,31))/(DATE(RIGHT(L157,4),12,31)-DATE(RIGHT(L157,4)-1,12,31)))</f>
        <v>8.4766811260961975E-3</v>
      </c>
      <c r="M164" s="251">
        <f>(-M137)/AVERAGE('Loan Portfolio IFRS 9'!M55,'Loan Portfolio IFRS 9'!P55)/((IF(LEFT(M157,2)="1Q",DATE(RIGHT(M157,4),3,31),IF(LEFT(M157,2)="1H",DATE(RIGHT(M157,4),6,30),IF(LEFT(M157,2)="9M",DATE(RIGHT(M157,4),9,30),DATE(RIGHT(M157,4),12,31))))-DATE(RIGHT(M157,4)-1,12,31))/(DATE(RIGHT(M157,4),12,31)-DATE(RIGHT(M157,4)-1,12,31)))</f>
        <v>7.9735337174129083E-3</v>
      </c>
      <c r="N164" s="251">
        <f>(-N137)/AVERAGE('Loan Portfolio IFRS 9'!N55,'Loan Portfolio IFRS 9'!P55)/((IF(LEFT(N157,2)="1Q",DATE(RIGHT(N157,4),3,31),IF(LEFT(N157,2)="1H",DATE(RIGHT(N157,4),6,30),IF(LEFT(N157,2)="9M",DATE(RIGHT(N157,4),9,30),DATE(RIGHT(N157,4),12,31))))-DATE(RIGHT(N157,4)-1,12,31))/(DATE(RIGHT(N157,4),12,31)-DATE(RIGHT(N157,4)-1,12,31)))</f>
        <v>8.877506918003094E-3</v>
      </c>
      <c r="O164" s="251">
        <f>(-O137)/AVERAGE('Loan Portfolio IFRS 9'!O55,'Loan Portfolio IFRS 9'!P55)/((IF(LEFT(O157,2)="1Q",DATE(RIGHT(O157,4),3,31),IF(LEFT(O157,2)="1H",DATE(RIGHT(O157,4),6,30),IF(LEFT(O157,2)="9M",DATE(RIGHT(O157,4),9,30),DATE(RIGHT(O157,4),12,31))))-DATE(RIGHT(O157,4)-1,12,31))/(DATE(RIGHT(O157,4),12,31)-DATE(RIGHT(O157,4)-1,12,31)))</f>
        <v>1.2076970914952035E-3</v>
      </c>
      <c r="P164" s="251">
        <f>(-P137)/AVERAGE('Loan Portfolio IFRS 9'!P55,'Loan Portfolio IFRS 9'!T55)/((IF(LEFT(P157,2)="1Q",DATE(RIGHT(P157,4),3,31),IF(LEFT(P157,2)="1H",DATE(RIGHT(P157,4),6,30),IF(LEFT(P157,2)="9M",DATE(RIGHT(P157,4),9,30),DATE(RIGHT(P157,4),12,31))))-DATE(RIGHT(P157,4)-1,12,31))/(DATE(RIGHT(P157,4),12,31)-DATE(RIGHT(P157,4)-1,12,31)))</f>
        <v>-5.2340745325140355E-3</v>
      </c>
      <c r="Q164" s="251">
        <f>(-Q137)/AVERAGE('Loan Portfolio IFRS 9'!Q55,'Loan Portfolio IFRS 9'!T55)/((IF(LEFT(Q157,2)="1Q",DATE(RIGHT(Q157,4),3,31),IF(LEFT(Q157,2)="1H",DATE(RIGHT(Q157,4),6,30),IF(LEFT(Q157,2)="9M",DATE(RIGHT(Q157,4),9,30),DATE(RIGHT(Q157,4),12,31))))-DATE(RIGHT(Q157,4)-1,12,31))/(DATE(RIGHT(Q157,4),12,31)-DATE(RIGHT(Q157,4)-1,12,31)))</f>
        <v>-8.5874032054274064E-3</v>
      </c>
      <c r="R164" s="251">
        <f>(-R137)/AVERAGE('Loan Portfolio IFRS 9'!R55,'Loan Portfolio IFRS 9'!T55)/((IF(LEFT(R157,2)="1Q",DATE(RIGHT(R157,4),3,31),IF(LEFT(R157,2)="1H",DATE(RIGHT(R157,4),6,30),IF(LEFT(R157,2)="9M",DATE(RIGHT(R157,4),9,30),DATE(RIGHT(R157,4),12,31))))-DATE(RIGHT(R157,4)-1,12,31))/(DATE(RIGHT(R157,4),12,31)-DATE(RIGHT(R157,4)-1,12,31)))</f>
        <v>-1.5419463576160069E-2</v>
      </c>
      <c r="S164" s="251">
        <f>(-S137)/AVERAGE('Loan Portfolio IFRS 9'!S55,'Loan Portfolio IFRS 9'!T55)/((IF(LEFT(S157,2)="1Q",DATE(RIGHT(S157,4),3,31),IF(LEFT(S157,2)="1H",DATE(RIGHT(S157,4),6,30),IF(LEFT(S157,2)="9M",DATE(RIGHT(S157,4),9,30),DATE(RIGHT(S157,4),12,31))))-DATE(RIGHT(S157,4)-1,12,31))/(DATE(RIGHT(S157,4),12,31)-DATE(RIGHT(S157,4)-1,12,31)))</f>
        <v>-2.6542526577578374E-2</v>
      </c>
      <c r="T164" s="402"/>
      <c r="U164" s="402"/>
      <c r="V164" s="402"/>
      <c r="W164" s="402"/>
      <c r="X164" s="251">
        <f>(-X137)/AVERAGE('Loan Portfolio IFRS 9'!X55,'Loan Portfolio IFRS 9'!AB55)/((IF(LEFT(X157,2)="1Q",DATE(RIGHT(X157,4),3,31),IF(LEFT(X157,2)="1H",DATE(RIGHT(X157,4),6,30),IF(LEFT(X157,2)="9M",DATE(RIGHT(X157,4),9,30),DATE(RIGHT(X157,4),12,31))))-DATE(RIGHT(X157,4)-1,12,31))/(DATE(RIGHT(X157,4),12,31)-DATE(RIGHT(X157,4)-1,12,31)))</f>
        <v>9.4452597060624699E-3</v>
      </c>
      <c r="Y164" s="251">
        <f>(-Y137)/AVERAGE('Loan Portfolio IFRS 9'!Y55,'Loan Portfolio IFRS 9'!AB55)/((IF(LEFT(Y157,2)="1Q",DATE(RIGHT(Y157,4),3,31),IF(LEFT(Y157,2)="1H",DATE(RIGHT(Y157,4),6,30),IF(LEFT(Y157,2)="9M",DATE(RIGHT(Y157,4),9,30),DATE(RIGHT(Y157,4),12,31))))-DATE(RIGHT(Y157,4)-1,12,31))/(DATE(RIGHT(Y157,4),12,31)-DATE(RIGHT(Y157,4)-1,12,31)))</f>
        <v>1.3998536323850038E-2</v>
      </c>
      <c r="Z164" s="251">
        <f>(-Z137)/AVERAGE('Loan Portfolio IFRS 9'!Z55,'Loan Portfolio IFRS 9'!AB55)/((IF(LEFT(Z157,2)="1Q",DATE(RIGHT(Z157,4),3,31),IF(LEFT(Z157,2)="1H",DATE(RIGHT(Z157,4),6,30),IF(LEFT(Z157,2)="9M",DATE(RIGHT(Z157,4),9,30),DATE(RIGHT(Z157,4),12,31))))-DATE(RIGHT(Z157,4)-1,12,31))/(DATE(RIGHT(Z157,4),12,31)-DATE(RIGHT(Z157,4)-1,12,31)))</f>
        <v>1.747879217901159E-2</v>
      </c>
      <c r="AA164" s="251">
        <f>(-AA137)/AVERAGE('Loan Portfolio IFRS 9'!AA55,'Loan Portfolio IFRS 9'!AB55)/((IF(LEFT(AA157,2)="1Q",DATE(RIGHT(AA157,4),3,31),IF(LEFT(AA157,2)="1H",DATE(RIGHT(AA157,4),6,30),IF(LEFT(AA157,2)="9M",DATE(RIGHT(AA157,4),9,30),DATE(RIGHT(AA157,4),12,31))))-DATE(RIGHT(AA157,4)-1,12,31))/(DATE(RIGHT(AA157,4),12,31)-DATE(RIGHT(AA157,4)-1,12,31)))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1.8754387829805749E-2</v>
      </c>
      <c r="AB164" s="251">
        <f>(-AB137)/AVERAGE('Loan Portfolio IFRS 9'!AB55,'Loan Portfolio IFRS 9'!AF55)/((IF(LEFT(AB157,2)="1Q",DATE(RIGHT(AB157,4),3,31),IF(LEFT(AB157,2)="1H",DATE(RIGHT(AB157,4),6,30),IF(LEFT(AB157,2)="9M",DATE(RIGHT(AB157,4),9,30),DATE(RIGHT(AB157,4),12,31))))-DATE(RIGHT(AB157,4)-1,12,31))/(DATE(RIGHT(AB157,4),12,31)-DATE(RIGHT(AB157,4)-1,12,31)))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2.087325103452484E-2</v>
      </c>
      <c r="AC164" s="251">
        <f>(-AC137)/AVERAGE('Loan Portfolio IFRS 9'!AC55,'Loan Portfolio IFRS 9'!AF55)/((IF(LEFT(AC157,2)="1Q",DATE(RIGHT(AC157,4),3,31),IF(LEFT(AC157,2)="1H",DATE(RIGHT(AC157,4),6,30),IF(LEFT(AC157,2)="9M",DATE(RIGHT(AC157,4),9,30),DATE(RIGHT(AC157,4),12,31))))-DATE(RIGHT(AC157,4)-1,12,31))/(DATE(RIGHT(AC157,4),12,31)-DATE(RIGHT(AC157,4)-1,12,31)))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2.2121736853475897E-2</v>
      </c>
      <c r="AD164" s="251">
        <f>(-AD137)/AVERAGE('Loan Portfolio IFRS 9'!AD55,'Loan Portfolio IFRS 9'!AF55)/((IF(LEFT(AD157,2)="1Q",DATE(RIGHT(AD157,4),3,31),IF(LEFT(AD157,2)="1H",DATE(RIGHT(AD157,4),6,30),IF(LEFT(AD157,2)="9M",DATE(RIGHT(AD157,4),9,30),DATE(RIGHT(AD157,4),12,31))))-DATE(RIGHT(AD157,4)-1,12,31))/(DATE(RIGHT(AD157,4),12,31)-DATE(RIGHT(AD157,4)-1,12,31)))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2.5602611917634056E-2</v>
      </c>
      <c r="AE164" s="251">
        <f>(-AE137)/AVERAGE('Loan Portfolio IFRS 9'!AE55,'Loan Portfolio IFRS 9'!AF55)/((IF(LEFT(AE157,2)="1Q",DATE(RIGHT(AE157,4),3,31),IF(LEFT(AE157,2)="1H",DATE(RIGHT(AE157,4),6,30),IF(LEFT(AE157,2)="9M",DATE(RIGHT(AE157,4),9,30),DATE(RIGHT(AE157,4),12,31))))-DATE(RIGHT(AE157,4)-1,12,31))/(DATE(RIGHT(AE157,4),12,31)-DATE(RIGHT(AE157,4)-1,12,31)))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2.5168914857075467E-2</v>
      </c>
      <c r="AF164" s="251">
        <f>(-AF137)/AVERAGE('Loan Portfolio IFRS 9'!AF55,'Loan Portfolio IFRS 9'!AJ55)/((IF(LEFT(AF157,2)="1Q",DATE(RIGHT(AF157,4),3,31),IF(LEFT(AF157,2)="1H",DATE(RIGHT(AF157,4),6,30),IF(LEFT(AF157,2)="9M",DATE(RIGHT(AF157,4),9,30),DATE(RIGHT(AF157,4),12,31))))-DATE(RIGHT(AF157,4)-1,12,31))/(DATE(RIGHT(AF157,4),12,31)-DATE(RIGHT(AF157,4)-1,12,31)))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2.0434379841631094E-2</v>
      </c>
      <c r="AG164" s="251">
        <f>(-AG137)/AVERAGE('Loan Portfolio IFRS 9'!AG55,'Loan Portfolio IFRS 9'!AJ55)/((IF(LEFT(AG157,2)="1Q",DATE(RIGHT(AG157,4),3,31),IF(LEFT(AG157,2)="1H",DATE(RIGHT(AG157,4),6,30),IF(LEFT(AG157,2)="9M",DATE(RIGHT(AG157,4),9,30),DATE(RIGHT(AG157,4),12,31))))-DATE(RIGHT(AG157,4)-1,12,31))/(DATE(RIGHT(AG157,4),12,31)-DATE(RIGHT(AG157,4)-1,12,31)))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2.0563304239020287E-2</v>
      </c>
      <c r="AH164" s="251">
        <f>(-AH137)/AVERAGE('Loan Portfolio IFRS 9'!AH55,'Loan Portfolio IFRS 9'!AJ55)/((IF(LEFT(AH157,2)="1Q",DATE(RIGHT(AH157,4),3,31),IF(LEFT(AH157,2)="1H",DATE(RIGHT(AH157,4),6,30),IF(LEFT(AH157,2)="9M",DATE(RIGHT(AH157,4),9,30),DATE(RIGHT(AH157,4),12,31))))-DATE(RIGHT(AH157,4)-1,12,31))/(DATE(RIGHT(AH157,4),12,31)-DATE(RIGHT(AH157,4)-1,12,31)))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2.2414313943504034E-2</v>
      </c>
      <c r="AI164" s="251">
        <f>(-AI137)/AVERAGE('Loan Portfolio IFRS 9'!AI55,'Loan Portfolio IFRS 9'!AJ55)/((IF(LEFT(AI157,2)="1Q",DATE(RIGHT(AI157,4),3,31),IF(LEFT(AI157,2)="1H",DATE(RIGHT(AI157,4),6,30),IF(LEFT(AI157,2)="9M",DATE(RIGHT(AI157,4),9,30),DATE(RIGHT(AI157,4),12,31))))-DATE(RIGHT(AI157,4)-1,12,31))/(DATE(RIGHT(AI157,4),12,31)-DATE(RIGHT(AI157,4)-1,12,31)))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2.4622488803916046E-2</v>
      </c>
      <c r="AJ164" s="251">
        <f>(-AJ137)/AVERAGE('Loan Portfolio IFRS 9'!AJ55,'Loan Portfolio IFRS 9'!AN55)/((IF(LEFT(AJ157,2)="1Q",DATE(RIGHT(AJ157,4),3,31),IF(LEFT(AJ157,2)="1H",DATE(RIGHT(AJ157,4),6,30),IF(LEFT(AJ157,2)="9M",DATE(RIGHT(AJ157,4),9,30),DATE(RIGHT(AJ157,4),12,31))))-DATE(RIGHT(AJ157,4)-1,12,31))/(DATE(RIGHT(AJ157,4),12,31)-DATE(RIGHT(AJ157,4)-1,12,31)))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1.9055999066050978E-2</v>
      </c>
      <c r="AK164" s="251">
        <f>(-AK137)/AVERAGE('Loan Portfolio IFRS 9'!AK55,'Loan Portfolio IFRS 9'!AN55)/((IF(LEFT(AK157,2)="1Q",DATE(RIGHT(AK157,4),3,31),IF(LEFT(AK157,2)="1H",DATE(RIGHT(AK157,4),6,30),IF(LEFT(AK157,2)="9M",DATE(RIGHT(AK157,4),9,30),DATE(RIGHT(AK157,4),12,31))))-DATE(RIGHT(AK157,4)-1,12,31))/(DATE(RIGHT(AK157,4),12,31)-DATE(RIGHT(AK157,4)-1,12,31)))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1.8895144548393677E-2</v>
      </c>
      <c r="AL164" s="251">
        <f>(-AL137)/AVERAGE('Loan Portfolio IFRS 9'!AL55,'Loan Portfolio IFRS 9'!AN55)/((IF(LEFT(AL157,2)="1Q",DATE(RIGHT(AL157,4),3,31),IF(LEFT(AL157,2)="1H",DATE(RIGHT(AL157,4),6,30),IF(LEFT(AL157,2)="9M",DATE(RIGHT(AL157,4),9,30),DATE(RIGHT(AL157,4),12,31))))-DATE(RIGHT(AL157,4)-1,12,31))/(DATE(RIGHT(AL157,4),12,31)-DATE(RIGHT(AL157,4)-1,12,31)))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1.8669075090083545E-2</v>
      </c>
      <c r="AM164" s="251">
        <f>-AM137/AVERAGE('Loan Portfolio IFRS 9'!AM55,'Loan Portfolio IAS 39'!E50)/((IF(LEFT(AM157,2)="1Q",DATE(RIGHT(AM157,4),3,31),IF(LEFT(AM157,2)="1H",DATE(RIGHT(AM157,4),6,30),IF(LEFT(AM157,2)="9M",DATE(RIGHT(AM157,4),9,30),DATE(RIGHT(AM157,4),12,31))))-DATE(RIGHT(AM157,4)-1,12,31))/(DATE(RIGHT(AM157,4),12,31)-DATE(RIGHT(AM157,4)-1,12,31)))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2.0277461024959496E-2</v>
      </c>
      <c r="AN164" s="251">
        <f>-AN137/AVERAGE('Loan Portfolio IAS 39'!E50,'Loan Portfolio IAS 39'!I50)/((IF(LEFT(AN157,2)="1Q",DATE(RIGHT(AN157,4),3,31),IF(LEFT(AN157,2)="1H",DATE(RIGHT(AN157,4),6,30),IF(LEFT(AN157,2)="9M",DATE(RIGHT(AN157,4),9,30),DATE(RIGHT(AN157,4),12,31))))-DATE(RIGHT(AN157,4)-1,12,31))/(DATE(RIGHT(AN157,4),12,31)-DATE(RIGHT(AN157,4)-1,12,31)))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2.6894682738172176E-2</v>
      </c>
      <c r="AO164" s="251">
        <f>-AO137/AVERAGE('Loan Portfolio IAS 39'!F50,'Loan Portfolio IAS 39'!I50)/((IF(LEFT(AO157,2)="1Q",DATE(RIGHT(AO157,4),3,31),IF(LEFT(AO157,2)="1H",DATE(RIGHT(AO157,4),6,30),IF(LEFT(AO157,2)="9M",DATE(RIGHT(AO157,4),9,30),DATE(RIGHT(AO157,4),12,31))))-DATE(RIGHT(AO157,4)-1,12,31))/(DATE(RIGHT(AO157,4),12,31)-DATE(RIGHT(AO157,4)-1,12,31)))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2.738849898888546E-2</v>
      </c>
      <c r="AP164" s="251">
        <f>-AP137/AVERAGE('Loan Portfolio IAS 39'!G50,'Loan Portfolio IAS 39'!I50)/((IF(LEFT(AP157,2)="1Q",DATE(RIGHT(AP157,4),3,31),IF(LEFT(AP157,2)="1H",DATE(RIGHT(AP157,4),6,30),IF(LEFT(AP157,2)="9M",DATE(RIGHT(AP157,4),9,30),DATE(RIGHT(AP157,4),12,31))))-DATE(RIGHT(AP157,4)-1,12,31))/(DATE(RIGHT(AP157,4),12,31)-DATE(RIGHT(AP157,4)-1,12,31)))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2.9579787107209456E-2</v>
      </c>
      <c r="AQ164" s="251">
        <f>-AQ137/AVERAGE('Loan Portfolio IAS 39'!H50,'Loan Portfolio IAS 39'!I50)/((IF(LEFT(AQ157,2)="1Q",DATE(RIGHT(AQ157,4),3,31),IF(LEFT(AQ157,2)="1H",DATE(RIGHT(AQ157,4),6,30),IF(LEFT(AQ157,2)="9M",DATE(RIGHT(AQ157,4),9,30),DATE(RIGHT(AQ157,4),12,31))))-DATE(RIGHT(AQ157,4)-1,12,31))/(DATE(RIGHT(AQ157,4),12,31)-DATE(RIGHT(AQ157,4)-1,12,31)))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3.0684068539311056E-2</v>
      </c>
      <c r="AR164" s="251">
        <f>-AR137/AVERAGE('Loan Portfolio IAS 39'!I50,'Loan Portfolio IAS 39'!M50)/((IF(LEFT(AR157,2)="1Q",DATE(RIGHT(AR157,4),3,31),IF(LEFT(AR157,2)="1H",DATE(RIGHT(AR157,4),6,30),IF(LEFT(AR157,2)="9M",DATE(RIGHT(AR157,4),9,30),DATE(RIGHT(AR157,4),12,31))))-DATE(RIGHT(AR157,4)-1,12,31))/(DATE(RIGHT(AR157,4),12,31)-DATE(RIGHT(AR157,4)-1,12,31)))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3.4475409684253611E-2</v>
      </c>
      <c r="AS164" s="251">
        <f>-AS137/AVERAGE('Loan Portfolio IAS 39'!J50,'Loan Portfolio IAS 39'!M50)/((IF(LEFT(AS157,2)="1Q",DATE(RIGHT(AS157,4),3,31),IF(LEFT(AS157,2)="1H",DATE(RIGHT(AS157,4),6,30),IF(LEFT(AS157,2)="9M",DATE(RIGHT(AS157,4),9,30),DATE(RIGHT(AS157,4),12,31))))-DATE(RIGHT(AS157,4)-1,12,31))/(DATE(RIGHT(AS157,4),12,31)-DATE(RIGHT(AS157,4)-1,12,31)))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3.4509882036681525E-2</v>
      </c>
      <c r="AT164" s="251">
        <f>-AT137/AVERAGE('Loan Portfolio IAS 39'!K50,'Loan Portfolio IAS 39'!M50)/((IF(LEFT(AT157,2)="1Q",DATE(RIGHT(AT157,4),3,31),IF(LEFT(AT157,2)="1H",DATE(RIGHT(AT157,4),6,30),IF(LEFT(AT157,2)="9M",DATE(RIGHT(AT157,4),9,30),DATE(RIGHT(AT157,4),12,31))))-DATE(RIGHT(AT157,4)-1,12,31))/(DATE(RIGHT(AT157,4),12,31)-DATE(RIGHT(AT157,4)-1,12,31)))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3.3371635264169738E-2</v>
      </c>
      <c r="AU164" s="251">
        <f>-AU137/AVERAGE('Loan Portfolio IAS 39'!L50,'Loan Portfolio IAS 39'!M50)/((IF(LEFT(AU157,2)="1Q",DATE(RIGHT(AU157,4),3,31),IF(LEFT(AU157,2)="1H",DATE(RIGHT(AU157,4),6,30),IF(LEFT(AU157,2)="9M",DATE(RIGHT(AU157,4),9,30),DATE(RIGHT(AU157,4),12,31))))-DATE(RIGHT(AU157,4)-1,12,31))/(DATE(RIGHT(AU157,4),12,31)-DATE(RIGHT(AU157,4)-1,12,31)))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3.2096367330480283E-2</v>
      </c>
      <c r="AV164" s="251">
        <f>-AV137/AVERAGE('Loan Portfolio IAS 39'!M50,'Loan Portfolio IAS 39'!Q50)/((IF(LEFT(AV157,2)="1Q",DATE(RIGHT(AV157,4),3,31),IF(LEFT(AV157,2)="1H",DATE(RIGHT(AV157,4),6,30),IF(LEFT(AV157,2)="9M",DATE(RIGHT(AV157,4),9,30),DATE(RIGHT(AV157,4),12,31))))-DATE(RIGHT(AV157,4)-1,12,31))/(DATE(RIGHT(AV157,4),12,31)-DATE(RIGHT(AV157,4)-1,12,31)))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3.4434052799749482E-2</v>
      </c>
      <c r="AW164" s="251">
        <f>-AW137/AVERAGE('Loan Portfolio IAS 39'!N50,'Loan Portfolio IAS 39'!Q50)/((IF(LEFT(AW157,2)="1Q",DATE(RIGHT(AW157,4),3,31),IF(LEFT(AW157,2)="1H",DATE(RIGHT(AW157,4),6,30),IF(LEFT(AW157,2)="9M",DATE(RIGHT(AW157,4),9,30),DATE(RIGHT(AW157,4),12,31))))-DATE(RIGHT(AW157,4)-1,12,31))/(DATE(RIGHT(AW157,4),12,31)-DATE(RIGHT(AW157,4)-1,12,31)))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3.4097645514837863E-2</v>
      </c>
      <c r="AX164" s="251">
        <f>-AX137/AVERAGE('Loan Portfolio IAS 39'!O50,'Loan Portfolio IAS 39'!Q50)/((IF(LEFT(AX157,2)="1Q",DATE(RIGHT(AX157,4),3,31),IF(LEFT(AX157,2)="1H",DATE(RIGHT(AX157,4),6,30),IF(LEFT(AX157,2)="9M",DATE(RIGHT(AX157,4),9,30),DATE(RIGHT(AX157,4),12,31))))-DATE(RIGHT(AX157,4)-1,12,31))/(DATE(RIGHT(AX157,4),12,31)-DATE(RIGHT(AX157,4)-1,12,31)))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3.3269590897752083E-2</v>
      </c>
      <c r="AY164" s="251">
        <f>-AY137/AVERAGE('Loan Portfolio IAS 39'!P50,'Loan Portfolio IAS 39'!Q50)/((IF(LEFT(AY157,2)="1Q",DATE(RIGHT(AY157,4),3,31),IF(LEFT(AY157,2)="1H",DATE(RIGHT(AY157,4),6,30),IF(LEFT(AY157,2)="9M",DATE(RIGHT(AY157,4),9,30),DATE(RIGHT(AY157,4),12,31))))-DATE(RIGHT(AY157,4)-1,12,31))/(DATE(RIGHT(AY157,4),12,31)-DATE(RIGHT(AY157,4)-1,12,31)))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3.040671721980049E-2</v>
      </c>
      <c r="AZ164" s="251">
        <f>-AZ137/AVERAGE('Loan Portfolio IAS 39'!Q50,'Loan Portfolio IAS 39'!U50)/((IF(LEFT(AZ157,2)="1Q",DATE(RIGHT(AZ157,4),3,31),IF(LEFT(AZ157,2)="1H",DATE(RIGHT(AZ157,4),6,30),IF(LEFT(AZ157,2)="9M",DATE(RIGHT(AZ157,4),9,30),DATE(RIGHT(AZ157,4),12,31))))-DATE(RIGHT(AZ157,4)-1,12,31))/(DATE(RIGHT(AZ157,4),12,31)-DATE(RIGHT(AZ157,4)-1,12,31)))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2.3481098472268293E-2</v>
      </c>
      <c r="BA164" s="251">
        <f>-BA137/AVERAGE('Loan Portfolio IAS 39'!R50,'Loan Portfolio IAS 39'!U50)/((IF(LEFT(BA157,2)="1Q",DATE(RIGHT(BA157,4),3,31),IF(LEFT(BA157,2)="1H",DATE(RIGHT(BA157,4),6,30),IF(LEFT(BA157,2)="9M",DATE(RIGHT(BA157,4),9,30),DATE(RIGHT(BA157,4),12,31))))-DATE(RIGHT(BA157,4)-1,12,31))/(DATE(RIGHT(BA157,4),12,31)-DATE(RIGHT(BA157,4)-1,12,31)))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2.0186708124532368E-2</v>
      </c>
      <c r="BB164" s="251">
        <f>-BB137/AVERAGE('Loan Portfolio IAS 39'!S50,'Loan Portfolio IAS 39'!U50)/((IF(LEFT(BB157,2)="1Q",DATE(RIGHT(BB157,4),3,31),IF(LEFT(BB157,2)="1H",DATE(RIGHT(BB157,4),6,30),IF(LEFT(BB157,2)="9M",DATE(RIGHT(BB157,4),9,30),DATE(RIGHT(BB157,4),12,31))))-DATE(RIGHT(BB157,4)-1,12,31))/(DATE(RIGHT(BB157,4),12,31)-DATE(RIGHT(BB157,4)-1,12,31)))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1.9869150032684094E-2</v>
      </c>
      <c r="BC164" s="251">
        <f>-BC137/AVERAGE('Loan Portfolio IAS 39'!T50,'Loan Portfolio IAS 39'!U50)/((IF(LEFT(BC157,2)="1Q",DATE(RIGHT(BC157,4),3,31),IF(LEFT(BC157,2)="1H",DATE(RIGHT(BC157,4),6,30),IF(LEFT(BC157,2)="9M",DATE(RIGHT(BC157,4),9,30),DATE(RIGHT(BC157,4),12,31))))-DATE(RIGHT(BC157,4)-1,12,31))/(DATE(RIGHT(BC157,4),12,31)-DATE(RIGHT(BC157,4)-1,12,31)))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1.7360313750256609E-2</v>
      </c>
      <c r="BD164" s="251">
        <f>-BD137/AVERAGE('Loan Portfolio IAS 39'!U50,'Loan Portfolio IAS 39'!Y50)/((IF(LEFT(BD157,2)="1Q",DATE(RIGHT(BD157,4),3,31),IF(LEFT(BD157,2)="1H",DATE(RIGHT(BD157,4),6,30),IF(LEFT(BD157,2)="9M",DATE(RIGHT(BD157,4),9,30),DATE(RIGHT(BD157,4),12,31))))-DATE(RIGHT(BD157,4)-1,12,31))/(DATE(RIGHT(BD157,4),12,31)-DATE(RIGHT(BD157,4)-1,12,31)))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1.7178525952309072E-2</v>
      </c>
      <c r="BE164" s="251">
        <f>-BE137/AVERAGE('Loan Portfolio IAS 39'!V50,'Loan Portfolio IAS 39'!Y50)/((IF(LEFT(BE157,2)="1Q",DATE(RIGHT(BE157,4),3,31),IF(LEFT(BE157,2)="1H",DATE(RIGHT(BE157,4),6,30),IF(LEFT(BE157,2)="9M",DATE(RIGHT(BE157,4),9,30),DATE(RIGHT(BE157,4),12,31))))-DATE(RIGHT(BE157,4)-1,12,31))/(DATE(RIGHT(BE157,4),12,31)-DATE(RIGHT(BE157,4)-1,12,31)))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1.6816112969751183E-2</v>
      </c>
      <c r="BF164" s="251">
        <f>-BF137/AVERAGE('Loan Portfolio IAS 39'!W50,'Loan Portfolio IAS 39'!Y50)/((IF(LEFT(BF157,2)="1Q",DATE(RIGHT(BF157,4),3,31),IF(LEFT(BF157,2)="1H",DATE(RIGHT(BF157,4),6,30),IF(LEFT(BF157,2)="9M",DATE(RIGHT(BF157,4),9,30),DATE(RIGHT(BF157,4),12,31))))-DATE(RIGHT(BF157,4)-1,12,31))/(DATE(RIGHT(BF157,4),12,31)-DATE(RIGHT(BF157,4)-1,12,31)))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1.7483617643392839E-2</v>
      </c>
      <c r="BG164" s="251">
        <f>-BG137/AVERAGE('Loan Portfolio IAS 39'!X50,'Loan Portfolio IAS 39'!Y50)/((IF(LEFT(BG157,2)="1Q",DATE(RIGHT(BG157,4),3,31),IF(LEFT(BG157,2)="1H",DATE(RIGHT(BG157,4),6,30),IF(LEFT(BG157,2)="9M",DATE(RIGHT(BG157,4),9,30),DATE(RIGHT(BG157,4),12,31))))-DATE(RIGHT(BG157,4)-1,12,31))/(DATE(RIGHT(BG157,4),12,31)-DATE(RIGHT(BG157,4)-1,12,31)))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1.7587944564971279E-2</v>
      </c>
      <c r="BH164" s="251">
        <f>-BH137/AVERAGE('Loan Portfolio IAS 39'!Y50,'Loan Portfolio IAS 39'!AC50)/((IF(LEFT(BH157,2)="1Q",DATE(RIGHT(BH157,4),3,31),IF(LEFT(BH157,2)="1H",DATE(RIGHT(BH157,4),6,30),IF(LEFT(BH157,2)="9M",DATE(RIGHT(BH157,4),9,30),DATE(RIGHT(BH157,4),12,31))))-DATE(RIGHT(BH157,4)-1,12,31))/(DATE(RIGHT(BH157,4),12,31)-DATE(RIGHT(BH157,4)-1,12,31)))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2.6749525541311027E-2</v>
      </c>
      <c r="BI164" s="251">
        <f>-BI137/AVERAGE('Loan Portfolio IAS 39'!Z50,'Loan Portfolio IAS 39'!AC50)/((IF(LEFT(BI157,2)="1Q",DATE(RIGHT(BI157,4),3,31),IF(LEFT(BI157,2)="1H",DATE(RIGHT(BI157,4),6,30),IF(LEFT(BI157,2)="9M",DATE(RIGHT(BI157,4),9,30),DATE(RIGHT(BI157,4),12,31))))-DATE(RIGHT(BI157,4)-1,12,31))/(DATE(RIGHT(BI157,4),12,31)-DATE(RIGHT(BI157,4)-1,12,31)))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2.7486159782335776E-2</v>
      </c>
      <c r="BJ164" s="251">
        <f>-BJ137/AVERAGE('Loan Portfolio IAS 39'!AA50,'Loan Portfolio IAS 39'!AC50)/((IF(LEFT(BJ157,2)="1Q",DATE(RIGHT(BJ157,4),3,31),IF(LEFT(BJ157,2)="1H",DATE(RIGHT(BJ157,4),6,30),IF(LEFT(BJ157,2)="9M",DATE(RIGHT(BJ157,4),9,30),DATE(RIGHT(BJ157,4),12,31))))-DATE(RIGHT(BJ157,4)-1,12,31))/(DATE(RIGHT(BJ157,4),12,31)-DATE(RIGHT(BJ157,4)-1,12,31)))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2.7985071260398557E-2</v>
      </c>
      <c r="BK164" s="251">
        <f>-BK137/AVERAGE('Loan Portfolio IAS 39'!AB50,'Loan Portfolio IAS 39'!AC50)/((IF(LEFT(BK157,2)="1Q",DATE(RIGHT(BK157,4),3,31),IF(LEFT(BK157,2)="1H",DATE(RIGHT(BK157,4),6,30),IF(LEFT(BK157,2)="9M",DATE(RIGHT(BK157,4),9,30),DATE(RIGHT(BK157,4),12,31))))-DATE(RIGHT(BK157,4)-1,12,31))/(DATE(RIGHT(BK157,4),12,31)-DATE(RIGHT(BK157,4)-1,12,31)))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3.0688292132288943E-2</v>
      </c>
      <c r="BL164" s="251">
        <f>-BL137/AVERAGE('Loan Portfolio IAS 39'!AC50,'Loan Portfolio IAS 39'!AG50)/((IF(LEFT(BL157,2)="1Q",DATE(RIGHT(BL157,4),3,31),IF(LEFT(BL157,2)="1H",DATE(RIGHT(BL157,4),6,30),IF(LEFT(BL157,2)="9M",DATE(RIGHT(BL157,4),9,30),DATE(RIGHT(BL157,4),12,31))))-DATE(RIGHT(BL157,4)-1,12,31))/(DATE(RIGHT(BL157,4),12,31)-DATE(RIGHT(BL157,4)-1,12,31)))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1.5878411638342624E-2</v>
      </c>
      <c r="BM164" s="251">
        <f>-BM137/AVERAGE('Loan Portfolio IAS 39'!AD50,'Loan Portfolio IAS 39'!AG50)/((IF(LEFT(BM157,2)="1Q",DATE(RIGHT(BM157,4),3,31),IF(LEFT(BM157,2)="1H",DATE(RIGHT(BM157,4),6,30),IF(LEFT(BM157,2)="9M",DATE(RIGHT(BM157,4),9,30),DATE(RIGHT(BM157,4),12,31))))-DATE(RIGHT(BM157,4)-1,12,31))/(DATE(RIGHT(BM157,4),12,31)-DATE(RIGHT(BM157,4)-1,12,31)))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1.0533352179705651E-2</v>
      </c>
      <c r="BN164" s="251">
        <f>-BN137/AVERAGE('Loan Portfolio IAS 39'!AE50,'Loan Portfolio IAS 39'!AG50)/((IF(LEFT(BN157,2)="1Q",DATE(RIGHT(BN157,4),3,31),IF(LEFT(BN157,2)="1H",DATE(RIGHT(BN157,4),6,30),IF(LEFT(BN157,2)="9M",DATE(RIGHT(BN157,4),9,30),DATE(RIGHT(BN157,4),12,31))))-DATE(RIGHT(BN157,4)-1,12,31))/(DATE(RIGHT(BN157,4),12,31)-DATE(RIGHT(BN157,4)-1,12,31)))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9.2705799697119003E-3</v>
      </c>
      <c r="BO164" s="251">
        <f>-BO137/AVERAGE('Loan Portfolio IAS 39'!AF50,'Loan Portfolio IAS 39'!AG50)/((IF(LEFT(BO157,2)="1Q",DATE(RIGHT(BO157,4),3,31),IF(LEFT(BO157,2)="1H",DATE(RIGHT(BO157,4),6,30),IF(LEFT(BO157,2)="9M",DATE(RIGHT(BO157,4),9,30),DATE(RIGHT(BO157,4),12,31))))-DATE(RIGHT(BO157,4)-1,12,31))/(DATE(RIGHT(BO157,4),12,31)-DATE(RIGHT(BO157,4)-1,12,31)))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1.3153770158507692E-2</v>
      </c>
      <c r="BP164" s="251">
        <f>-BP137/AVERAGE('Loan Portfolio IAS 39'!AG50,'Loan Portfolio IAS 39'!AK50)/((IF(LEFT(BP157,2)="1Q",DATE(RIGHT(BP157,4),3,31),IF(LEFT(BP157,2)="1H",DATE(RIGHT(BP157,4),6,30),IF(LEFT(BP157,2)="9M",DATE(RIGHT(BP157,4),9,30),DATE(RIGHT(BP157,4),12,31))))-DATE(RIGHT(BP157,4)-1,12,31))/(DATE(RIGHT(BP157,4),12,31)-DATE(RIGHT(BP157,4)-1,12,31)))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2.6624571448044951E-2</v>
      </c>
      <c r="BQ164" s="251">
        <f>-BQ137/AVERAGE('Loan Portfolio IAS 39'!AH50,'Loan Portfolio IAS 39'!AK50)/((IF(LEFT(BQ157,2)="1Q",DATE(RIGHT(BQ157,4),3,31),IF(LEFT(BQ157,2)="1H",DATE(RIGHT(BQ157,4),6,30),IF(LEFT(BQ157,2)="9M",DATE(RIGHT(BQ157,4),9,30),DATE(RIGHT(BQ157,4),12,31))))-DATE(RIGHT(BQ157,4)-1,12,31))/(DATE(RIGHT(BQ157,4),12,31)-DATE(RIGHT(BQ157,4)-1,12,31)))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3.5806599619783532E-2</v>
      </c>
      <c r="BR164" s="251">
        <f>-BR137/AVERAGE('Loan Portfolio IAS 39'!AI50,'Loan Portfolio IAS 39'!AK50)/((IF(LEFT(BR157,2)="1Q",DATE(RIGHT(BR157,4),3,31),IF(LEFT(BR157,2)="1H",DATE(RIGHT(BR157,4),6,30),IF(LEFT(BR157,2)="9M",DATE(RIGHT(BR157,4),9,30),DATE(RIGHT(BR157,4),12,31))))-DATE(RIGHT(BR157,4)-1,12,31))/(DATE(RIGHT(BR157,4),12,31)-DATE(RIGHT(BR157,4)-1,12,31)))</f>
        <v>4.5515076345453917E-2</v>
      </c>
      <c r="BS164" s="251">
        <f>-BS137/AVERAGE('Loan Portfolio IAS 39'!AJ50,'Loan Portfolio IAS 39'!AK50)/((IF(LEFT(BS157,2)="1Q",DATE(RIGHT(BS157,4),3,31),IF(LEFT(BS157,2)="1H",DATE(RIGHT(BS157,4),6,30),IF(LEFT(BS157,2)="9M",DATE(RIGHT(BS157,4),9,30),DATE(RIGHT(BS157,4),12,31))))-DATE(RIGHT(BS157,4)-1,12,31))/(DATE(RIGHT(BS157,4),12,31)-DATE(RIGHT(BS157,4)-1,12,31)))</f>
        <v>6.3897009235987928E-2</v>
      </c>
      <c r="BT164" s="305"/>
    </row>
    <row r="165" spans="1:72" s="301" customFormat="1" ht="8.1" customHeight="1" x14ac:dyDescent="0.25">
      <c r="A165" s="289">
        <v>165</v>
      </c>
      <c r="B165" s="364"/>
      <c r="C165" s="364"/>
      <c r="D165" s="364"/>
      <c r="E165" s="364"/>
      <c r="F165" s="364"/>
      <c r="G165" s="364"/>
      <c r="H165" s="364"/>
      <c r="I165" s="364"/>
      <c r="J165" s="364"/>
      <c r="K165" s="364"/>
      <c r="L165" s="364"/>
      <c r="M165" s="364"/>
      <c r="N165" s="364"/>
      <c r="O165" s="364"/>
      <c r="P165" s="364"/>
      <c r="Q165" s="364"/>
      <c r="R165" s="364"/>
      <c r="S165" s="364"/>
      <c r="T165" s="364"/>
      <c r="U165" s="364"/>
      <c r="V165" s="364"/>
      <c r="W165" s="364"/>
      <c r="X165" s="364"/>
      <c r="Y165" s="364"/>
      <c r="Z165" s="364"/>
      <c r="AA165" s="364"/>
      <c r="AB165" s="364"/>
      <c r="AC165" s="364"/>
      <c r="AD165" s="364"/>
      <c r="AE165" s="364"/>
      <c r="AF165" s="364"/>
      <c r="AG165" s="364"/>
      <c r="AH165" s="364"/>
      <c r="AI165" s="364"/>
      <c r="AJ165" s="364"/>
      <c r="AK165" s="364"/>
      <c r="AL165" s="364"/>
      <c r="AM165" s="364"/>
      <c r="AN165" s="364"/>
      <c r="AO165" s="364"/>
      <c r="AP165" s="364"/>
      <c r="AQ165" s="364"/>
      <c r="AR165" s="364"/>
      <c r="AS165" s="364"/>
      <c r="AT165" s="364"/>
      <c r="AU165" s="364"/>
      <c r="AV165" s="364"/>
      <c r="AW165" s="364"/>
      <c r="AX165" s="364"/>
      <c r="AY165" s="364"/>
      <c r="AZ165" s="364"/>
      <c r="BA165" s="364"/>
      <c r="BB165" s="364"/>
      <c r="BC165" s="364"/>
      <c r="BD165" s="364"/>
      <c r="BE165" s="364"/>
      <c r="BF165" s="364"/>
      <c r="BG165" s="364"/>
      <c r="BH165" s="364"/>
      <c r="BI165" s="251"/>
      <c r="BJ165" s="251"/>
      <c r="BK165" s="251"/>
      <c r="BL165" s="251"/>
      <c r="BM165" s="251"/>
      <c r="BN165" s="251"/>
      <c r="BO165" s="251"/>
      <c r="BP165" s="251"/>
      <c r="BQ165" s="251"/>
      <c r="BR165" s="251"/>
      <c r="BS165" s="251"/>
      <c r="BT165" s="305"/>
    </row>
    <row r="166" spans="1:72" s="301" customFormat="1" x14ac:dyDescent="0.25">
      <c r="A166" s="289">
        <v>166</v>
      </c>
      <c r="B166" s="503"/>
      <c r="C166" s="504" t="str">
        <f ca="1">OFFSET($E$67,0,1,1,1)&amp;"/ "&amp;OFFSET($E$67,0,2,1,1)</f>
        <v>2Q 2026/ 1Q 2026</v>
      </c>
      <c r="D166" s="367"/>
      <c r="E166" s="504" t="str">
        <f ca="1">OFFSET($E$66,1,1,1,1)&amp;"/ "&amp;OFFSET($E$66,1,5,1,1)</f>
        <v>2Q 2026/ 2Q 2025</v>
      </c>
      <c r="F166" s="479" t="s">
        <v>475</v>
      </c>
      <c r="G166" s="479" t="s">
        <v>472</v>
      </c>
      <c r="H166" s="479" t="s">
        <v>471</v>
      </c>
      <c r="I166" s="479" t="s">
        <v>468</v>
      </c>
      <c r="J166" s="479" t="s">
        <v>466</v>
      </c>
      <c r="K166" s="479" t="s">
        <v>462</v>
      </c>
      <c r="L166" s="479" t="s">
        <v>459</v>
      </c>
      <c r="M166" s="479" t="s">
        <v>457</v>
      </c>
      <c r="N166" s="479" t="s">
        <v>454</v>
      </c>
      <c r="O166" s="446" t="s">
        <v>452</v>
      </c>
      <c r="P166" s="479" t="s">
        <v>451</v>
      </c>
      <c r="Q166" s="479" t="s">
        <v>449</v>
      </c>
      <c r="R166" s="479" t="s">
        <v>447</v>
      </c>
      <c r="S166" s="479" t="s">
        <v>438</v>
      </c>
      <c r="T166" s="479" t="s">
        <v>437</v>
      </c>
      <c r="U166" s="479" t="s">
        <v>434</v>
      </c>
      <c r="V166" s="479" t="s">
        <v>432</v>
      </c>
      <c r="W166" s="479" t="s">
        <v>429</v>
      </c>
      <c r="X166" s="479" t="s">
        <v>424</v>
      </c>
      <c r="Y166" s="479" t="s">
        <v>421</v>
      </c>
      <c r="Z166" s="479" t="s">
        <v>419</v>
      </c>
      <c r="AA166" s="479" t="s">
        <v>415</v>
      </c>
      <c r="AB166" s="479" t="s">
        <v>410</v>
      </c>
      <c r="AC166" s="479" t="s">
        <v>408</v>
      </c>
      <c r="AD166" s="479" t="s">
        <v>406</v>
      </c>
      <c r="AE166" s="479" t="s">
        <v>402</v>
      </c>
      <c r="AF166" s="498" t="s">
        <v>393</v>
      </c>
      <c r="AG166" s="479" t="s">
        <v>387</v>
      </c>
      <c r="AH166" s="479" t="s">
        <v>384</v>
      </c>
      <c r="AI166" s="479" t="s">
        <v>381</v>
      </c>
      <c r="AJ166" s="498" t="s">
        <v>376</v>
      </c>
      <c r="AK166" s="498" t="s">
        <v>373</v>
      </c>
      <c r="AL166" s="479" t="s">
        <v>347</v>
      </c>
      <c r="AM166" s="479" t="s">
        <v>311</v>
      </c>
      <c r="AN166" s="479" t="s">
        <v>309</v>
      </c>
      <c r="AO166" s="498" t="s">
        <v>307</v>
      </c>
      <c r="AP166" s="479" t="s">
        <v>292</v>
      </c>
      <c r="AQ166" s="479" t="s">
        <v>286</v>
      </c>
      <c r="AR166" s="479" t="s">
        <v>274</v>
      </c>
      <c r="AS166" s="479" t="s">
        <v>271</v>
      </c>
      <c r="AT166" s="479" t="s">
        <v>269</v>
      </c>
      <c r="AU166" s="479" t="s">
        <v>266</v>
      </c>
      <c r="AV166" s="479" t="s">
        <v>264</v>
      </c>
      <c r="AW166" s="479" t="s">
        <v>262</v>
      </c>
      <c r="AX166" s="479" t="s">
        <v>256</v>
      </c>
      <c r="AY166" s="479" t="s">
        <v>253</v>
      </c>
      <c r="AZ166" s="479" t="s">
        <v>245</v>
      </c>
      <c r="BA166" s="498" t="s">
        <v>243</v>
      </c>
      <c r="BB166" s="498" t="s">
        <v>240</v>
      </c>
      <c r="BC166" s="498" t="s">
        <v>231</v>
      </c>
      <c r="BD166" s="498" t="s">
        <v>227</v>
      </c>
      <c r="BE166" s="498" t="s">
        <v>222</v>
      </c>
      <c r="BF166" s="479" t="s">
        <v>205</v>
      </c>
      <c r="BG166" s="479" t="s">
        <v>203</v>
      </c>
      <c r="BH166" s="479" t="s">
        <v>200</v>
      </c>
      <c r="BI166" s="479" t="s">
        <v>65</v>
      </c>
      <c r="BJ166" s="479" t="s">
        <v>66</v>
      </c>
      <c r="BK166" s="479" t="s">
        <v>4</v>
      </c>
      <c r="BL166" s="479" t="s">
        <v>67</v>
      </c>
      <c r="BM166" s="479" t="s">
        <v>68</v>
      </c>
      <c r="BN166" s="479" t="s">
        <v>69</v>
      </c>
      <c r="BO166" s="479" t="s">
        <v>5</v>
      </c>
      <c r="BP166" s="479" t="s">
        <v>70</v>
      </c>
      <c r="BQ166" s="479" t="s">
        <v>71</v>
      </c>
      <c r="BR166" s="479" t="s">
        <v>72</v>
      </c>
      <c r="BS166" s="479" t="s">
        <v>6</v>
      </c>
      <c r="BT166" s="481"/>
    </row>
    <row r="167" spans="1:72" s="301" customFormat="1" x14ac:dyDescent="0.25">
      <c r="A167" s="289">
        <v>167</v>
      </c>
      <c r="B167" s="503"/>
      <c r="C167" s="505"/>
      <c r="D167" s="368"/>
      <c r="E167" s="505"/>
      <c r="F167" s="493"/>
      <c r="G167" s="493"/>
      <c r="H167" s="480"/>
      <c r="I167" s="493"/>
      <c r="J167" s="493"/>
      <c r="K167" s="493"/>
      <c r="L167" s="480"/>
      <c r="M167" s="493"/>
      <c r="N167" s="493"/>
      <c r="O167" s="447"/>
      <c r="P167" s="480"/>
      <c r="Q167" s="493"/>
      <c r="R167" s="493"/>
      <c r="S167" s="493"/>
      <c r="T167" s="480"/>
      <c r="U167" s="493"/>
      <c r="V167" s="493"/>
      <c r="W167" s="493"/>
      <c r="X167" s="480"/>
      <c r="Y167" s="480"/>
      <c r="Z167" s="493"/>
      <c r="AA167" s="493"/>
      <c r="AB167" s="480"/>
      <c r="AC167" s="480"/>
      <c r="AD167" s="480"/>
      <c r="AE167" s="493"/>
      <c r="AF167" s="499"/>
      <c r="AG167" s="480"/>
      <c r="AH167" s="480"/>
      <c r="AI167" s="493"/>
      <c r="AJ167" s="499"/>
      <c r="AK167" s="499"/>
      <c r="AL167" s="493"/>
      <c r="AM167" s="493"/>
      <c r="AN167" s="493"/>
      <c r="AO167" s="499"/>
      <c r="AP167" s="493"/>
      <c r="AQ167" s="493"/>
      <c r="AR167" s="493"/>
      <c r="AS167" s="493"/>
      <c r="AT167" s="493"/>
      <c r="AU167" s="493"/>
      <c r="AV167" s="493"/>
      <c r="AW167" s="493"/>
      <c r="AX167" s="480"/>
      <c r="AY167" s="493"/>
      <c r="AZ167" s="493"/>
      <c r="BA167" s="499"/>
      <c r="BB167" s="499"/>
      <c r="BC167" s="499"/>
      <c r="BD167" s="499"/>
      <c r="BE167" s="499"/>
      <c r="BF167" s="493"/>
      <c r="BG167" s="493"/>
      <c r="BH167" s="493"/>
      <c r="BI167" s="493"/>
      <c r="BJ167" s="493"/>
      <c r="BK167" s="493"/>
      <c r="BL167" s="493"/>
      <c r="BM167" s="493"/>
      <c r="BN167" s="493"/>
      <c r="BO167" s="493"/>
      <c r="BP167" s="493"/>
      <c r="BQ167" s="493"/>
      <c r="BR167" s="493"/>
      <c r="BS167" s="493"/>
      <c r="BT167" s="501"/>
    </row>
    <row r="168" spans="1:72" s="301" customFormat="1" ht="8.1" customHeight="1" x14ac:dyDescent="0.25">
      <c r="A168" s="289">
        <v>168</v>
      </c>
      <c r="B168" s="369" t="s">
        <v>64</v>
      </c>
      <c r="C168" s="370"/>
      <c r="D168" s="303"/>
      <c r="E168" s="371"/>
      <c r="F168" s="303"/>
      <c r="G168" s="303"/>
      <c r="H168" s="303"/>
      <c r="I168" s="303"/>
      <c r="J168" s="303"/>
      <c r="K168" s="303"/>
      <c r="L168" s="303"/>
      <c r="M168" s="303"/>
      <c r="N168" s="303"/>
      <c r="O168" s="303"/>
      <c r="P168" s="303"/>
      <c r="Q168" s="303"/>
      <c r="R168" s="303"/>
      <c r="S168" s="303"/>
      <c r="T168" s="303"/>
      <c r="U168" s="303"/>
      <c r="V168" s="303"/>
      <c r="W168" s="303"/>
      <c r="X168" s="303"/>
      <c r="Y168" s="303"/>
      <c r="Z168" s="303"/>
      <c r="AA168" s="303"/>
      <c r="AB168" s="303"/>
      <c r="AC168" s="303"/>
      <c r="AD168" s="303"/>
      <c r="AE168" s="303"/>
      <c r="AF168" s="303"/>
      <c r="AG168" s="303"/>
      <c r="AH168" s="303"/>
      <c r="AI168" s="303"/>
      <c r="AJ168" s="303"/>
      <c r="AK168" s="303"/>
      <c r="AL168" s="303"/>
      <c r="AM168" s="303"/>
      <c r="AN168" s="303"/>
      <c r="AO168" s="303"/>
      <c r="AP168" s="303"/>
      <c r="AQ168" s="303"/>
      <c r="AR168" s="303"/>
      <c r="AS168" s="303"/>
      <c r="AT168" s="303"/>
      <c r="AU168" s="303"/>
      <c r="AV168" s="303"/>
      <c r="AW168" s="303"/>
      <c r="AX168" s="303"/>
      <c r="AY168" s="303"/>
      <c r="AZ168" s="303"/>
      <c r="BA168" s="303"/>
      <c r="BB168" s="303"/>
      <c r="BC168" s="303"/>
      <c r="BD168" s="303"/>
      <c r="BE168" s="303"/>
      <c r="BF168" s="303"/>
      <c r="BG168" s="303"/>
      <c r="BH168" s="369"/>
      <c r="BT168" s="305"/>
    </row>
    <row r="169" spans="1:72" s="301" customFormat="1" x14ac:dyDescent="0.25">
      <c r="A169" s="289">
        <v>169</v>
      </c>
      <c r="B169" s="364" t="s">
        <v>12</v>
      </c>
      <c r="C169" s="365">
        <f ca="1">OFFSET($E$7,$A169-$A$7,1,1,1)-OFFSET($E$7,$A169-$A$7,2,1,1)</f>
        <v>-8.2004297716048447E-4</v>
      </c>
      <c r="D169" s="291"/>
      <c r="E169" s="286">
        <f ca="1">OFFSET($E$7,$A169-$A$7,1,1,1)-OFFSET($E$7,$A169-$A$7,5,1,1)</f>
        <v>-8.3580646553114979E-3</v>
      </c>
      <c r="F169" s="251">
        <v>6.3972121718677222E-2</v>
      </c>
      <c r="G169" s="251">
        <v>6.4792164695837706E-2</v>
      </c>
      <c r="H169" s="251">
        <v>6.3722231859093939E-2</v>
      </c>
      <c r="I169" s="251">
        <v>6.6189718597819719E-2</v>
      </c>
      <c r="J169" s="251">
        <v>7.233018637398872E-2</v>
      </c>
      <c r="K169" s="251">
        <v>7.631658359504738E-2</v>
      </c>
      <c r="L169" s="251">
        <v>7.36003517684133E-2</v>
      </c>
      <c r="M169" s="251">
        <v>6.8763509680104626E-2</v>
      </c>
      <c r="N169" s="251">
        <v>6.8949364108668171E-2</v>
      </c>
      <c r="O169" s="251">
        <v>6.9295130393284735E-2</v>
      </c>
      <c r="P169" s="251">
        <v>6.7252628980628087E-2</v>
      </c>
      <c r="Q169" s="251">
        <v>5.7633088404655607E-2</v>
      </c>
      <c r="R169" s="251">
        <v>5.4576437730675609E-2</v>
      </c>
      <c r="S169" s="251">
        <v>5.6125913319225174E-2</v>
      </c>
      <c r="T169" s="402"/>
      <c r="U169" s="402"/>
      <c r="V169" s="402"/>
      <c r="W169" s="402"/>
      <c r="X169" s="251">
        <v>4.2157110454927794E-2</v>
      </c>
      <c r="Y169" s="251">
        <v>3.8828469854305353E-2</v>
      </c>
      <c r="Z169" s="251">
        <v>3.8056415117052295E-2</v>
      </c>
      <c r="AA169" s="251">
        <v>3.8534518789598189E-2</v>
      </c>
      <c r="AB169" s="251">
        <v>4.2200000000000001E-2</v>
      </c>
      <c r="AC169" s="251">
        <v>3.7400000000000003E-2</v>
      </c>
      <c r="AD169" s="251">
        <v>3.9899999999999998E-2</v>
      </c>
      <c r="AE169" s="251">
        <v>4.0538711410975439E-2</v>
      </c>
      <c r="AF169" s="251">
        <v>4.1531165572022521E-2</v>
      </c>
      <c r="AG169" s="251">
        <v>3.9487000000000001E-2</v>
      </c>
      <c r="AH169" s="251">
        <v>3.543571024231814E-2</v>
      </c>
      <c r="AI169" s="251">
        <v>3.8176583175730756E-2</v>
      </c>
      <c r="AJ169" s="251">
        <v>4.0537372341958276E-2</v>
      </c>
      <c r="AK169" s="251">
        <v>3.8354448530376874E-2</v>
      </c>
      <c r="AL169" s="251">
        <v>3.6900000000000002E-2</v>
      </c>
      <c r="AM169" s="251">
        <v>3.5799999999999998E-2</v>
      </c>
      <c r="AN169" s="251">
        <v>4.1099999999999998E-2</v>
      </c>
      <c r="AO169" s="251">
        <v>3.8300000000000001E-2</v>
      </c>
      <c r="AP169" s="251">
        <v>3.3599999999999998E-2</v>
      </c>
      <c r="AQ169" s="251">
        <v>3.3399999999999999E-2</v>
      </c>
      <c r="AR169" s="251">
        <v>4.3200000000000002E-2</v>
      </c>
      <c r="AS169" s="251">
        <v>4.1700000000000001E-2</v>
      </c>
      <c r="AT169" s="251">
        <v>3.8800000000000001E-2</v>
      </c>
      <c r="AU169" s="251">
        <v>3.6600000000000001E-2</v>
      </c>
      <c r="AV169" s="251">
        <v>3.9E-2</v>
      </c>
      <c r="AW169" s="251">
        <v>3.2300000000000002E-2</v>
      </c>
      <c r="AX169" s="251">
        <v>3.3399999999999999E-2</v>
      </c>
      <c r="AY169" s="251">
        <v>3.4599999999999999E-2</v>
      </c>
      <c r="AZ169" s="251">
        <v>4.9099999999999998E-2</v>
      </c>
      <c r="BA169" s="251">
        <v>4.2500000000000003E-2</v>
      </c>
      <c r="BB169" s="251">
        <v>4.2599999999999999E-2</v>
      </c>
      <c r="BC169" s="251">
        <v>4.1000000000000002E-2</v>
      </c>
      <c r="BD169" s="251">
        <v>0.04</v>
      </c>
      <c r="BE169" s="251">
        <v>3.7199999999999997E-2</v>
      </c>
      <c r="BF169" s="251">
        <v>3.6299999999999999E-2</v>
      </c>
      <c r="BG169" s="251">
        <v>3.5900000000000001E-2</v>
      </c>
      <c r="BH169" s="251">
        <v>0.04</v>
      </c>
      <c r="BI169" s="251">
        <v>3.7499999999999999E-2</v>
      </c>
      <c r="BJ169" s="251">
        <v>3.8199999999999998E-2</v>
      </c>
      <c r="BK169" s="251">
        <v>3.7499999999999999E-2</v>
      </c>
      <c r="BL169" s="251">
        <v>4.3799999999999999E-2</v>
      </c>
      <c r="BM169" s="251">
        <v>4.9799999999999997E-2</v>
      </c>
      <c r="BN169" s="251">
        <v>5.21E-2</v>
      </c>
      <c r="BO169" s="251">
        <f>BO160</f>
        <v>0.05</v>
      </c>
      <c r="BP169" s="251">
        <v>4.6699999999999998E-2</v>
      </c>
      <c r="BQ169" s="251">
        <v>5.0900000000000001E-2</v>
      </c>
      <c r="BR169" s="251">
        <v>5.3800000000000001E-2</v>
      </c>
      <c r="BS169" s="251">
        <f>BS160</f>
        <v>5.57E-2</v>
      </c>
    </row>
    <row r="170" spans="1:72" x14ac:dyDescent="0.25">
      <c r="A170" s="74">
        <v>170</v>
      </c>
      <c r="B170" s="12" t="s">
        <v>13</v>
      </c>
      <c r="C170" s="93">
        <f ca="1">OFFSET($E$7,$A170-$A$7,1,1,1)-OFFSET($E$7,$A170-$A$7,2,1,1)</f>
        <v>6.9759129903704475E-2</v>
      </c>
      <c r="D170" s="88"/>
      <c r="E170" s="94">
        <f ca="1">OFFSET($E$7,$A170-$A$7,1,1,1)-OFFSET($E$7,$A170-$A$7,5,1,1)</f>
        <v>0.11750519708339058</v>
      </c>
      <c r="F170" s="251">
        <f t="shared" ref="F170" si="315">-F150/(F149)</f>
        <v>0.37747524752475248</v>
      </c>
      <c r="G170" s="251">
        <f t="shared" ref="G170" si="316">-G150/(G149)</f>
        <v>0.307716117621048</v>
      </c>
      <c r="H170" s="251">
        <f t="shared" ref="H170" si="317">-H150/(H149)</f>
        <v>0.45037820857272765</v>
      </c>
      <c r="I170" s="251">
        <f t="shared" ref="I170" si="318">-I150/(I149)</f>
        <v>0.2977851376526599</v>
      </c>
      <c r="J170" s="251">
        <f t="shared" ref="J170" si="319">-J150/(J149)</f>
        <v>0.2599700504413619</v>
      </c>
      <c r="K170" s="251">
        <f t="shared" ref="K170" si="320">-K150/(K149)</f>
        <v>0.22512408414086504</v>
      </c>
      <c r="L170" s="251">
        <f t="shared" ref="L170:AD170" si="321">-L150/(L149)</f>
        <v>0.3036438796601087</v>
      </c>
      <c r="M170" s="251">
        <f t="shared" si="321"/>
        <v>0.27727753117734094</v>
      </c>
      <c r="N170" s="251">
        <f t="shared" si="321"/>
        <v>0.24559827524254402</v>
      </c>
      <c r="O170" s="139">
        <f t="shared" si="321"/>
        <v>0.26776911356099309</v>
      </c>
      <c r="P170" s="139">
        <f t="shared" si="321"/>
        <v>0.25933670492122157</v>
      </c>
      <c r="Q170" s="139">
        <f t="shared" si="321"/>
        <v>0.36307745345897496</v>
      </c>
      <c r="R170" s="139">
        <f t="shared" si="321"/>
        <v>0.37610731460389774</v>
      </c>
      <c r="S170" s="139">
        <f t="shared" si="321"/>
        <v>0.2891323147881234</v>
      </c>
      <c r="T170" s="402"/>
      <c r="U170" s="402"/>
      <c r="V170" s="402"/>
      <c r="W170" s="402"/>
      <c r="X170" s="139">
        <f t="shared" si="321"/>
        <v>0.38528075062307582</v>
      </c>
      <c r="Y170" s="139">
        <f t="shared" si="321"/>
        <v>0.34669876840448188</v>
      </c>
      <c r="Z170" s="139">
        <f t="shared" si="321"/>
        <v>0.33147189441341018</v>
      </c>
      <c r="AA170" s="139">
        <f t="shared" si="321"/>
        <v>0.45567702132265397</v>
      </c>
      <c r="AB170" s="139">
        <f t="shared" si="321"/>
        <v>0.38191201130085589</v>
      </c>
      <c r="AC170" s="139">
        <f t="shared" si="321"/>
        <v>0.3644491048788393</v>
      </c>
      <c r="AD170" s="139">
        <f t="shared" si="321"/>
        <v>0.40801877430422551</v>
      </c>
      <c r="AE170" s="139">
        <f t="shared" ref="AE170:AJ170" si="322">-AE150/(AE149)</f>
        <v>0.50242630291773838</v>
      </c>
      <c r="AF170" s="139">
        <f t="shared" si="322"/>
        <v>0.42854196076842493</v>
      </c>
      <c r="AG170" s="139">
        <f t="shared" si="322"/>
        <v>0.43843212638481155</v>
      </c>
      <c r="AH170" s="139">
        <f t="shared" si="322"/>
        <v>0.42607096190773136</v>
      </c>
      <c r="AI170" s="139">
        <f t="shared" si="322"/>
        <v>0.47975213092272506</v>
      </c>
      <c r="AJ170" s="139">
        <f t="shared" si="322"/>
        <v>0.33968377320887327</v>
      </c>
      <c r="AK170" s="139">
        <f>-AK150/(AK149)</f>
        <v>0.40287542605678806</v>
      </c>
      <c r="AL170" s="139">
        <f>-AL150/(AL149)</f>
        <v>0.45007493464748694</v>
      </c>
      <c r="AM170" s="139">
        <f>-AM150/(AM149)</f>
        <v>0.35573001064369641</v>
      </c>
      <c r="AN170" s="139">
        <f>-AN150/(AN149)</f>
        <v>0.33730251805928896</v>
      </c>
      <c r="AO170" s="139">
        <f t="shared" ref="AO170:BS170" si="323">-AO150/(AO100-AO74-AO82-AO83-AO84-AO87-AO88-AO90-AO91-AO92-AO93-AO94-AO95-AO96)</f>
        <v>0.3627639927244849</v>
      </c>
      <c r="AP170" s="139">
        <f t="shared" si="323"/>
        <v>0.33540031261724212</v>
      </c>
      <c r="AQ170" s="139">
        <f t="shared" si="323"/>
        <v>0.33628684491850119</v>
      </c>
      <c r="AR170" s="139">
        <f t="shared" si="323"/>
        <v>0.3997061360227282</v>
      </c>
      <c r="AS170" s="139">
        <f t="shared" si="323"/>
        <v>0.33243536709089699</v>
      </c>
      <c r="AT170" s="139">
        <f t="shared" si="323"/>
        <v>0.33866444257066397</v>
      </c>
      <c r="AU170" s="139">
        <f t="shared" si="323"/>
        <v>0.33127891882239008</v>
      </c>
      <c r="AV170" s="139">
        <f t="shared" si="323"/>
        <v>0.35439475518419566</v>
      </c>
      <c r="AW170" s="139">
        <f t="shared" si="323"/>
        <v>0.29038475263882785</v>
      </c>
      <c r="AX170" s="139">
        <f t="shared" si="323"/>
        <v>0.33844746721171137</v>
      </c>
      <c r="AY170" s="139">
        <f t="shared" si="323"/>
        <v>0.33923469686622493</v>
      </c>
      <c r="AZ170" s="139">
        <f t="shared" si="323"/>
        <v>0.35322029991788978</v>
      </c>
      <c r="BA170" s="139">
        <f t="shared" si="323"/>
        <v>0.3579936649141538</v>
      </c>
      <c r="BB170" s="139">
        <f t="shared" si="323"/>
        <v>0.38598440905928438</v>
      </c>
      <c r="BC170" s="139">
        <f t="shared" si="323"/>
        <v>0.32231972300077322</v>
      </c>
      <c r="BD170" s="139">
        <f t="shared" si="323"/>
        <v>0.35473704947725493</v>
      </c>
      <c r="BE170" s="139">
        <f t="shared" si="323"/>
        <v>0.3539466022887075</v>
      </c>
      <c r="BF170" s="139">
        <f t="shared" si="323"/>
        <v>0.35536234435920006</v>
      </c>
      <c r="BG170" s="139">
        <f t="shared" si="323"/>
        <v>0.32019711875917323</v>
      </c>
      <c r="BH170" s="139">
        <f t="shared" si="323"/>
        <v>0.43030841815838078</v>
      </c>
      <c r="BI170" s="139">
        <f t="shared" si="323"/>
        <v>0.35753011060368783</v>
      </c>
      <c r="BJ170" s="139">
        <f t="shared" si="323"/>
        <v>0.38926137511163172</v>
      </c>
      <c r="BK170" s="139">
        <f t="shared" si="323"/>
        <v>0.35965576023606888</v>
      </c>
      <c r="BL170" s="139">
        <f t="shared" si="323"/>
        <v>0.39698984570567625</v>
      </c>
      <c r="BM170" s="139">
        <f t="shared" si="323"/>
        <v>0.3463837797686885</v>
      </c>
      <c r="BN170" s="139">
        <f t="shared" si="323"/>
        <v>0.30639410147161034</v>
      </c>
      <c r="BO170" s="139">
        <f t="shared" si="323"/>
        <v>0.22286186831335897</v>
      </c>
      <c r="BP170" s="139">
        <f t="shared" si="323"/>
        <v>0.30076223891841347</v>
      </c>
      <c r="BQ170" s="139">
        <f t="shared" si="323"/>
        <v>0.3149918434295782</v>
      </c>
      <c r="BR170" s="139">
        <f t="shared" si="323"/>
        <v>0.2372240204979052</v>
      </c>
      <c r="BS170" s="139">
        <f t="shared" si="323"/>
        <v>0.1594778732558762</v>
      </c>
    </row>
    <row r="171" spans="1:72" x14ac:dyDescent="0.25">
      <c r="A171" s="74">
        <v>171</v>
      </c>
      <c r="B171" s="12" t="s">
        <v>190</v>
      </c>
      <c r="C171" s="93">
        <f ca="1">OFFSET($E$7,$A171-$A$7,1,1,1)-OFFSET($E$7,$A171-$A$7,2,1,1)</f>
        <v>-1.6428039692401166E-2</v>
      </c>
      <c r="D171" s="88"/>
      <c r="E171" s="94">
        <f ca="1">OFFSET($E$7,$A171-$A$7,1,1,1)-OFFSET($E$7,$A171-$A$7,5,1,1)</f>
        <v>-1.4184936593024944E-2</v>
      </c>
      <c r="F171" s="139">
        <f>F153/(('Assets and Liabili-s structure'!F29+'Assets and Liabili-s structure'!G29)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1.6366733719592862E-2</v>
      </c>
      <c r="G171" s="251">
        <f>G153/(('Assets and Liabili-s structure'!G29+'Assets and Liabili-s structure'!H29)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3.2794773411994028E-2</v>
      </c>
      <c r="H171" s="139">
        <f>H153/(('Assets and Liabili-s structure'!H29+'Assets and Liabili-s structure'!I29)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1.322517480468488E-2</v>
      </c>
      <c r="I171" s="139">
        <f>I153/(('Assets and Liabili-s structure'!I29+'Assets and Liabili-s structure'!J29)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2.6681962291258469E-2</v>
      </c>
      <c r="J171" s="139">
        <f>J153/(('Assets and Liabili-s structure'!J29+'Assets and Liabili-s structure'!K29)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3.0551670312617806E-2</v>
      </c>
      <c r="K171" s="139">
        <f>K153/(('Assets and Liabili-s structure'!K29+'Assets and Liabili-s structure'!L29)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5.5219213952525367E-2</v>
      </c>
      <c r="L171" s="139">
        <f>L153/(('Assets and Liabili-s structure'!L29+'Assets and Liabili-s structure'!M29)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4.83161368181972E-2</v>
      </c>
      <c r="M171" s="139">
        <f>M153/(('Assets and Liabili-s structure'!M29+'Assets and Liabili-s structure'!N29)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4.9951953384935535E-2</v>
      </c>
      <c r="N171" s="139">
        <f>N153/(('Assets and Liabili-s structure'!N29+'Assets and Liabili-s structure'!O29)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4.3496820752719205E-2</v>
      </c>
      <c r="O171" s="139">
        <f>O153/(('Assets and Liabili-s structure'!O29+'Assets and Liabili-s structure'!P29)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5.0599473238047421E-2</v>
      </c>
      <c r="P171" s="139">
        <f>P153/(('Assets and Liabili-s structure'!P29+'Assets and Liabili-s structure'!Q29)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4.0923319437636323E-2</v>
      </c>
      <c r="Q171" s="139">
        <f>Q153/(('Assets and Liabili-s structure'!Q29+'Assets and Liabili-s structure'!R29)/2)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3.7019191886432934E-2</v>
      </c>
      <c r="R171" s="139">
        <f>R153/(('Assets and Liabili-s structure'!R29+'Assets and Liabili-s structure'!S29)/2)/((IF(LEFT(R166,2)="1Q",DATE(RIGHT(R166,4),3,31)-DATE(RIGHT(R166,4)-1,12,31),IF(LEFT(R166,2)="2Q",DATE(RIGHT(R166,4),6,30)-DATE(RIGHT(R166,4),3,31),IF(LEFT(R166,2)="3Q",DATE(RIGHT(R166,4),9,30)-DATE(RIGHT(R166,4),6,30),DATE(RIGHT(R166,4),12,31)-DATE(RIGHT(R166,4),9,30)))))/(DATE(RIGHT(R166,4),12,31)-DATE(RIGHT(R166,4)-1,12,31)))</f>
        <v>6.4886084434271143E-2</v>
      </c>
      <c r="S171" s="139">
        <f>S153/(('Assets and Liabili-s structure'!S29+'Assets and Liabili-s structure'!T29)/2)/((IF(LEFT(S166,2)="1Q",DATE(RIGHT(S166,4),3,31)-DATE(RIGHT(S166,4)-1,12,31),IF(LEFT(S166,2)="2Q",DATE(RIGHT(S166,4),6,30)-DATE(RIGHT(S166,4),3,31),IF(LEFT(S166,2)="3Q",DATE(RIGHT(S166,4),9,30)-DATE(RIGHT(S166,4),6,30),DATE(RIGHT(S166,4),12,31)-DATE(RIGHT(S166,4),9,30)))))/(DATE(RIGHT(S166,4),12,31)-DATE(RIGHT(S166,4)-1,12,31)))</f>
        <v>7.0759323576896849E-2</v>
      </c>
      <c r="T171" s="402"/>
      <c r="U171" s="402"/>
      <c r="V171" s="402"/>
      <c r="W171" s="402"/>
      <c r="X171" s="139">
        <f>X153/(('Assets and Liabili-s structure'!X29+'Assets and Liabili-s structure'!Y29)/2)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3.3800651712918919E-2</v>
      </c>
      <c r="Y171" s="139">
        <f>Y153/(('Assets and Liabili-s structure'!Y29+'Assets and Liabili-s structure'!Z29)/2)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2.1758718778984172E-2</v>
      </c>
      <c r="Z171" s="139">
        <f>Z153/(('Assets and Liabili-s structure'!Z29+'Assets and Liabili-s structure'!AA29)/2)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2.6631299631305227E-2</v>
      </c>
      <c r="AA171" s="139">
        <f>AA153/(('Assets and Liabili-s structure'!AA29+'Assets and Liabili-s structure'!AB29)/2)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1.3283230873773111E-2</v>
      </c>
      <c r="AB171" s="139">
        <f>AB153/(('Assets and Liabili-s structure'!AB29+'Assets and Liabili-s structure'!AC29)/2)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2.4557626052228776E-2</v>
      </c>
      <c r="AC171" s="139">
        <f>AC153/(('Assets and Liabili-s structure'!AC29+'Assets and Liabili-s structure'!AD29)/2)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1.5718599285745403E-2</v>
      </c>
      <c r="AD171" s="139">
        <f>AD153/(('Assets and Liabili-s structure'!AD29+'Assets and Liabili-s structure'!AE29)/2)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1.2108600176601949E-2</v>
      </c>
      <c r="AE171" s="139">
        <f>AE153/(('Assets and Liabili-s structure'!AE29+'Assets and Liabili-s structure'!AF29)/2)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9.4753657391389978E-3</v>
      </c>
      <c r="AF171" s="139">
        <f>AF153/(('Assets and Liabili-s structure'!AF29+'Assets and Liabili-s structure'!AG29)/2)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1.4345464513510778E-2</v>
      </c>
      <c r="AG171" s="139">
        <f>AG153/(('Assets and Liabili-s structure'!AG29+'Assets and Liabili-s structure'!AH29)/2)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1.2265642331814357E-2</v>
      </c>
      <c r="AH171" s="139">
        <f>AH153/(('Assets and Liabili-s structure'!AH29+'Assets and Liabili-s structure'!AI29)/2)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1.3427388344864561E-2</v>
      </c>
      <c r="AI171" s="139">
        <f>AI153/(('Assets and Liabili-s structure'!AI29+'Assets and Liabili-s structure'!AJ29)/2)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7.8502075087644538E-3</v>
      </c>
      <c r="AJ171" s="139">
        <f>AJ153/(('Assets and Liabili-s structure'!AJ29+'Assets and Liabili-s structure'!AK29)/2)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1.588234936080158E-2</v>
      </c>
      <c r="AK171" s="139">
        <f>AK153/(('Assets and Liabili-s structure'!AK29+'Assets and Liabili-s structure'!AL29)/2)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1.3594818729466697E-2</v>
      </c>
      <c r="AL171" s="139">
        <f>AL153/(('Assets and Liabili-s structure'!AL29+'Assets and Liabili-s structure'!AM29)/2)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1.693096435553405E-2</v>
      </c>
      <c r="AM171" s="139">
        <f>AM153/(('Assets and Liabili-s structure'!AM29+'Assets and Liabili-s structure'!AN29)/2)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1.4749574595419684E-2</v>
      </c>
      <c r="AN171" s="139">
        <f>AN153/(('Assets and Liabili-s structure'!AN29+'Assets and Liabili-s structure'!AO29)/2)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1.4252294296160529E-2</v>
      </c>
      <c r="AO171" s="139">
        <f>AO153/(('Assets and Liabili-s structure'!AO29+'Assets and Liabili-s structure'!AP29)/2)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1.491764475594185E-2</v>
      </c>
      <c r="AP171" s="139">
        <f>AP153/(('Assets and Liabili-s structure'!AP29+'Assets and Liabili-s structure'!AQ29)/2)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1.5480485920691765E-2</v>
      </c>
      <c r="AQ171" s="139">
        <f>AQ153/(('Assets and Liabili-s structure'!AQ29+'Assets and Liabili-s structure'!AR29)/2)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1.1973003430651902E-2</v>
      </c>
      <c r="AR171" s="139">
        <f>AR153/(('Assets and Liabili-s structure'!AR29+'Assets and Liabili-s structure'!AS29)/2)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1.0043993949053883E-2</v>
      </c>
      <c r="AS171" s="139">
        <f>AS153/(('Assets and Liabili-s structure'!AS29+'Assets and Liabili-s structure'!AT29)/2)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9.337916521999572E-3</v>
      </c>
      <c r="AT171" s="139">
        <f>AT153/(('Assets and Liabili-s structure'!AT29+'Assets and Liabili-s structure'!AU29)/2)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7.4414471182335821E-3</v>
      </c>
      <c r="AU171" s="139">
        <f>AU153/(('Assets and Liabili-s structure'!AU29+'Assets and Liabili-s structure'!AV29)/2)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8.4359855978434987E-3</v>
      </c>
      <c r="AV171" s="139">
        <f>AV153/(('Assets and Liabili-s structure'!AV29+'Assets and Liabili-s structure'!AW29)/2)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8.5031016227899731E-3</v>
      </c>
      <c r="AW171" s="139">
        <f>AW153/(('Assets and Liabili-s structure'!AW29+'Assets and Liabili-s structure'!AX29)/2)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1.0758250234819546E-2</v>
      </c>
      <c r="AX171" s="139">
        <f>AX153/(('Assets and Liabili-s structure'!AX29+'Assets and Liabili-s structure'!AY29)/2)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7.8600343904440383E-3</v>
      </c>
      <c r="AY171" s="139">
        <f>AY153/(('Assets and Liabili-s structure'!AY29+'Assets and Liabili-s structure'!AZ29)/2)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6.7115737358507148E-3</v>
      </c>
      <c r="AZ171" s="139">
        <f>AZ153/(('Assets and Liabili-s structure'!AZ29+'Assets and Liabili-s structure'!BA29)/2)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8.7378833214772408E-3</v>
      </c>
      <c r="BA171" s="139">
        <f>BA153/(('Assets and Liabili-s structure'!BA29+'Assets and Liabili-s structure'!BB29)/2)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1.3312742638033214E-2</v>
      </c>
      <c r="BB171" s="139">
        <f>BB153/(('Assets and Liabili-s structure'!BB29+'Assets and Liabili-s structure'!BC29)/2)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1.1152378710959742E-2</v>
      </c>
      <c r="BC171" s="139">
        <f>BC153/(('Assets and Liabili-s structure'!BC29+'Assets and Liabili-s structure'!BD29)/2)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1.9473048768623987E-2</v>
      </c>
      <c r="BD171" s="139">
        <f>BD153/(('Assets and Liabili-s structure'!BD29+'Assets and Liabili-s structure'!BE29)/2)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1.4004116718616448E-2</v>
      </c>
      <c r="BE171" s="139">
        <f>BE153/(('Assets and Liabili-s structure'!BE29+'Assets and Liabili-s structure'!BF29)/2)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1.3548359413826596E-2</v>
      </c>
      <c r="BF171" s="139">
        <f>BF153/(('Assets and Liabili-s structure'!BF29+'Assets and Liabili-s structure'!BG29)/2)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1.339027734110069E-2</v>
      </c>
      <c r="BG171" s="139">
        <f>BG153/(('Assets and Liabili-s structure'!BG29+'Assets and Liabili-s structure'!BH29)/2)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1.5501852368772714E-2</v>
      </c>
      <c r="BH171" s="139">
        <f>BH153/(('Assets and Liabili-s structure'!BH29+'Assets and Liabili-s structure'!BI29)/2)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7.582265556220426E-3</v>
      </c>
      <c r="BI171" s="139">
        <f>BI153/(('Assets and Liabili-s structure'!BI29+'Assets and Liabili-s structure'!BJ29)/2)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1.1111259411314722E-2</v>
      </c>
      <c r="BJ171" s="139">
        <f>BJ153/(('Assets and Liabili-s structure'!BJ29+'Assets and Liabili-s structure'!BK29)/2)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5.1783988000394044E-3</v>
      </c>
      <c r="BK171" s="139">
        <f>BK153/(('Assets and Liabili-s structure'!BK29+'Assets and Liabili-s structure'!BL29)/2)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5.4232732519506428E-3</v>
      </c>
      <c r="BL171" s="139">
        <f>BL153/(('Assets and Liabili-s structure'!BL29+'Assets and Liabili-s structure'!BM29)/2)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1.0568000863447183E-2</v>
      </c>
      <c r="BM171" s="139">
        <f>BM153/(('Assets and Liabili-s structure'!BM29+'Assets and Liabili-s structure'!BN29)/2)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1.3930629792869492E-2</v>
      </c>
      <c r="BN171" s="139">
        <f>BN153/(('Assets and Liabili-s structure'!BN29+'Assets and Liabili-s structure'!BO29)/2)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2.3908124997167247E-2</v>
      </c>
      <c r="BO171" s="139">
        <f>BO153/(('Assets and Liabili-s structure'!BO29+'Assets and Liabili-s structure'!BP29)/2)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3.2995452386476838E-2</v>
      </c>
      <c r="BP171" s="139">
        <f>BP153/(('Assets and Liabili-s structure'!BP29+'Assets and Liabili-s structure'!BQ29)/2)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3.0155986911619893E-2</v>
      </c>
      <c r="BQ171" s="139">
        <f>BQ153/(('Assets and Liabili-s structure'!BQ29+'Assets and Liabili-s structure'!BR29)/2)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2.1448822078782178E-2</v>
      </c>
      <c r="BR171" s="139">
        <f>BR153/(('Assets and Liabili-s structure'!BR29+'Assets and Liabili-s structure'!BS29)/2)/((IF(LEFT(BR166,2)="1Q",DATE(RIGHT(BR166,4),3,31)-DATE(RIGHT(BR166,4)-1,12,31),IF(LEFT(BR166,2)="2Q",DATE(RIGHT(BR166,4),6,30)-DATE(RIGHT(BR166,4),3,31),IF(LEFT(BR166,2)="3Q",DATE(RIGHT(BR166,4),9,30)-DATE(RIGHT(BR166,4),6,30),DATE(RIGHT(BR166,4),12,31)-DATE(RIGHT(BR166,4),9,30)))))/(DATE(RIGHT(BR166,4),12,31)-DATE(RIGHT(BR166,4)-1,12,31)))</f>
        <v>1.5632697716475585E-2</v>
      </c>
      <c r="BS171" s="139">
        <f>BS153/(('Assets and Liabili-s structure'!BS29+'Assets and Liabili-s structure'!BT29)/2)/((IF(LEFT(BS166,2)="1Q",DATE(RIGHT(BS166,4),3,31)-DATE(RIGHT(BS166,4)-1,12,31),IF(LEFT(BS166,2)="2Q",DATE(RIGHT(BS166,4),6,30)-DATE(RIGHT(BS166,4),3,31),IF(LEFT(BS166,2)="3Q",DATE(RIGHT(BS166,4),9,30)-DATE(RIGHT(BS166,4),6,30),DATE(RIGHT(BS166,4),12,31)-DATE(RIGHT(BS166,4),9,30)))))/(DATE(RIGHT(BS166,4),12,31)-DATE(RIGHT(BS166,4)-1,12,31)))</f>
        <v>8.1367666174584768E-3</v>
      </c>
    </row>
    <row r="172" spans="1:72" x14ac:dyDescent="0.25">
      <c r="A172" s="74">
        <v>172</v>
      </c>
      <c r="B172" s="12" t="s">
        <v>14</v>
      </c>
      <c r="C172" s="93">
        <f ca="1">OFFSET($E$7,$A172-$A$7,1,1,1)-OFFSET($E$7,$A172-$A$7,2,1,1)</f>
        <v>-9.8019160749117873E-2</v>
      </c>
      <c r="D172" s="88"/>
      <c r="E172" s="94">
        <f ca="1">OFFSET($E$7,$A172-$A$7,1,1,1)-OFFSET($E$7,$A172-$A$7,5,1,1)</f>
        <v>-6.9559055691451682E-2</v>
      </c>
      <c r="F172" s="177">
        <f>F153/(('Assets and Liabili-s structure'!F58+'Assets and Liabili-s structure'!G58)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0.10073576954956359</v>
      </c>
      <c r="G172" s="393">
        <f>G153/(('Assets and Liabili-s structure'!G58+'Assets and Liabili-s structure'!H58)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0.19875493029868146</v>
      </c>
      <c r="H172" s="177">
        <f>H153/(('Assets and Liabili-s structure'!H58+'Assets and Liabili-s structure'!I58)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8.0098022138164832E-2</v>
      </c>
      <c r="I172" s="177">
        <f>I153/(('Assets and Liabili-s structure'!I58+'Assets and Liabili-s structure'!J58)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0.16003208351841577</v>
      </c>
      <c r="J172" s="177">
        <f>J153/(('Assets and Liabili-s structure'!J58+'Assets and Liabili-s structure'!K58)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0.17029482524101527</v>
      </c>
      <c r="K172" s="177">
        <f>K153/(('Assets and Liabili-s structure'!K58+'Assets and Liabili-s structure'!L58)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0.30099307684933579</v>
      </c>
      <c r="L172" s="177">
        <f>L153/(('Assets and Liabili-s structure'!L58+'Assets and Liabili-s structure'!M58)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0.26132719242948593</v>
      </c>
      <c r="M172" s="177">
        <f>M153/(('Assets and Liabili-s structure'!M58+'Assets and Liabili-s structure'!N58)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0.27163116082854849</v>
      </c>
      <c r="N172" s="177">
        <f>N153/(('Assets and Liabili-s structure'!N58+'Assets and Liabili-s structure'!O58)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0.24231913063983096</v>
      </c>
      <c r="O172" s="177">
        <f>O153/(('Assets and Liabili-s structure'!O58+'Assets and Liabili-s structure'!P58)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0.29027721013053653</v>
      </c>
      <c r="P172" s="177">
        <f>P153/(('Assets and Liabili-s structure'!P58+'Assets and Liabili-s structure'!Q58)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0.24010212097902897</v>
      </c>
      <c r="Q172" s="177">
        <f>Q153/(('Assets and Liabili-s structure'!Q58+'Assets and Liabili-s structure'!R58)/2)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0.20253913928717418</v>
      </c>
      <c r="R172" s="177">
        <f>R153/(('Assets and Liabili-s structure'!R58+'Assets and Liabili-s structure'!S58)/2)/((IF(LEFT(R166,2)="1Q",DATE(RIGHT(R166,4),3,31)-DATE(RIGHT(R166,4)-1,12,31),IF(LEFT(R166,2)="2Q",DATE(RIGHT(R166,4),6,30)-DATE(RIGHT(R166,4),3,31),IF(LEFT(R166,2)="3Q",DATE(RIGHT(R166,4),9,30)-DATE(RIGHT(R166,4),6,30),DATE(RIGHT(R166,4),12,31)-DATE(RIGHT(R166,4),9,30)))))/(DATE(RIGHT(R166,4),12,31)-DATE(RIGHT(R166,4)-1,12,31)))</f>
        <v>0.34179496168271961</v>
      </c>
      <c r="S172" s="177">
        <f>S153/(('Assets and Liabili-s structure'!S58+'Assets and Liabili-s structure'!T58)/2)/((IF(LEFT(S166,2)="1Q",DATE(RIGHT(S166,4),3,31)-DATE(RIGHT(S166,4)-1,12,31),IF(LEFT(S166,2)="2Q",DATE(RIGHT(S166,4),6,30)-DATE(RIGHT(S166,4),3,31),IF(LEFT(S166,2)="3Q",DATE(RIGHT(S166,4),9,30)-DATE(RIGHT(S166,4),6,30),DATE(RIGHT(S166,4),12,31)-DATE(RIGHT(S166,4),9,30)))))/(DATE(RIGHT(S166,4),12,31)-DATE(RIGHT(S166,4)-1,12,31)))</f>
        <v>0.38998137296383256</v>
      </c>
      <c r="T172" s="434"/>
      <c r="U172" s="434"/>
      <c r="V172" s="434"/>
      <c r="W172" s="434"/>
      <c r="X172" s="177">
        <f>X153/(('Assets and Liabili-s structure'!X58+'Assets and Liabili-s structure'!Y58)/2)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0.26239946194824543</v>
      </c>
      <c r="Y172" s="177">
        <f>Y153/(('Assets and Liabili-s structure'!Y58+'Assets and Liabili-s structure'!Z58)/2)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0.17102156361486973</v>
      </c>
      <c r="Z172" s="177">
        <f>Z153/(('Assets and Liabili-s structure'!Z58+'Assets and Liabili-s structure'!AA58)/2)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0.21142057762952721</v>
      </c>
      <c r="AA172" s="177">
        <f>AA153/(('Assets and Liabili-s structure'!AA58+'Assets and Liabili-s structure'!AB58)/2)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0.10795009738694469</v>
      </c>
      <c r="AB172" s="177">
        <f>AB153/(('Assets and Liabili-s structure'!AB58+'Assets and Liabili-s structure'!AC58)/2)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0.20334918983317926</v>
      </c>
      <c r="AC172" s="177">
        <f>AC153/(('Assets and Liabili-s structure'!AC58+'Assets and Liabili-s structure'!AD58)/2)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0.12855288930437087</v>
      </c>
      <c r="AD172" s="177">
        <f>AD153/(('Assets and Liabili-s structure'!AD58+'Assets and Liabili-s structure'!AE58)/2)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9.8143030332304759E-2</v>
      </c>
      <c r="AE172" s="177">
        <f>AE153/(('Assets and Liabili-s structure'!AE58+'Assets and Liabili-s structure'!AF58)/2)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7.8991798038913222E-2</v>
      </c>
      <c r="AF172" s="177">
        <f>AF153/(('Assets and Liabili-s structure'!AF58+'Assets and Liabili-s structure'!AG58)/2)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0.12057315569696417</v>
      </c>
      <c r="AG172" s="177">
        <f>AG153/(('Assets and Liabili-s structure'!AG58+'Assets and Liabili-s structure'!AH58)/2)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0.10358292142516391</v>
      </c>
      <c r="AH172" s="177">
        <f>AH153/(('Assets and Liabili-s structure'!AH58+'Assets and Liabili-s structure'!AI58)/2)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0.11502538653625884</v>
      </c>
      <c r="AI172" s="177">
        <f>AI153/(('Assets and Liabili-s structure'!AI58+'Assets and Liabili-s structure'!AJ58)/2)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6.8539449037305675E-2</v>
      </c>
      <c r="AJ172" s="177">
        <f>AJ153/(('Assets and Liabili-s structure'!AJ58+'Assets and Liabili-s structure'!AK58)/2)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0.13643985416273186</v>
      </c>
      <c r="AK172" s="177">
        <f>AK153/(('Assets and Liabili-s structure'!AK58+'Assets and Liabili-s structure'!AL58)/2)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0.1130535814657674</v>
      </c>
      <c r="AL172" s="177">
        <f>AL153/(('Assets and Liabili-s structure'!AL58+'Assets and Liabili-s structure'!AM58)/2)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0.14315266373188035</v>
      </c>
      <c r="AM172" s="177">
        <f>AM153/(('Assets and Liabili-s structure'!AM58+'Assets and Liabili-s structure'!AN58)/2)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0.12619020692349037</v>
      </c>
      <c r="AN172" s="177">
        <f>AN153/(('Assets and Liabili-s structure'!AN58+'Assets and Liabili-s structure'!AO58)/2)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0.12004799860524722</v>
      </c>
      <c r="AO172" s="177">
        <f>AO153/(('Assets and Liabili-s structure'!AO58+'Assets and Liabili-s structure'!AP58)/2)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0.12683879978619414</v>
      </c>
      <c r="AP172" s="177">
        <f>AP153/(('Assets and Liabili-s structure'!AP58+'Assets and Liabili-s structure'!AQ58)/2)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0.13639149481591772</v>
      </c>
      <c r="AQ172" s="177">
        <f>AQ153/(('Assets and Liabili-s structure'!AQ58+'Assets and Liabili-s structure'!AR58)/2)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0.11021982040125128</v>
      </c>
      <c r="AR172" s="177">
        <f>AR153/(('Assets and Liabili-s structure'!AR58+'Assets and Liabili-s structure'!AS58)/2)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9.3470737190594982E-2</v>
      </c>
      <c r="AS172" s="177">
        <f>AS153/(('Assets and Liabili-s structure'!AS58+'Assets and Liabili-s structure'!AT58)/2)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8.7732550965639408E-2</v>
      </c>
      <c r="AT172" s="177">
        <f>AT153/(('Assets and Liabili-s structure'!AT58+'Assets and Liabili-s structure'!AU58)/2)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7.2232937471516684E-2</v>
      </c>
      <c r="AU172" s="177">
        <f>AU153/(('Assets and Liabili-s structure'!AU58+'Assets and Liabili-s structure'!AV58)/2)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8.2663188867368495E-2</v>
      </c>
      <c r="AV172" s="177">
        <f>AV153/(('Assets and Liabili-s structure'!AV58+'Assets and Liabili-s structure'!AW58)/2)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8.2375595673694346E-2</v>
      </c>
      <c r="AW172" s="177">
        <f>AW153/(('Assets and Liabili-s structure'!AW58+'Assets and Liabili-s structure'!AX58)/2)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0.10232216247940755</v>
      </c>
      <c r="AX172" s="177">
        <f>AX153/(('Assets and Liabili-s structure'!AX58+'Assets and Liabili-s structure'!AY58)/2)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7.6024346153529612E-2</v>
      </c>
      <c r="AY172" s="177">
        <f>AY153/(('Assets and Liabili-s structure'!AY58+'Assets and Liabili-s structure'!AZ58)/2)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6.6948566077031799E-2</v>
      </c>
      <c r="AZ172" s="177">
        <f>AZ153/(('Assets and Liabili-s structure'!AZ58+'Assets and Liabili-s structure'!BA58)/2)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8.2497467400823546E-2</v>
      </c>
      <c r="BA172" s="177">
        <f>BA153/(('Assets and Liabili-s structure'!BA58+'Assets and Liabili-s structure'!BB58)/2)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0.11627867184570899</v>
      </c>
      <c r="BB172" s="177">
        <f>BB153/(('Assets and Liabili-s structure'!BB58+'Assets and Liabili-s structure'!BC58)/2)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9.734357644168154E-2</v>
      </c>
      <c r="BC172" s="177">
        <f>BC153/(('Assets and Liabili-s structure'!BC58+'Assets and Liabili-s structure'!BD58)/2)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0.16837111354000539</v>
      </c>
      <c r="BD172" s="177">
        <f>BD153/(('Assets and Liabili-s structure'!BD58+'Assets and Liabili-s structure'!BE58)/2)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0.12149999079207549</v>
      </c>
      <c r="BE172" s="177">
        <f>BE153/(('Assets and Liabili-s structure'!BE58+'Assets and Liabili-s structure'!BF58)/2)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0.12055212244403213</v>
      </c>
      <c r="BF172" s="177">
        <f>BF153/(('Assets and Liabili-s structure'!BF58+'Assets and Liabili-s structure'!BG58)/2)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0.11731786238647539</v>
      </c>
      <c r="BG172" s="177">
        <f>BG153/(('Assets and Liabili-s structure'!BG58+'Assets and Liabili-s structure'!BH58)/2)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0.13324495865119565</v>
      </c>
      <c r="BH172" s="177">
        <f>BH153/(('Assets and Liabili-s structure'!BH58+'Assets and Liabili-s structure'!BI58)/2)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6.2956815008417669E-2</v>
      </c>
      <c r="BI172" s="177">
        <f>BI153/(('Assets and Liabili-s structure'!BI58+'Assets and Liabili-s structure'!BJ58)/2)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9.1689894011875481E-2</v>
      </c>
      <c r="BJ172" s="177">
        <f>BJ153/(('Assets and Liabili-s structure'!BJ58+'Assets and Liabili-s structure'!BK58)/2)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4.4287570635313564E-2</v>
      </c>
      <c r="BK172" s="177">
        <f>BK153/(('Assets and Liabili-s structure'!BK58+'Assets and Liabili-s structure'!BL58)/2)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4.5372246056526309E-2</v>
      </c>
      <c r="BL172" s="177">
        <f>BL153/(('Assets and Liabili-s structure'!BL58+'Assets and Liabili-s structure'!BM58)/2)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8.8228901363989115E-2</v>
      </c>
      <c r="BM172" s="177">
        <f>BM153/(('Assets and Liabili-s structure'!BM58+'Assets and Liabili-s structure'!BN58)/2)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0.12175154177710076</v>
      </c>
      <c r="BN172" s="177">
        <f>BN153/(('Assets and Liabili-s structure'!BN58+'Assets and Liabili-s structure'!BO58)/2)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0.21827815219886368</v>
      </c>
      <c r="BO172" s="177">
        <f>BO153/(('Assets and Liabili-s structure'!BO58+'Assets and Liabili-s structure'!BP58)/2)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0.30925354950918083</v>
      </c>
      <c r="BP172" s="177">
        <f>BP153/(('Assets and Liabili-s structure'!BP58+'Assets and Liabili-s structure'!BQ58)/2)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0.28350711041188764</v>
      </c>
      <c r="BQ172" s="177">
        <f>BQ153/(('Assets and Liabili-s structure'!BQ58+'Assets and Liabili-s structure'!BR58)/2)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0.19957066728342163</v>
      </c>
      <c r="BR172" s="177">
        <f>BR153/(('Assets and Liabili-s structure'!BR58+'Assets and Liabili-s structure'!BS58)/2)/((IF(LEFT(BR166,2)="1Q",DATE(RIGHT(BR166,4),3,31)-DATE(RIGHT(BR166,4)-1,12,31),IF(LEFT(BR166,2)="2Q",DATE(RIGHT(BR166,4),6,30)-DATE(RIGHT(BR166,4),3,31),IF(LEFT(BR166,2)="3Q",DATE(RIGHT(BR166,4),9,30)-DATE(RIGHT(BR166,4),6,30),DATE(RIGHT(BR166,4),12,31)-DATE(RIGHT(BR166,4),9,30)))))/(DATE(RIGHT(BR166,4),12,31)-DATE(RIGHT(BR166,4)-1,12,31)))</f>
        <v>0.14393832676182813</v>
      </c>
      <c r="BS172" s="177">
        <f>BS153/(('Assets and Liabili-s structure'!BS58+'Assets and Liabili-s structure'!BT58)/2)/((IF(LEFT(BS166,2)="1Q",DATE(RIGHT(BS166,4),3,31)-DATE(RIGHT(BS166,4)-1,12,31),IF(LEFT(BS166,2)="2Q",DATE(RIGHT(BS166,4),6,30)-DATE(RIGHT(BS166,4),3,31),IF(LEFT(BS166,2)="3Q",DATE(RIGHT(BS166,4),9,30)-DATE(RIGHT(BS166,4),6,30),DATE(RIGHT(BS166,4),12,31)-DATE(RIGHT(BS166,4),9,30)))))/(DATE(RIGHT(BS166,4),12,31)-DATE(RIGHT(BS166,4)-1,12,31)))</f>
        <v>7.4734382064823343E-2</v>
      </c>
    </row>
    <row r="173" spans="1:72" x14ac:dyDescent="0.25">
      <c r="A173" s="74">
        <v>173</v>
      </c>
      <c r="B173" s="62" t="s">
        <v>192</v>
      </c>
      <c r="C173" s="93">
        <f ca="1">OFFSET($E$7,$A173-$A$7,1,1,1)-OFFSET($E$7,$A173-$A$7,2,1,1)</f>
        <v>2.3503338321920593E-2</v>
      </c>
      <c r="D173" s="88"/>
      <c r="E173" s="94">
        <f ca="1">OFFSET($E$7,$A173-$A$7,1,1,1)-OFFSET($E$7,$A173-$A$7,5,1,1)</f>
        <v>-6.1705211702926289E-3</v>
      </c>
      <c r="F173" s="177">
        <f>(-F151)/AVERAGE('Loan Portfolio IFRS 9'!F55,'Loan Portfolio IFRS 9'!G55)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2.7916024489548923E-2</v>
      </c>
      <c r="G173" s="393">
        <f>(-G151)/AVERAGE('Loan Portfolio IFRS 9'!G55,'Loan Portfolio IFRS 9'!H55)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4.4126861676283304E-3</v>
      </c>
      <c r="H173" s="177">
        <f>(-H151)/AVERAGE('Loan Portfolio IFRS 9'!H55,'Loan Portfolio IFRS 9'!I55)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2.1415002761713969E-2</v>
      </c>
      <c r="I173" s="177">
        <f>(-I151)/AVERAGE('Loan Portfolio IFRS 9'!I55,'Loan Portfolio IFRS 9'!J55)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2.3285358155748982E-2</v>
      </c>
      <c r="J173" s="177">
        <f>(-J151)/AVERAGE('Loan Portfolio IFRS 9'!J55,'Loan Portfolio IFRS 9'!K55)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3.4086545659841552E-2</v>
      </c>
      <c r="K173" s="177">
        <f>(-K151)/AVERAGE('Loan Portfolio IFRS 9'!K55,'Loan Portfolio IFRS 9'!L55)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-2.3075646217336274E-4</v>
      </c>
      <c r="L173" s="177">
        <f>(-L151)/AVERAGE('Loan Portfolio IFRS 9'!L55,'Loan Portfolio IFRS 9'!M55)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9.7994871651882719E-3</v>
      </c>
      <c r="M173" s="177">
        <f>(-M151)/AVERAGE('Loan Portfolio IFRS 9'!M55,'Loan Portfolio IFRS 9'!N55)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6.3389696851047827E-3</v>
      </c>
      <c r="N173" s="177">
        <f>(-N151)/AVERAGE('Loan Portfolio IFRS 9'!N55,'Loan Portfolio IFRS 9'!O55)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1.6330109042881995E-2</v>
      </c>
      <c r="O173" s="177">
        <f>(-O151)/AVERAGE('Loan Portfolio IFRS 9'!O55,'Loan Portfolio IFRS 9'!P55)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1.2076970914952035E-3</v>
      </c>
      <c r="P173" s="177">
        <f>(-P151)/AVERAGE('Loan Portfolio IFRS 9'!P55,'Loan Portfolio IFRS 9'!Q55)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3.8654374455050645E-3</v>
      </c>
      <c r="Q173" s="177">
        <f>(-Q151)/AVERAGE('Loan Portfolio IFRS 9'!Q55,'Loan Portfolio IFRS 9'!R55)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2.7095355057719919E-3</v>
      </c>
      <c r="R173" s="177">
        <f>(-R151)/AVERAGE('Loan Portfolio IFRS 9'!R55,'Loan Portfolio IFRS 9'!S55)/((IF(LEFT(R166,2)="1Q",DATE(RIGHT(R166,4),3,31)-DATE(RIGHT(R166,4)-1,12,31),IF(LEFT(R166,2)="2Q",DATE(RIGHT(R166,4),6,30)-DATE(RIGHT(R166,4),3,31),IF(LEFT(R166,2)="3Q",DATE(RIGHT(R166,4),9,30)-DATE(RIGHT(R166,4),6,30),DATE(RIGHT(R166,4),12,31)-DATE(RIGHT(R166,4),9,30)))))/(DATE(RIGHT(R166,4),12,31)-DATE(RIGHT(R166,4)-1,12,31)))</f>
        <v>-3.7813048225805229E-3</v>
      </c>
      <c r="S173" s="177">
        <f>(-S151)/AVERAGE('Loan Portfolio IFRS 9'!S55,'Loan Portfolio IFRS 9'!T55)/((IF(LEFT(S166,2)="1Q",DATE(RIGHT(S166,4),3,31)-DATE(RIGHT(S166,4)-1,12,31),IF(LEFT(S166,2)="2Q",DATE(RIGHT(S166,4),6,30)-DATE(RIGHT(S166,4),3,31),IF(LEFT(S166,2)="3Q",DATE(RIGHT(S166,4),9,30)-DATE(RIGHT(S166,4),6,30),DATE(RIGHT(S166,4),12,31)-DATE(RIGHT(S166,4),9,30)))))/(DATE(RIGHT(S166,4),12,31)-DATE(RIGHT(S166,4)-1,12,31)))</f>
        <v>-2.6542526577578374E-2</v>
      </c>
      <c r="T173" s="434"/>
      <c r="U173" s="434"/>
      <c r="V173" s="434"/>
      <c r="W173" s="434"/>
      <c r="X173" s="177">
        <f>(-X151)/AVERAGE('Loan Portfolio IFRS 9'!X55,'Loan Portfolio IFRS 9'!Y55)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-3.9010024109069341E-3</v>
      </c>
      <c r="Y173" s="177">
        <f>(-Y151)/AVERAGE('Loan Portfolio IFRS 9'!Y55,'Loan Portfolio IFRS 9'!Z55)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7.0841553546855743E-3</v>
      </c>
      <c r="Z173" s="177">
        <f>(-Z151)/AVERAGE('Loan Portfolio IFRS 9'!Z55,'Loan Portfolio IFRS 9'!AA55)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1.6294933082784673E-2</v>
      </c>
      <c r="AA173" s="177">
        <f>(-AA151)/AVERAGE('Loan Portfolio IFRS 9'!AA55,'Loan Portfolio IFRS 9'!AB55)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1.8754387829805749E-2</v>
      </c>
      <c r="AB173" s="177">
        <f>(-AB151)/AVERAGE('Loan Portfolio IFRS 9'!AB55,'Loan Portfolio IFRS 9'!AC55)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1.5246327719638471E-2</v>
      </c>
      <c r="AC173" s="177">
        <f>(-AC151)/AVERAGE('Loan Portfolio IFRS 9'!AC55,'Loan Portfolio IFRS 9'!AD55)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1.790505998574083E-2</v>
      </c>
      <c r="AD173" s="177">
        <f>(-AD151)/AVERAGE('Loan Portfolio IFRS 9'!AD55,'Loan Portfolio IFRS 9'!AE55)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2.4524084503575124E-2</v>
      </c>
      <c r="AE173" s="177">
        <f>(-AE151)/AVERAGE('Loan Portfolio IFRS 9'!AE55,'Loan Portfolio IFRS 9'!AF55)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2.5168914857075467E-2</v>
      </c>
      <c r="AF173" s="177">
        <f>(-AF151)/AVERAGE('Loan Portfolio IFRS 9'!AF55,'Loan Portfolio IFRS 9'!AG55)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2.0482114378974216E-2</v>
      </c>
      <c r="AG173" s="177">
        <f>(-AG151)/AVERAGE('Loan Portfolio IFRS 9'!AG55,'Loan Portfolio IFRS 9'!AH55)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1.8599006464930561E-2</v>
      </c>
      <c r="AH173" s="177">
        <f>(-AH151)/AVERAGE('Loan Portfolio IFRS 9'!AH55,'Loan Portfolio IFRS 9'!AI55)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2.0106142759432483E-2</v>
      </c>
      <c r="AI173" s="177">
        <f>(-AI151)/AVERAGE('Loan Portfolio IFRS 9'!AI55,'Loan Portfolio IFRS 9'!AJ55)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2.4622488803916046E-2</v>
      </c>
      <c r="AJ173" s="177">
        <f>(-AJ151)/AVERAGE('Loan Portfolio IFRS 9'!AJ55,'Loan Portfolio IFRS 9'!AK55)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1.9366219024583946E-2</v>
      </c>
      <c r="AK173" s="177">
        <f>(-AK151)/AVERAGE('Loan Portfolio IFRS 9'!AK55,'Loan Portfolio IFRS 9'!AL55)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2.2023944700671143E-2</v>
      </c>
      <c r="AL173" s="177">
        <f>(-AL151)/AVERAGE('Loan Portfolio IFRS 9'!AL55,'Loan Portfolio IFRS 9'!AM55)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1.7496278899712007E-2</v>
      </c>
      <c r="AM173" s="177">
        <f>-AM151/AVERAGE('Loan Portfolio IFRS 9'!AM55,'Loan Portfolio IAS 39'!E50)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2.0277461024959496E-2</v>
      </c>
      <c r="AN173" s="177">
        <f>-AN151/AVERAGE('Loan Portfolio IAS 39'!E50,'Loan Portfolio IAS 39'!F50)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2.6431534601265488E-2</v>
      </c>
      <c r="AO173" s="177">
        <f>-AO151/AVERAGE('Loan Portfolio IAS 39'!F50,'Loan Portfolio IAS 39'!G50)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2.2648912188991475E-2</v>
      </c>
      <c r="AP173" s="177">
        <f>-AP151/AVERAGE('Loan Portfolio IAS 39'!G50,'Loan Portfolio IAS 39'!H50)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2.9092060402382949E-2</v>
      </c>
      <c r="AQ173" s="177">
        <f>-AQ151/AVERAGE('Loan Portfolio IAS 39'!H50,'Loan Portfolio IAS 39'!I50)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3.0684068539311056E-2</v>
      </c>
      <c r="AR173" s="177">
        <f>-AR151/AVERAGE('Loan Portfolio IAS 39'!I50,'Loan Portfolio IAS 39'!J50)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3.4665830003115544E-2</v>
      </c>
      <c r="AS173" s="177">
        <f>-AS151/AVERAGE('Loan Portfolio IAS 39'!J50,'Loan Portfolio IAS 39'!K50)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3.5759524347716745E-2</v>
      </c>
      <c r="AT173" s="177">
        <f>-AT151/AVERAGE('Loan Portfolio IAS 39'!K50,'Loan Portfolio IAS 39'!L50)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3.4867271850367365E-2</v>
      </c>
      <c r="AU173" s="177">
        <f>-AU151/AVERAGE('Loan Portfolio IAS 39'!L50,'Loan Portfolio IAS 39'!M50)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3.2096367330480283E-2</v>
      </c>
      <c r="AV173" s="177">
        <f>-AV151/AVERAGE('Loan Portfolio IAS 39'!M50,'Loan Portfolio IAS 39'!N50)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3.7458133420331656E-2</v>
      </c>
      <c r="AW173" s="177">
        <f>-AW151/AVERAGE('Loan Portfolio IAS 39'!N50,'Loan Portfolio IAS 39'!O50)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3.7955037003185116E-2</v>
      </c>
      <c r="AX173" s="177">
        <f>-AX151/AVERAGE('Loan Portfolio IAS 39'!O50,'Loan Portfolio IAS 39'!P50)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3.6273802880894795E-2</v>
      </c>
      <c r="AY173" s="177">
        <f>-AY151/AVERAGE('Loan Portfolio IAS 39'!P50,'Loan Portfolio IAS 39'!Q50)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3.040671721980049E-2</v>
      </c>
      <c r="AZ173" s="177">
        <f>-AZ151/AVERAGE('Loan Portfolio IAS 39'!Q50,'Loan Portfolio IAS 39'!R50)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3.5735491082230932E-2</v>
      </c>
      <c r="BA173" s="177">
        <f>-BA151/AVERAGE('Loan Portfolio IAS 39'!R50,'Loan Portfolio IAS 39'!S50)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2.1584472457226202E-2</v>
      </c>
      <c r="BB173" s="177">
        <f>-BB151/AVERAGE('Loan Portfolio IAS 39'!S50,'Loan Portfolio IAS 39'!T50)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2.1656455821295769E-2</v>
      </c>
      <c r="BC173" s="177">
        <f>-BC151/AVERAGE('Loan Portfolio IAS 39'!T50,'Loan Portfolio IAS 39'!U50)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1.7360313750256609E-2</v>
      </c>
      <c r="BD173" s="177">
        <f>-BD151/AVERAGE('Loan Portfolio IAS 39'!U50,'Loan Portfolio IAS 39'!V50)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1.6398211335865456E-2</v>
      </c>
      <c r="BE173" s="177">
        <f>-BE151/AVERAGE('Loan Portfolio IAS 39'!V50,'Loan Portfolio IAS 39'!W50)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1.578787601471238E-2</v>
      </c>
      <c r="BF173" s="177">
        <f>-BF151/AVERAGE('Loan Portfolio IAS 39'!W50,'Loan Portfolio IAS 39'!X50)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1.7496889910134129E-2</v>
      </c>
      <c r="BG173" s="177">
        <f>-BG151/AVERAGE('Loan Portfolio IAS 39'!X50,'Loan Portfolio IAS 39'!Y50)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1.7587944564971279E-2</v>
      </c>
      <c r="BH173" s="177">
        <f>-BH151/AVERAGE('Loan Portfolio IAS 39'!Y50,'Loan Portfolio IAS 39'!Z50)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2.3713745060892941E-2</v>
      </c>
      <c r="BI173" s="177">
        <f>-BI151/AVERAGE('Loan Portfolio IAS 39'!Z50,'Loan Portfolio IAS 39'!AA50)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2.6127581242605554E-2</v>
      </c>
      <c r="BJ173" s="177">
        <f>-BJ151/AVERAGE('Loan Portfolio IAS 39'!AA50,'Loan Portfolio IAS 39'!AB50)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2.6007065187741301E-2</v>
      </c>
      <c r="BK173" s="177">
        <f>-BK151/AVERAGE('Loan Portfolio IAS 39'!AB50,'Loan Portfolio IAS 39'!AC50)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3.0688292132288943E-2</v>
      </c>
      <c r="BL173" s="177">
        <f>-BL151/AVERAGE('Loan Portfolio IAS 39'!AC50,'Loan Portfolio IAS 39'!AD50)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3.0762266290399645E-2</v>
      </c>
      <c r="BM173" s="177">
        <f>-BM151/AVERAGE('Loan Portfolio IAS 39'!AD50,'Loan Portfolio IAS 39'!AE50)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1.2791838277678115E-2</v>
      </c>
      <c r="BN173" s="177">
        <f>-BN151/AVERAGE('Loan Portfolio IAS 39'!AE50,'Loan Portfolio IAS 39'!AF50)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5.4550264859602208E-3</v>
      </c>
      <c r="BO173" s="177">
        <f>-BO151/AVERAGE('Loan Portfolio IAS 39'!AF50,'Loan Portfolio IAS 39'!AG50)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1.3153770158507692E-2</v>
      </c>
      <c r="BP173" s="177">
        <f>-BP151/AVERAGE('Loan Portfolio IAS 39'!AG50,'Loan Portfolio IAS 39'!AH50)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9.4938688376168263E-4</v>
      </c>
      <c r="BQ173" s="177">
        <f>-BQ151/AVERAGE('Loan Portfolio IAS 39'!AH50,'Loan Portfolio IAS 39'!AI50)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2.1187845854994881E-2</v>
      </c>
      <c r="BR173" s="177">
        <f>-BR151/AVERAGE('Loan Portfolio IAS 39'!AI50,'Loan Portfolio IAS 39'!AJ50)/((IF(LEFT(BR166,2)="1Q",DATE(RIGHT(BR166,4),3,31)-DATE(RIGHT(BR166,4)-1,12,31),IF(LEFT(BR166,2)="2Q",DATE(RIGHT(BR166,4),6,30)-DATE(RIGHT(BR166,4),3,31),IF(LEFT(BR166,2)="3Q",DATE(RIGHT(BR166,4),9,30)-DATE(RIGHT(BR166,4),6,30),DATE(RIGHT(BR166,4),12,31)-DATE(RIGHT(BR166,4),9,30)))))/(DATE(RIGHT(BR166,4),12,31)-DATE(RIGHT(BR166,4)-1,12,31)))</f>
        <v>2.6877821948357992E-2</v>
      </c>
      <c r="BS173" s="177">
        <f>-BS151/AVERAGE('Loan Portfolio IAS 39'!AJ50,'Loan Portfolio IAS 39'!AK50)/((IF(LEFT(BS166,2)="1Q",DATE(RIGHT(BS166,4),3,31)-DATE(RIGHT(BS166,4)-1,12,31),IF(LEFT(BS166,2)="2Q",DATE(RIGHT(BS166,4),6,30)-DATE(RIGHT(BS166,4),3,31),IF(LEFT(BS166,2)="3Q",DATE(RIGHT(BS166,4),9,30)-DATE(RIGHT(BS166,4),6,30),DATE(RIGHT(BS166,4),12,31)-DATE(RIGHT(BS166,4),9,30)))))/(DATE(RIGHT(BS166,4),12,31)-DATE(RIGHT(BS166,4)-1,12,31)))</f>
        <v>6.3897009235987928E-2</v>
      </c>
    </row>
    <row r="174" spans="1:72" x14ac:dyDescent="0.25">
      <c r="A174" s="74">
        <v>174</v>
      </c>
      <c r="B174" s="62"/>
      <c r="C174" s="62"/>
      <c r="D174" s="62"/>
      <c r="E174" s="62"/>
      <c r="F174" s="62"/>
      <c r="G174" s="366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</row>
    <row r="175" spans="1:72" x14ac:dyDescent="0.25">
      <c r="A175" s="74">
        <v>175</v>
      </c>
      <c r="B175" s="62"/>
      <c r="C175" s="62"/>
      <c r="D175" s="62"/>
      <c r="E175" s="62"/>
      <c r="F175" s="62"/>
      <c r="G175" s="366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265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</row>
    <row r="176" spans="1:72" x14ac:dyDescent="0.25">
      <c r="A176" s="74">
        <v>176</v>
      </c>
      <c r="B176" s="453" t="s">
        <v>389</v>
      </c>
      <c r="C176" s="470"/>
      <c r="D176" s="222"/>
      <c r="E176" s="468" t="s">
        <v>202</v>
      </c>
      <c r="F176" s="446" t="s">
        <v>474</v>
      </c>
      <c r="G176" s="479" t="s">
        <v>472</v>
      </c>
      <c r="H176" s="446" t="s">
        <v>470</v>
      </c>
      <c r="I176" s="446" t="s">
        <v>467</v>
      </c>
      <c r="J176" s="446" t="s">
        <v>465</v>
      </c>
      <c r="K176" s="446" t="s">
        <v>462</v>
      </c>
      <c r="L176" s="446" t="s">
        <v>458</v>
      </c>
      <c r="M176" s="446" t="s">
        <v>456</v>
      </c>
      <c r="N176" s="446" t="s">
        <v>453</v>
      </c>
      <c r="O176" s="446" t="s">
        <v>452</v>
      </c>
      <c r="P176" s="446" t="s">
        <v>450</v>
      </c>
      <c r="Q176" s="446" t="s">
        <v>448</v>
      </c>
      <c r="R176" s="446" t="s">
        <v>446</v>
      </c>
      <c r="S176" s="446" t="s">
        <v>438</v>
      </c>
      <c r="T176" s="446" t="s">
        <v>436</v>
      </c>
      <c r="U176" s="446" t="s">
        <v>433</v>
      </c>
      <c r="V176" s="446" t="s">
        <v>431</v>
      </c>
      <c r="W176" s="446" t="s">
        <v>429</v>
      </c>
      <c r="X176" s="446" t="s">
        <v>423</v>
      </c>
      <c r="Y176" s="446" t="s">
        <v>420</v>
      </c>
      <c r="Z176" s="446" t="s">
        <v>418</v>
      </c>
      <c r="AA176" s="446" t="s">
        <v>415</v>
      </c>
      <c r="AB176" s="446" t="s">
        <v>409</v>
      </c>
      <c r="AC176" s="446" t="s">
        <v>407</v>
      </c>
      <c r="AD176" s="446" t="s">
        <v>405</v>
      </c>
      <c r="AE176" s="446" t="s">
        <v>402</v>
      </c>
      <c r="AF176" s="446" t="s">
        <v>392</v>
      </c>
      <c r="AG176" s="446" t="s">
        <v>386</v>
      </c>
      <c r="AH176" s="446" t="s">
        <v>383</v>
      </c>
      <c r="AI176" s="446" t="s">
        <v>381</v>
      </c>
      <c r="AJ176" s="446" t="s">
        <v>375</v>
      </c>
      <c r="AK176" s="446" t="s">
        <v>372</v>
      </c>
      <c r="AL176" s="446" t="s">
        <v>346</v>
      </c>
      <c r="AM176" s="446" t="s">
        <v>311</v>
      </c>
      <c r="AN176" s="446" t="s">
        <v>308</v>
      </c>
      <c r="AO176" s="446" t="s">
        <v>306</v>
      </c>
      <c r="AP176" s="446" t="s">
        <v>291</v>
      </c>
      <c r="AQ176" s="446" t="s">
        <v>286</v>
      </c>
      <c r="AR176" s="446" t="s">
        <v>273</v>
      </c>
      <c r="AS176" s="446" t="s">
        <v>272</v>
      </c>
      <c r="AT176" s="446" t="s">
        <v>270</v>
      </c>
      <c r="AU176" s="446" t="s">
        <v>266</v>
      </c>
      <c r="AV176" s="446" t="s">
        <v>265</v>
      </c>
      <c r="AW176" s="446" t="s">
        <v>263</v>
      </c>
      <c r="AX176" s="446" t="s">
        <v>255</v>
      </c>
      <c r="AY176" s="446" t="s">
        <v>253</v>
      </c>
      <c r="AZ176" s="446" t="s">
        <v>244</v>
      </c>
      <c r="BA176" s="446" t="s">
        <v>242</v>
      </c>
      <c r="BB176" s="446" t="s">
        <v>239</v>
      </c>
      <c r="BC176" s="446" t="s">
        <v>231</v>
      </c>
      <c r="BD176" s="446" t="s">
        <v>226</v>
      </c>
      <c r="BE176" s="446" t="s">
        <v>221</v>
      </c>
      <c r="BF176" s="446" t="s">
        <v>204</v>
      </c>
      <c r="BG176" s="446" t="s">
        <v>203</v>
      </c>
      <c r="BH176" s="446" t="s">
        <v>199</v>
      </c>
      <c r="BI176" s="446" t="s">
        <v>163</v>
      </c>
      <c r="BJ176" s="446" t="s">
        <v>164</v>
      </c>
      <c r="BK176" s="446" t="s">
        <v>4</v>
      </c>
      <c r="BL176" s="446" t="s">
        <v>165</v>
      </c>
      <c r="BM176" s="446" t="s">
        <v>168</v>
      </c>
      <c r="BN176" s="446" t="s">
        <v>169</v>
      </c>
      <c r="BO176" s="446" t="s">
        <v>5</v>
      </c>
      <c r="BP176" s="446" t="s">
        <v>170</v>
      </c>
      <c r="BQ176" s="446" t="s">
        <v>171</v>
      </c>
      <c r="BR176" s="446" t="s">
        <v>172</v>
      </c>
      <c r="BS176" s="446" t="s">
        <v>6</v>
      </c>
    </row>
    <row r="177" spans="1:71" x14ac:dyDescent="0.25">
      <c r="A177" s="74">
        <v>177</v>
      </c>
      <c r="B177" s="454"/>
      <c r="C177" s="471"/>
      <c r="D177" s="274"/>
      <c r="E177" s="478"/>
      <c r="F177" s="447"/>
      <c r="G177" s="493"/>
      <c r="H177" s="448"/>
      <c r="I177" s="447"/>
      <c r="J177" s="447"/>
      <c r="K177" s="447"/>
      <c r="L177" s="448"/>
      <c r="M177" s="447"/>
      <c r="N177" s="447"/>
      <c r="O177" s="447"/>
      <c r="P177" s="448"/>
      <c r="Q177" s="447"/>
      <c r="R177" s="447"/>
      <c r="S177" s="447"/>
      <c r="T177" s="448"/>
      <c r="U177" s="447"/>
      <c r="V177" s="447"/>
      <c r="W177" s="447"/>
      <c r="X177" s="448"/>
      <c r="Y177" s="448"/>
      <c r="Z177" s="447"/>
      <c r="AA177" s="447"/>
      <c r="AB177" s="448"/>
      <c r="AC177" s="448"/>
      <c r="AD177" s="448"/>
      <c r="AE177" s="447"/>
      <c r="AF177" s="447"/>
      <c r="AG177" s="448"/>
      <c r="AH177" s="448"/>
      <c r="AI177" s="447"/>
      <c r="AJ177" s="447"/>
      <c r="AK177" s="447"/>
      <c r="AL177" s="447"/>
      <c r="AM177" s="447"/>
      <c r="AN177" s="448"/>
      <c r="AO177" s="447"/>
      <c r="AP177" s="447"/>
      <c r="AQ177" s="447"/>
      <c r="AR177" s="448"/>
      <c r="AS177" s="447"/>
      <c r="AT177" s="447"/>
      <c r="AU177" s="447"/>
      <c r="AV177" s="448"/>
      <c r="AW177" s="448"/>
      <c r="AX177" s="448"/>
      <c r="AY177" s="447"/>
      <c r="AZ177" s="447"/>
      <c r="BA177" s="447"/>
      <c r="BB177" s="447"/>
      <c r="BC177" s="447"/>
      <c r="BD177" s="447"/>
      <c r="BE177" s="447"/>
      <c r="BF177" s="447"/>
      <c r="BG177" s="447"/>
      <c r="BH177" s="447"/>
      <c r="BI177" s="447"/>
      <c r="BJ177" s="447"/>
      <c r="BK177" s="447"/>
      <c r="BL177" s="447"/>
      <c r="BM177" s="447"/>
      <c r="BN177" s="447"/>
      <c r="BO177" s="447"/>
      <c r="BP177" s="447"/>
      <c r="BQ177" s="447"/>
      <c r="BR177" s="447"/>
      <c r="BS177" s="447"/>
    </row>
    <row r="178" spans="1:71" x14ac:dyDescent="0.25">
      <c r="A178" s="74">
        <v>178</v>
      </c>
      <c r="B178" s="8" t="s">
        <v>8</v>
      </c>
      <c r="C178" s="89"/>
      <c r="D178" s="57"/>
      <c r="E178" s="90"/>
      <c r="F178" s="57"/>
      <c r="G178" s="303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8"/>
    </row>
    <row r="179" spans="1:71" x14ac:dyDescent="0.25">
      <c r="A179" s="74">
        <v>179</v>
      </c>
      <c r="B179" s="75" t="s">
        <v>127</v>
      </c>
      <c r="C179" s="93"/>
      <c r="D179" s="88"/>
      <c r="E179" s="94"/>
      <c r="F179" s="88"/>
      <c r="G179" s="291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75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  <c r="BS179" s="56"/>
    </row>
    <row r="180" spans="1:71" x14ac:dyDescent="0.25">
      <c r="A180" s="74">
        <v>180</v>
      </c>
      <c r="B180" s="76" t="s">
        <v>25</v>
      </c>
      <c r="C180" s="93"/>
      <c r="D180" s="88"/>
      <c r="E180" s="94">
        <f ca="1">OFFSET($E$7,$A180-$A$7,1,1,1)/OFFSET($E$7,$A180-$A$7,5,1,1)-1</f>
        <v>-8.5063460253841039E-2</v>
      </c>
      <c r="F180" s="79">
        <f>SUM(F181,F183)</f>
        <v>68483</v>
      </c>
      <c r="G180" s="330">
        <f>G181+G183</f>
        <v>35403</v>
      </c>
      <c r="H180" s="79">
        <f>SUM(H181,H183)</f>
        <v>150164</v>
      </c>
      <c r="I180" s="79">
        <f>SUM(I181,I183)</f>
        <v>113440</v>
      </c>
      <c r="J180" s="79">
        <f>SUM(J181,J183)</f>
        <v>74850</v>
      </c>
      <c r="K180" s="79">
        <f>K181+K183</f>
        <v>36959</v>
      </c>
      <c r="L180" s="79">
        <f>SUM(L181,L183)</f>
        <v>115827</v>
      </c>
      <c r="M180" s="79">
        <f>SUM(M181,M183)</f>
        <v>80613</v>
      </c>
      <c r="N180" s="79">
        <f>SUM(N181,N183)</f>
        <v>51851</v>
      </c>
      <c r="O180" s="79">
        <v>25571</v>
      </c>
      <c r="P180" s="79">
        <f>SUM(P181,P183)</f>
        <v>62283</v>
      </c>
      <c r="Q180" s="79">
        <f>SUM(Q181,Q183)</f>
        <v>40949</v>
      </c>
      <c r="R180" s="79">
        <f>SUM(R181,R183)</f>
        <v>25381</v>
      </c>
      <c r="S180" s="79">
        <v>11974</v>
      </c>
      <c r="T180" s="404"/>
      <c r="U180" s="404"/>
      <c r="V180" s="404"/>
      <c r="W180" s="404"/>
      <c r="X180" s="79">
        <f t="shared" ref="X180:Z180" si="324">SUM(X181,X183)</f>
        <v>37610.683000000005</v>
      </c>
      <c r="Y180" s="79">
        <f t="shared" si="324"/>
        <v>26627</v>
      </c>
      <c r="Z180" s="79">
        <f t="shared" si="324"/>
        <v>17017</v>
      </c>
      <c r="AA180" s="79">
        <f t="shared" ref="AA180:AF180" si="325">SUM(AA181,AA183)</f>
        <v>8186</v>
      </c>
      <c r="AB180" s="79">
        <f t="shared" si="325"/>
        <v>35650</v>
      </c>
      <c r="AC180" s="79">
        <f t="shared" si="325"/>
        <v>26374.927</v>
      </c>
      <c r="AD180" s="79">
        <f t="shared" si="325"/>
        <v>17945.561000000002</v>
      </c>
      <c r="AE180" s="79">
        <f t="shared" si="325"/>
        <v>9009.3619999999992</v>
      </c>
      <c r="AF180" s="79">
        <f t="shared" si="325"/>
        <v>36204.634000000005</v>
      </c>
      <c r="AG180" s="79">
        <f t="shared" ref="AG180:AM180" si="326">SUM(AG181,AG183)</f>
        <v>26756.856000000003</v>
      </c>
      <c r="AH180" s="79">
        <f t="shared" si="326"/>
        <v>17632.150000000001</v>
      </c>
      <c r="AI180" s="79">
        <f>SUM(AI181,AI183)</f>
        <v>8655.6029999999992</v>
      </c>
      <c r="AJ180" s="79">
        <f>SUM(AJ181,AJ183)</f>
        <v>32625.526000000005</v>
      </c>
      <c r="AK180" s="79">
        <f t="shared" si="326"/>
        <v>24190.714</v>
      </c>
      <c r="AL180" s="79">
        <f t="shared" si="326"/>
        <v>15770.518</v>
      </c>
      <c r="AM180" s="79">
        <f t="shared" si="326"/>
        <v>7832.9410000000007</v>
      </c>
      <c r="AN180" s="79">
        <v>35390.493999999999</v>
      </c>
      <c r="AO180" s="79">
        <v>26860.241000000002</v>
      </c>
      <c r="AP180" s="79">
        <v>17874.807000000001</v>
      </c>
      <c r="AQ180" s="79">
        <v>8805.4369999999999</v>
      </c>
      <c r="AR180" s="79">
        <v>38829.724000000002</v>
      </c>
      <c r="AS180" s="79">
        <v>29252.612000000001</v>
      </c>
      <c r="AT180" s="79">
        <v>19403.124</v>
      </c>
      <c r="AU180" s="79">
        <v>9534.9699999999993</v>
      </c>
      <c r="AV180" s="79">
        <v>38952.184000000001</v>
      </c>
      <c r="AW180" s="79">
        <v>28688.618999999999</v>
      </c>
      <c r="AX180" s="79">
        <v>18891.260999999999</v>
      </c>
      <c r="AY180" s="79">
        <v>9191.1270000000004</v>
      </c>
      <c r="AZ180" s="79">
        <v>30443.538</v>
      </c>
      <c r="BA180" s="79">
        <v>22001.971000000001</v>
      </c>
      <c r="BB180" s="79">
        <v>14365.028</v>
      </c>
      <c r="BC180" s="79">
        <v>6985.7820000000002</v>
      </c>
      <c r="BD180" s="79">
        <v>25620.647000000001</v>
      </c>
      <c r="BE180" s="79">
        <v>18758.97</v>
      </c>
      <c r="BF180" s="79">
        <v>12089.486999999999</v>
      </c>
      <c r="BG180" s="79">
        <v>5817.7290000000003</v>
      </c>
      <c r="BH180" s="56">
        <v>22833.895</v>
      </c>
      <c r="BI180" s="56">
        <v>16768.713</v>
      </c>
      <c r="BJ180" s="56">
        <v>11102.191999999999</v>
      </c>
      <c r="BK180" s="56">
        <v>5351.8969999999999</v>
      </c>
      <c r="BL180" s="56">
        <v>21954.53</v>
      </c>
      <c r="BM180" s="56">
        <v>16450.704000000002</v>
      </c>
      <c r="BN180" s="56">
        <v>10806.412</v>
      </c>
      <c r="BO180" s="56">
        <v>5271.83</v>
      </c>
      <c r="BP180" s="56">
        <v>21189.034</v>
      </c>
      <c r="BQ180" s="56">
        <v>16051.111000000001</v>
      </c>
      <c r="BR180" s="56">
        <v>10990.652</v>
      </c>
      <c r="BS180" s="56">
        <v>5685.9579999999996</v>
      </c>
    </row>
    <row r="181" spans="1:71" x14ac:dyDescent="0.25">
      <c r="A181" s="74">
        <v>181</v>
      </c>
      <c r="B181" s="131" t="s">
        <v>154</v>
      </c>
      <c r="C181" s="93"/>
      <c r="D181" s="88"/>
      <c r="E181" s="94">
        <f ca="1">OFFSET($E$7,$A181-$A$7,1,1,1)/OFFSET($E$7,$A181-$A$7,5,1,1)-1</f>
        <v>-0.14939548150789272</v>
      </c>
      <c r="F181" s="330">
        <f>51671+813</f>
        <v>52484</v>
      </c>
      <c r="G181" s="330">
        <f>27115+398</f>
        <v>27513</v>
      </c>
      <c r="H181" s="330">
        <f>120689+1545</f>
        <v>122234</v>
      </c>
      <c r="I181" s="330">
        <v>93188</v>
      </c>
      <c r="J181" s="330">
        <f>60927+775</f>
        <v>61702</v>
      </c>
      <c r="K181" s="330">
        <f>30021+402</f>
        <v>30423</v>
      </c>
      <c r="L181" s="330">
        <v>94025</v>
      </c>
      <c r="M181" s="330">
        <v>64720</v>
      </c>
      <c r="N181" s="330">
        <v>41385</v>
      </c>
      <c r="O181" s="330">
        <v>20206</v>
      </c>
      <c r="P181" s="330">
        <v>46943</v>
      </c>
      <c r="Q181" s="330">
        <v>30001</v>
      </c>
      <c r="R181" s="330">
        <f>17773+R182</f>
        <v>18343</v>
      </c>
      <c r="S181" s="330">
        <v>8542</v>
      </c>
      <c r="T181" s="404"/>
      <c r="U181" s="404"/>
      <c r="V181" s="404"/>
      <c r="W181" s="404"/>
      <c r="X181" s="330">
        <f>25708-803.317</f>
        <v>24904.683000000001</v>
      </c>
      <c r="Y181" s="330">
        <f>17342</f>
        <v>17342</v>
      </c>
      <c r="Z181" s="330">
        <f>10802+Z182</f>
        <v>11043</v>
      </c>
      <c r="AA181" s="330">
        <f>5206+127</f>
        <v>5333</v>
      </c>
      <c r="AB181" s="330">
        <f>23216+623</f>
        <v>23839</v>
      </c>
      <c r="AC181" s="330">
        <f>16775.809+482.939+90.628</f>
        <v>17349.376</v>
      </c>
      <c r="AD181" s="79">
        <v>11843.055</v>
      </c>
      <c r="AE181" s="79">
        <v>5937.1809999999996</v>
      </c>
      <c r="AF181" s="79">
        <v>24039.798000000003</v>
      </c>
      <c r="AG181" s="79">
        <f>17500.205+146.616</f>
        <v>17646.821000000004</v>
      </c>
      <c r="AH181" s="79">
        <v>11701.67</v>
      </c>
      <c r="AI181" s="79">
        <v>5624.07</v>
      </c>
      <c r="AJ181" s="79">
        <v>21661.300000000003</v>
      </c>
      <c r="AK181" s="79">
        <v>16542.077000000001</v>
      </c>
      <c r="AL181" s="79">
        <v>10800.227999999999</v>
      </c>
      <c r="AM181" s="79">
        <v>5392.2510000000002</v>
      </c>
      <c r="AN181" s="79">
        <v>26842.583999999999</v>
      </c>
      <c r="AO181" s="79">
        <v>20696.181</v>
      </c>
      <c r="AP181" s="79">
        <v>13998.294</v>
      </c>
      <c r="AQ181" s="79">
        <v>7057.7979999999998</v>
      </c>
      <c r="AR181" s="79">
        <v>30631.085000000003</v>
      </c>
      <c r="AS181" s="79">
        <v>23042.024000000001</v>
      </c>
      <c r="AT181" s="79">
        <v>15539.381000000001</v>
      </c>
      <c r="AU181" s="79">
        <v>7338.02</v>
      </c>
      <c r="AV181" s="79">
        <v>31912.992999999999</v>
      </c>
      <c r="AW181" s="79">
        <v>23524.102999999999</v>
      </c>
      <c r="AX181" s="79">
        <v>15484.977999999999</v>
      </c>
      <c r="AY181" s="79">
        <v>7452.4260000000004</v>
      </c>
      <c r="AZ181" s="79">
        <v>24286.292000000001</v>
      </c>
      <c r="BA181" s="79">
        <v>17562.249</v>
      </c>
      <c r="BB181" s="79">
        <v>11486.897000000001</v>
      </c>
      <c r="BC181" s="79">
        <v>5608.9170000000004</v>
      </c>
      <c r="BD181" s="79"/>
      <c r="BE181" s="79"/>
      <c r="BF181" s="79"/>
      <c r="BG181" s="79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  <c r="BR181" s="56"/>
      <c r="BS181" s="56"/>
    </row>
    <row r="182" spans="1:71" s="297" customFormat="1" x14ac:dyDescent="0.25">
      <c r="A182" s="74">
        <v>182</v>
      </c>
      <c r="B182" s="296" t="s">
        <v>394</v>
      </c>
      <c r="C182" s="93"/>
      <c r="D182" s="88"/>
      <c r="E182" s="94"/>
      <c r="F182" s="319">
        <v>813</v>
      </c>
      <c r="G182" s="319">
        <v>398</v>
      </c>
      <c r="H182" s="319">
        <v>1545</v>
      </c>
      <c r="I182" s="319">
        <v>1153</v>
      </c>
      <c r="J182" s="319">
        <v>775</v>
      </c>
      <c r="K182" s="319">
        <v>402</v>
      </c>
      <c r="L182" s="319">
        <v>1444</v>
      </c>
      <c r="M182" s="319">
        <v>1045</v>
      </c>
      <c r="N182" s="319">
        <v>698</v>
      </c>
      <c r="O182" s="319">
        <v>383</v>
      </c>
      <c r="P182" s="319">
        <v>1326</v>
      </c>
      <c r="Q182" s="319">
        <v>908</v>
      </c>
      <c r="R182" s="319">
        <v>570</v>
      </c>
      <c r="S182" s="319">
        <v>283</v>
      </c>
      <c r="T182" s="435"/>
      <c r="U182" s="435"/>
      <c r="V182" s="435"/>
      <c r="W182" s="435"/>
      <c r="X182" s="319">
        <v>662</v>
      </c>
      <c r="Y182" s="319">
        <v>425</v>
      </c>
      <c r="Z182" s="319">
        <v>241</v>
      </c>
      <c r="AA182" s="319">
        <v>127</v>
      </c>
      <c r="AB182" s="319">
        <v>623</v>
      </c>
      <c r="AC182" s="319">
        <v>482.93900000000002</v>
      </c>
      <c r="AD182" s="319">
        <v>330.45800000000003</v>
      </c>
      <c r="AE182" s="319">
        <v>175.71600000000001</v>
      </c>
      <c r="AF182" s="298">
        <v>276.762</v>
      </c>
      <c r="AG182" s="298">
        <v>146.61600000000001</v>
      </c>
      <c r="AH182" s="298">
        <v>70.132000000000005</v>
      </c>
      <c r="AI182" s="298">
        <v>3.4710000000000001</v>
      </c>
      <c r="AJ182" s="298">
        <v>301.41800000000001</v>
      </c>
      <c r="AK182" s="298">
        <v>285.39999999999998</v>
      </c>
      <c r="AL182" s="298">
        <v>60.921999999999997</v>
      </c>
      <c r="AM182" s="298"/>
      <c r="AN182" s="79"/>
      <c r="AO182" s="79"/>
      <c r="AP182" s="298"/>
      <c r="AQ182" s="298"/>
      <c r="AR182" s="298"/>
      <c r="AS182" s="298"/>
      <c r="AT182" s="298"/>
      <c r="AU182" s="298"/>
      <c r="AV182" s="298"/>
      <c r="AW182" s="298"/>
      <c r="AX182" s="298"/>
      <c r="AY182" s="298"/>
      <c r="AZ182" s="298"/>
      <c r="BA182" s="298"/>
      <c r="BB182" s="298"/>
      <c r="BC182" s="298"/>
      <c r="BD182" s="298"/>
      <c r="BE182" s="298"/>
      <c r="BF182" s="298"/>
      <c r="BG182" s="298"/>
      <c r="BH182" s="299"/>
      <c r="BI182" s="299"/>
      <c r="BJ182" s="299"/>
      <c r="BK182" s="299"/>
      <c r="BL182" s="299"/>
      <c r="BM182" s="299"/>
      <c r="BN182" s="299"/>
      <c r="BO182" s="299"/>
      <c r="BP182" s="299"/>
      <c r="BQ182" s="299"/>
      <c r="BR182" s="299"/>
      <c r="BS182" s="299"/>
    </row>
    <row r="183" spans="1:71" x14ac:dyDescent="0.25">
      <c r="A183" s="74">
        <v>183</v>
      </c>
      <c r="B183" s="131" t="s">
        <v>56</v>
      </c>
      <c r="C183" s="93"/>
      <c r="D183" s="88"/>
      <c r="E183" s="94">
        <f t="shared" ref="E183:E189" ca="1" si="327">OFFSET($E$7,$A183-$A$7,1,1,1)/OFFSET($E$7,$A183-$A$7,5,1,1)-1</f>
        <v>0.21683906297535738</v>
      </c>
      <c r="F183" s="330">
        <v>15999</v>
      </c>
      <c r="G183" s="330">
        <v>7890</v>
      </c>
      <c r="H183" s="330">
        <v>27930</v>
      </c>
      <c r="I183" s="330">
        <v>20252</v>
      </c>
      <c r="J183" s="330">
        <v>13148</v>
      </c>
      <c r="K183" s="330">
        <v>6536</v>
      </c>
      <c r="L183" s="330">
        <v>21802</v>
      </c>
      <c r="M183" s="330">
        <v>15893</v>
      </c>
      <c r="N183" s="330">
        <v>10466</v>
      </c>
      <c r="O183" s="330">
        <v>5365</v>
      </c>
      <c r="P183" s="330">
        <v>15340</v>
      </c>
      <c r="Q183" s="330">
        <v>10948</v>
      </c>
      <c r="R183" s="330">
        <v>7038</v>
      </c>
      <c r="S183" s="330">
        <v>3432</v>
      </c>
      <c r="T183" s="404"/>
      <c r="U183" s="404"/>
      <c r="V183" s="404"/>
      <c r="W183" s="404"/>
      <c r="X183" s="330">
        <v>12706</v>
      </c>
      <c r="Y183" s="330">
        <v>9285</v>
      </c>
      <c r="Z183" s="330">
        <v>5974</v>
      </c>
      <c r="AA183" s="330">
        <v>2853</v>
      </c>
      <c r="AB183" s="330">
        <v>11811</v>
      </c>
      <c r="AC183" s="330">
        <v>9025.5509999999995</v>
      </c>
      <c r="AD183" s="79">
        <v>6102.5059999999994</v>
      </c>
      <c r="AE183" s="79">
        <v>3072.181</v>
      </c>
      <c r="AF183" s="79">
        <v>12164.835999999999</v>
      </c>
      <c r="AG183" s="79">
        <v>9110.0349999999999</v>
      </c>
      <c r="AH183" s="79">
        <v>5930.48</v>
      </c>
      <c r="AI183" s="79">
        <v>3031.5329999999999</v>
      </c>
      <c r="AJ183" s="79">
        <v>10964.226000000001</v>
      </c>
      <c r="AK183" s="79">
        <v>7648.6369999999997</v>
      </c>
      <c r="AL183" s="79">
        <v>4970.29</v>
      </c>
      <c r="AM183" s="79">
        <v>2440.69</v>
      </c>
      <c r="AN183" s="79">
        <v>8547.91</v>
      </c>
      <c r="AO183" s="79">
        <v>6164.06</v>
      </c>
      <c r="AP183" s="79">
        <v>3876.5129999999999</v>
      </c>
      <c r="AQ183" s="79">
        <v>1747.6389999999999</v>
      </c>
      <c r="AR183" s="79">
        <v>8077.2199999999993</v>
      </c>
      <c r="AS183" s="79">
        <v>6210.5879999999997</v>
      </c>
      <c r="AT183" s="79">
        <v>3863.7429999999995</v>
      </c>
      <c r="AU183" s="79">
        <v>2196.9499999999998</v>
      </c>
      <c r="AV183" s="79">
        <v>7039.1909999999998</v>
      </c>
      <c r="AW183" s="79">
        <v>5164.5159999999996</v>
      </c>
      <c r="AX183" s="79">
        <v>3406.2830000000004</v>
      </c>
      <c r="AY183" s="79">
        <v>1738.701</v>
      </c>
      <c r="AZ183" s="79">
        <v>6157.2459999999992</v>
      </c>
      <c r="BA183" s="79">
        <v>4439.7219999999998</v>
      </c>
      <c r="BB183" s="79">
        <v>2878.1310000000003</v>
      </c>
      <c r="BC183" s="79">
        <v>1376.865</v>
      </c>
      <c r="BD183" s="79"/>
      <c r="BE183" s="79"/>
      <c r="BF183" s="79"/>
      <c r="BG183" s="79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  <c r="BS183" s="56"/>
    </row>
    <row r="184" spans="1:71" x14ac:dyDescent="0.25">
      <c r="A184" s="74">
        <v>184</v>
      </c>
      <c r="B184" s="323" t="s">
        <v>404</v>
      </c>
      <c r="C184" s="93"/>
      <c r="D184" s="88"/>
      <c r="E184" s="94">
        <f t="shared" ca="1" si="327"/>
        <v>-3.5671390823925009E-2</v>
      </c>
      <c r="F184" s="330">
        <v>8029</v>
      </c>
      <c r="G184" s="330">
        <v>3688</v>
      </c>
      <c r="H184" s="330">
        <v>15960</v>
      </c>
      <c r="I184" s="330">
        <v>12285</v>
      </c>
      <c r="J184" s="330">
        <v>8326</v>
      </c>
      <c r="K184" s="330">
        <v>4173</v>
      </c>
      <c r="L184" s="330">
        <v>10185</v>
      </c>
      <c r="M184" s="330">
        <v>6959</v>
      </c>
      <c r="N184" s="330">
        <v>4592</v>
      </c>
      <c r="O184" s="330">
        <v>2236</v>
      </c>
      <c r="P184" s="330">
        <v>8175</v>
      </c>
      <c r="Q184" s="330">
        <v>5823</v>
      </c>
      <c r="R184" s="330">
        <v>3482</v>
      </c>
      <c r="S184" s="330">
        <v>1434</v>
      </c>
      <c r="T184" s="404"/>
      <c r="U184" s="404"/>
      <c r="V184" s="404"/>
      <c r="W184" s="404"/>
      <c r="X184" s="330">
        <v>2959</v>
      </c>
      <c r="Y184" s="330">
        <v>2328</v>
      </c>
      <c r="Z184" s="330">
        <v>1666</v>
      </c>
      <c r="AA184" s="330">
        <v>853</v>
      </c>
      <c r="AB184" s="330">
        <v>3324</v>
      </c>
      <c r="AC184" s="330">
        <v>2448.2559999999999</v>
      </c>
      <c r="AD184" s="79">
        <v>1572.895</v>
      </c>
      <c r="AE184" s="79">
        <v>726.56600000000003</v>
      </c>
      <c r="AF184" s="79">
        <v>2425.4859999999999</v>
      </c>
      <c r="AG184" s="79">
        <v>1747.1510000000001</v>
      </c>
      <c r="AH184" s="79">
        <v>924.78599999999994</v>
      </c>
      <c r="AI184" s="79">
        <v>405.40199999999999</v>
      </c>
      <c r="AJ184" s="79">
        <v>340.99</v>
      </c>
      <c r="AK184" s="79">
        <v>131.583</v>
      </c>
      <c r="AL184" s="79"/>
      <c r="AM184" s="79"/>
      <c r="AN184" s="79"/>
      <c r="AO184" s="79"/>
      <c r="AP184" s="79"/>
      <c r="AQ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79"/>
      <c r="BG184" s="79"/>
      <c r="BH184" s="56"/>
      <c r="BI184" s="56"/>
      <c r="BJ184" s="56">
        <v>2.1190000000000002</v>
      </c>
      <c r="BK184" s="56">
        <v>8.9999999999999993E-3</v>
      </c>
      <c r="BL184" s="56">
        <v>12.414</v>
      </c>
      <c r="BM184" s="56">
        <v>12.19</v>
      </c>
      <c r="BN184" s="56">
        <v>10.122</v>
      </c>
      <c r="BO184" s="56">
        <v>5.0919999999999996</v>
      </c>
      <c r="BP184" s="56">
        <v>21.033000000000001</v>
      </c>
      <c r="BQ184" s="56">
        <v>15.959</v>
      </c>
      <c r="BR184" s="56">
        <v>10.744999999999999</v>
      </c>
      <c r="BS184" s="56">
        <v>5.5830000000000002</v>
      </c>
    </row>
    <row r="185" spans="1:71" x14ac:dyDescent="0.25">
      <c r="A185" s="74">
        <v>185</v>
      </c>
      <c r="B185" s="76" t="s">
        <v>371</v>
      </c>
      <c r="C185" s="93"/>
      <c r="D185" s="88"/>
      <c r="E185" s="94">
        <f t="shared" ca="1" si="327"/>
        <v>-0.54602364943194992</v>
      </c>
      <c r="F185" s="330">
        <f>999+959</f>
        <v>1958</v>
      </c>
      <c r="G185" s="330">
        <v>1172</v>
      </c>
      <c r="H185" s="330">
        <v>8205</v>
      </c>
      <c r="I185" s="330">
        <v>6588</v>
      </c>
      <c r="J185" s="330">
        <v>4313</v>
      </c>
      <c r="K185" s="330">
        <v>2234</v>
      </c>
      <c r="L185" s="330">
        <v>4220</v>
      </c>
      <c r="M185" s="330">
        <v>2842</v>
      </c>
      <c r="N185" s="330">
        <v>2007</v>
      </c>
      <c r="O185" s="330">
        <v>1384</v>
      </c>
      <c r="P185" s="330">
        <v>4584</v>
      </c>
      <c r="Q185" s="330">
        <v>3122</v>
      </c>
      <c r="R185" s="330">
        <v>1911</v>
      </c>
      <c r="S185" s="330">
        <v>1219</v>
      </c>
      <c r="T185" s="404"/>
      <c r="U185" s="404"/>
      <c r="V185" s="404"/>
      <c r="W185" s="404"/>
      <c r="X185" s="330">
        <v>880</v>
      </c>
      <c r="Y185" s="330">
        <f>656</f>
        <v>656</v>
      </c>
      <c r="Z185" s="330">
        <v>488</v>
      </c>
      <c r="AA185" s="330">
        <v>231</v>
      </c>
      <c r="AB185" s="330">
        <v>786</v>
      </c>
      <c r="AC185" s="330">
        <v>701.42600000000004</v>
      </c>
      <c r="AD185" s="79">
        <v>459.16300000000001</v>
      </c>
      <c r="AE185" s="79">
        <v>345.286</v>
      </c>
      <c r="AF185" s="79">
        <v>1925.982</v>
      </c>
      <c r="AG185" s="79">
        <v>1645.539</v>
      </c>
      <c r="AH185" s="79">
        <v>1060.2370000000001</v>
      </c>
      <c r="AI185" s="79">
        <v>628.21100000000001</v>
      </c>
      <c r="AJ185" s="79">
        <v>1918.8579999999999</v>
      </c>
      <c r="AK185" s="79">
        <v>1530.0930000000001</v>
      </c>
      <c r="AL185" s="79">
        <v>1238.2339999999999</v>
      </c>
      <c r="AM185" s="79">
        <v>795.39700000000005</v>
      </c>
      <c r="AN185" s="79">
        <v>1306.402</v>
      </c>
      <c r="AO185" s="79">
        <v>788.39400000000001</v>
      </c>
      <c r="AP185" s="79">
        <v>554.01299999999992</v>
      </c>
      <c r="AQ185" s="79">
        <v>396.13000000000005</v>
      </c>
      <c r="AR185" s="79">
        <v>1286.3860000000002</v>
      </c>
      <c r="AS185" s="79">
        <v>929.56799999999998</v>
      </c>
      <c r="AT185" s="79">
        <v>855.01199999999994</v>
      </c>
      <c r="AU185" s="79">
        <v>533.63699999999994</v>
      </c>
      <c r="AV185" s="79">
        <v>2544.4699999999998</v>
      </c>
      <c r="AW185" s="79">
        <v>2271.8509999999997</v>
      </c>
      <c r="AX185" s="79">
        <v>1624.915</v>
      </c>
      <c r="AY185" s="79">
        <v>894.28699999999992</v>
      </c>
      <c r="AZ185" s="79">
        <v>1354.1000000000001</v>
      </c>
      <c r="BA185" s="79">
        <v>741.34799999999996</v>
      </c>
      <c r="BB185" s="79">
        <v>469.74900000000002</v>
      </c>
      <c r="BC185" s="79">
        <v>176.517</v>
      </c>
      <c r="BD185" s="79">
        <v>302.08199999999999</v>
      </c>
      <c r="BE185" s="79">
        <v>203.10399999999998</v>
      </c>
      <c r="BF185" s="79">
        <v>167.28299999999999</v>
      </c>
      <c r="BG185" s="79">
        <v>81.751000000000005</v>
      </c>
      <c r="BH185" s="56">
        <v>335.101</v>
      </c>
      <c r="BI185" s="56">
        <v>254.083</v>
      </c>
      <c r="BJ185" s="56">
        <v>163.18899999999999</v>
      </c>
      <c r="BK185" s="56">
        <v>166.285</v>
      </c>
      <c r="BL185" s="56">
        <v>239.11599999999999</v>
      </c>
      <c r="BM185" s="56">
        <v>165.215</v>
      </c>
      <c r="BN185" s="56">
        <v>97.693000000000012</v>
      </c>
      <c r="BO185" s="56">
        <v>48.304000000000002</v>
      </c>
      <c r="BP185" s="56">
        <v>212.76599999999999</v>
      </c>
      <c r="BQ185" s="56">
        <v>177.059</v>
      </c>
      <c r="BR185" s="56">
        <v>139.99100000000001</v>
      </c>
      <c r="BS185" s="56">
        <v>76.402000000000001</v>
      </c>
    </row>
    <row r="186" spans="1:71" x14ac:dyDescent="0.25">
      <c r="A186" s="74">
        <v>186</v>
      </c>
      <c r="B186" s="76" t="s">
        <v>23</v>
      </c>
      <c r="C186" s="93"/>
      <c r="D186" s="88"/>
      <c r="E186" s="94">
        <f t="shared" ca="1" si="327"/>
        <v>-0.32966940052422422</v>
      </c>
      <c r="F186" s="330">
        <v>7928</v>
      </c>
      <c r="G186" s="330">
        <v>4054</v>
      </c>
      <c r="H186" s="330">
        <v>25618</v>
      </c>
      <c r="I186" s="330">
        <v>20537</v>
      </c>
      <c r="J186" s="330">
        <v>11827</v>
      </c>
      <c r="K186" s="330">
        <v>5756</v>
      </c>
      <c r="L186" s="330">
        <v>17735</v>
      </c>
      <c r="M186" s="330">
        <v>11951</v>
      </c>
      <c r="N186" s="330">
        <v>7033</v>
      </c>
      <c r="O186" s="330">
        <v>3161</v>
      </c>
      <c r="P186" s="330">
        <v>6715</v>
      </c>
      <c r="Q186" s="330">
        <v>2792</v>
      </c>
      <c r="R186" s="330">
        <v>2105</v>
      </c>
      <c r="S186" s="330">
        <v>1445</v>
      </c>
      <c r="T186" s="404"/>
      <c r="U186" s="404"/>
      <c r="V186" s="404"/>
      <c r="W186" s="404"/>
      <c r="X186" s="330">
        <v>2695</v>
      </c>
      <c r="Y186" s="330">
        <v>1560</v>
      </c>
      <c r="Z186" s="330">
        <v>1122</v>
      </c>
      <c r="AA186" s="330">
        <v>596</v>
      </c>
      <c r="AB186" s="330">
        <v>2208</v>
      </c>
      <c r="AC186" s="330">
        <v>1579.4780000000001</v>
      </c>
      <c r="AD186" s="79">
        <v>1020.634</v>
      </c>
      <c r="AE186" s="79">
        <v>523.55999999999995</v>
      </c>
      <c r="AF186" s="79">
        <v>3267.828</v>
      </c>
      <c r="AG186" s="79">
        <v>2470.6030000000001</v>
      </c>
      <c r="AH186" s="79">
        <v>1792.423</v>
      </c>
      <c r="AI186" s="79">
        <v>1128.5070000000001</v>
      </c>
      <c r="AJ186" s="79">
        <v>3023.0630000000001</v>
      </c>
      <c r="AK186" s="79">
        <v>1931.57</v>
      </c>
      <c r="AL186" s="79">
        <v>1422.0029999999999</v>
      </c>
      <c r="AM186" s="79">
        <v>558.30899999999997</v>
      </c>
      <c r="AN186" s="79">
        <v>3081.9029999999998</v>
      </c>
      <c r="AO186" s="79">
        <v>2431.9920000000002</v>
      </c>
      <c r="AP186" s="79">
        <v>1837.424</v>
      </c>
      <c r="AQ186" s="79">
        <v>1053.663</v>
      </c>
      <c r="AR186" s="79">
        <v>2147.067</v>
      </c>
      <c r="AS186" s="79">
        <v>1164.972</v>
      </c>
      <c r="AT186" s="79">
        <v>552.63499999999999</v>
      </c>
      <c r="AU186" s="79">
        <v>247.05</v>
      </c>
      <c r="AV186" s="79">
        <v>2205.2359999999999</v>
      </c>
      <c r="AW186" s="79">
        <v>1889.271</v>
      </c>
      <c r="AX186" s="79">
        <v>1467.856</v>
      </c>
      <c r="AY186" s="79">
        <v>940.11199999999997</v>
      </c>
      <c r="AZ186" s="79">
        <v>1855.193</v>
      </c>
      <c r="BA186" s="79">
        <v>1085.1579999999999</v>
      </c>
      <c r="BB186" s="79">
        <v>651.43899999999996</v>
      </c>
      <c r="BC186" s="79">
        <v>283.61</v>
      </c>
      <c r="BD186" s="79">
        <v>726.61400000000003</v>
      </c>
      <c r="BE186" s="79">
        <v>501.24799999999999</v>
      </c>
      <c r="BF186" s="79">
        <v>289.32299999999998</v>
      </c>
      <c r="BG186" s="79">
        <v>126.934</v>
      </c>
      <c r="BH186" s="56">
        <v>543.48299999999995</v>
      </c>
      <c r="BI186" s="56">
        <v>412.58100000000002</v>
      </c>
      <c r="BJ186" s="56">
        <v>277.08800000000002</v>
      </c>
      <c r="BK186" s="56">
        <v>58.463000000000001</v>
      </c>
      <c r="BL186" s="56">
        <v>259.68799999999999</v>
      </c>
      <c r="BM186" s="56">
        <v>166.69200000000001</v>
      </c>
      <c r="BN186" s="56">
        <v>104.154</v>
      </c>
      <c r="BO186" s="56">
        <v>49.070999999999998</v>
      </c>
      <c r="BP186" s="56">
        <v>200.18100000000001</v>
      </c>
      <c r="BQ186" s="56">
        <v>138.96299999999999</v>
      </c>
      <c r="BR186" s="56">
        <v>99.418000000000006</v>
      </c>
      <c r="BS186" s="56">
        <v>44.572000000000003</v>
      </c>
    </row>
    <row r="187" spans="1:71" x14ac:dyDescent="0.25">
      <c r="A187" s="74">
        <v>187</v>
      </c>
      <c r="B187" s="76" t="s">
        <v>21</v>
      </c>
      <c r="C187" s="93"/>
      <c r="D187" s="88"/>
      <c r="E187" s="94">
        <f t="shared" ca="1" si="327"/>
        <v>0.53321201091901727</v>
      </c>
      <c r="F187" s="330">
        <v>1685</v>
      </c>
      <c r="G187" s="330">
        <v>1001</v>
      </c>
      <c r="H187" s="330">
        <v>3124</v>
      </c>
      <c r="I187" s="330">
        <v>2094</v>
      </c>
      <c r="J187" s="330">
        <v>1099</v>
      </c>
      <c r="K187" s="330">
        <v>352</v>
      </c>
      <c r="L187" s="330">
        <v>6039</v>
      </c>
      <c r="M187" s="330">
        <v>4730</v>
      </c>
      <c r="N187" s="330">
        <v>3213</v>
      </c>
      <c r="O187" s="330">
        <v>1538</v>
      </c>
      <c r="P187" s="330">
        <v>2093</v>
      </c>
      <c r="Q187" s="330">
        <v>1104</v>
      </c>
      <c r="R187" s="330">
        <v>823</v>
      </c>
      <c r="S187" s="330">
        <v>527</v>
      </c>
      <c r="T187" s="404"/>
      <c r="U187" s="404"/>
      <c r="V187" s="404"/>
      <c r="W187" s="404"/>
      <c r="X187" s="330">
        <v>607</v>
      </c>
      <c r="Y187" s="330">
        <v>385</v>
      </c>
      <c r="Z187" s="330">
        <v>236</v>
      </c>
      <c r="AA187" s="330">
        <v>112</v>
      </c>
      <c r="AB187" s="330">
        <v>969</v>
      </c>
      <c r="AC187" s="330">
        <v>874.346</v>
      </c>
      <c r="AD187" s="79">
        <v>722.798</v>
      </c>
      <c r="AE187" s="79">
        <v>534.39300000000003</v>
      </c>
      <c r="AF187" s="79">
        <v>3218.636</v>
      </c>
      <c r="AG187" s="79">
        <v>2673.1030000000001</v>
      </c>
      <c r="AH187" s="79">
        <v>2100.7869999999998</v>
      </c>
      <c r="AI187" s="79">
        <v>1504.9860000000001</v>
      </c>
      <c r="AJ187" s="79">
        <v>4889.0309999999999</v>
      </c>
      <c r="AK187" s="79">
        <v>3617.66</v>
      </c>
      <c r="AL187" s="79">
        <v>2225.518</v>
      </c>
      <c r="AM187" s="79">
        <v>901.02</v>
      </c>
      <c r="AN187" s="79">
        <v>3132.9540000000002</v>
      </c>
      <c r="AO187" s="79">
        <v>2070.5709999999999</v>
      </c>
      <c r="AP187" s="79">
        <v>1297.211</v>
      </c>
      <c r="AQ187" s="79">
        <v>658.65700000000004</v>
      </c>
      <c r="AR187" s="79">
        <v>2534.116</v>
      </c>
      <c r="AS187" s="79">
        <v>1913.7840000000001</v>
      </c>
      <c r="AT187" s="79">
        <v>1205.8140000000001</v>
      </c>
      <c r="AU187" s="79">
        <v>550.09</v>
      </c>
      <c r="AV187" s="79">
        <v>1131.42</v>
      </c>
      <c r="AW187" s="79">
        <v>418.48399999999998</v>
      </c>
      <c r="AX187" s="79">
        <v>145.334</v>
      </c>
      <c r="AY187" s="79">
        <v>91.983999999999995</v>
      </c>
      <c r="AZ187" s="79">
        <v>4472.0479999999998</v>
      </c>
      <c r="BA187" s="79">
        <v>3797.4</v>
      </c>
      <c r="BB187" s="79">
        <v>2520.9650000000001</v>
      </c>
      <c r="BC187" s="79">
        <v>1275.798</v>
      </c>
      <c r="BD187" s="79">
        <v>4182.1819999999998</v>
      </c>
      <c r="BE187" s="79">
        <v>3017.2979999999998</v>
      </c>
      <c r="BF187" s="79">
        <v>1996.675</v>
      </c>
      <c r="BG187" s="79">
        <v>978.72699999999998</v>
      </c>
      <c r="BH187" s="56">
        <v>3648.6880000000001</v>
      </c>
      <c r="BI187" s="56">
        <v>2770.3319999999999</v>
      </c>
      <c r="BJ187" s="56">
        <v>1875.3520000000001</v>
      </c>
      <c r="BK187" s="56">
        <v>846.04200000000003</v>
      </c>
      <c r="BL187" s="56">
        <v>3311.357</v>
      </c>
      <c r="BM187" s="56">
        <v>2404.7660000000001</v>
      </c>
      <c r="BN187" s="56">
        <v>1594.0219999999999</v>
      </c>
      <c r="BO187" s="56">
        <v>746.88800000000003</v>
      </c>
      <c r="BP187" s="56">
        <v>2636.7530000000002</v>
      </c>
      <c r="BQ187" s="56">
        <v>1972.673</v>
      </c>
      <c r="BR187" s="56">
        <v>1368.829</v>
      </c>
      <c r="BS187" s="56">
        <v>684.74300000000005</v>
      </c>
    </row>
    <row r="188" spans="1:71" x14ac:dyDescent="0.25">
      <c r="A188" s="74">
        <v>188</v>
      </c>
      <c r="B188" s="247" t="s">
        <v>335</v>
      </c>
      <c r="C188" s="93"/>
      <c r="D188" s="88"/>
      <c r="E188" s="94">
        <f t="shared" ca="1" si="327"/>
        <v>155.71428571428572</v>
      </c>
      <c r="F188" s="330">
        <v>1097</v>
      </c>
      <c r="G188" s="330">
        <v>457</v>
      </c>
      <c r="H188" s="330">
        <v>275</v>
      </c>
      <c r="I188" s="330">
        <v>32</v>
      </c>
      <c r="J188" s="330">
        <v>7</v>
      </c>
      <c r="K188" s="330">
        <v>0</v>
      </c>
      <c r="L188" s="330">
        <v>182</v>
      </c>
      <c r="M188" s="330">
        <v>182</v>
      </c>
      <c r="N188" s="330">
        <v>152</v>
      </c>
      <c r="O188" s="330">
        <v>75</v>
      </c>
      <c r="P188" s="330">
        <v>809</v>
      </c>
      <c r="Q188" s="330">
        <v>730</v>
      </c>
      <c r="R188" s="330">
        <v>432</v>
      </c>
      <c r="S188" s="330">
        <v>169</v>
      </c>
      <c r="T188" s="404"/>
      <c r="U188" s="404"/>
      <c r="V188" s="404"/>
      <c r="W188" s="404"/>
      <c r="X188" s="330">
        <v>241</v>
      </c>
      <c r="Y188" s="330">
        <v>167</v>
      </c>
      <c r="Z188" s="330">
        <v>132</v>
      </c>
      <c r="AA188" s="330">
        <v>102</v>
      </c>
      <c r="AB188" s="330">
        <v>493</v>
      </c>
      <c r="AC188" s="330">
        <v>372.91300000000001</v>
      </c>
      <c r="AD188" s="79">
        <v>255.809</v>
      </c>
      <c r="AE188" s="79">
        <v>126.727</v>
      </c>
      <c r="AF188" s="79">
        <v>1450.9880000000001</v>
      </c>
      <c r="AG188" s="79">
        <v>1194.981</v>
      </c>
      <c r="AH188" s="79">
        <v>910.38</v>
      </c>
      <c r="AI188" s="79">
        <v>524.00099999999998</v>
      </c>
      <c r="AJ188" s="79">
        <v>3241.1039999999998</v>
      </c>
      <c r="AK188" s="79">
        <v>2306.3110000000001</v>
      </c>
      <c r="AL188" s="79">
        <v>1639.29</v>
      </c>
      <c r="AM188" s="79">
        <v>875.18700000000001</v>
      </c>
      <c r="AN188" s="79">
        <v>4258.165</v>
      </c>
      <c r="AO188" s="79">
        <v>3174.6170000000002</v>
      </c>
      <c r="AP188" s="79">
        <v>2227.2959999999998</v>
      </c>
      <c r="AQ188" s="79">
        <v>1202.412</v>
      </c>
      <c r="AR188" s="79">
        <v>7054.5169999999998</v>
      </c>
      <c r="AS188" s="79">
        <v>5746.5959999999995</v>
      </c>
      <c r="AT188" s="79">
        <v>3984.5349999999999</v>
      </c>
      <c r="AU188" s="79">
        <v>2031.248</v>
      </c>
      <c r="AV188" s="79">
        <v>5960.165</v>
      </c>
      <c r="AW188" s="79">
        <v>4369.32</v>
      </c>
      <c r="AX188" s="79">
        <v>2758.8389999999999</v>
      </c>
      <c r="AY188" s="79">
        <v>1160.8209999999999</v>
      </c>
      <c r="AZ188" s="79">
        <v>635.42100000000005</v>
      </c>
      <c r="BA188" s="79"/>
      <c r="BB188" s="79"/>
      <c r="BC188" s="79"/>
      <c r="BD188" s="79"/>
      <c r="BE188" s="79"/>
      <c r="BF188" s="79"/>
      <c r="BG188" s="79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  <c r="BS188" s="56"/>
    </row>
    <row r="189" spans="1:71" x14ac:dyDescent="0.25">
      <c r="A189" s="74">
        <v>189</v>
      </c>
      <c r="B189" s="75" t="s">
        <v>195</v>
      </c>
      <c r="C189" s="93"/>
      <c r="D189" s="88"/>
      <c r="E189" s="96">
        <f t="shared" ca="1" si="327"/>
        <v>-0.11194758120730519</v>
      </c>
      <c r="F189" s="331">
        <f t="shared" ref="F189" si="328">SUM(F180,F184:F188)</f>
        <v>89180</v>
      </c>
      <c r="G189" s="331">
        <f t="shared" ref="G189" si="329">SUM(G180,G184:G188)</f>
        <v>45775</v>
      </c>
      <c r="H189" s="331">
        <f t="shared" ref="H189" si="330">SUM(H180,H184:H188)</f>
        <v>203346</v>
      </c>
      <c r="I189" s="331">
        <f t="shared" ref="I189" si="331">SUM(I180,I184:I188)</f>
        <v>154976</v>
      </c>
      <c r="J189" s="331">
        <f t="shared" ref="J189" si="332">SUM(J180,J184:J188)</f>
        <v>100422</v>
      </c>
      <c r="K189" s="331">
        <f>SUM(K180,K184:K188)</f>
        <v>49474</v>
      </c>
      <c r="L189" s="331">
        <f t="shared" ref="L189:Z189" si="333">SUM(L180,L184:L188)</f>
        <v>154188</v>
      </c>
      <c r="M189" s="331">
        <f t="shared" si="333"/>
        <v>107277</v>
      </c>
      <c r="N189" s="331">
        <f t="shared" si="333"/>
        <v>68848</v>
      </c>
      <c r="O189" s="331">
        <f t="shared" si="333"/>
        <v>33965</v>
      </c>
      <c r="P189" s="331">
        <f t="shared" si="333"/>
        <v>84659</v>
      </c>
      <c r="Q189" s="331">
        <f t="shared" si="333"/>
        <v>54520</v>
      </c>
      <c r="R189" s="331">
        <f t="shared" si="333"/>
        <v>34134</v>
      </c>
      <c r="S189" s="331">
        <f t="shared" si="333"/>
        <v>16768</v>
      </c>
      <c r="T189" s="436"/>
      <c r="U189" s="436"/>
      <c r="V189" s="436"/>
      <c r="W189" s="436"/>
      <c r="X189" s="331">
        <f t="shared" si="333"/>
        <v>44992.683000000005</v>
      </c>
      <c r="Y189" s="331">
        <f t="shared" si="333"/>
        <v>31723</v>
      </c>
      <c r="Z189" s="331">
        <f t="shared" si="333"/>
        <v>20661</v>
      </c>
      <c r="AA189" s="331">
        <f t="shared" ref="AA189:AF189" si="334">SUM(AA180,AA184:AA188)</f>
        <v>10080</v>
      </c>
      <c r="AB189" s="331">
        <f t="shared" si="334"/>
        <v>43430</v>
      </c>
      <c r="AC189" s="331">
        <f t="shared" si="334"/>
        <v>32351.346000000001</v>
      </c>
      <c r="AD189" s="126">
        <f t="shared" si="334"/>
        <v>21976.860000000004</v>
      </c>
      <c r="AE189" s="126">
        <f t="shared" si="334"/>
        <v>11265.894</v>
      </c>
      <c r="AF189" s="126">
        <f t="shared" si="334"/>
        <v>48493.553999999996</v>
      </c>
      <c r="AG189" s="126">
        <f>SUM(AG180,AG184:AG188)</f>
        <v>36488.233000000007</v>
      </c>
      <c r="AH189" s="126">
        <f>SUM(AH180,AH184:AH188)</f>
        <v>24420.763000000003</v>
      </c>
      <c r="AI189" s="126">
        <f>SUM(AI180,AI184:AI188)</f>
        <v>12846.71</v>
      </c>
      <c r="AJ189" s="126">
        <f>SUM(AJ180,AJ184:AJ188)</f>
        <v>46038.572000000007</v>
      </c>
      <c r="AK189" s="126">
        <f t="shared" ref="AK189:BS189" si="335">SUM(AK180,AK184:AK188)</f>
        <v>33707.930999999997</v>
      </c>
      <c r="AL189" s="126">
        <f t="shared" si="335"/>
        <v>22295.563000000002</v>
      </c>
      <c r="AM189" s="126">
        <f t="shared" si="335"/>
        <v>10962.854000000001</v>
      </c>
      <c r="AN189" s="126">
        <f t="shared" si="335"/>
        <v>47169.917999999998</v>
      </c>
      <c r="AO189" s="126">
        <f t="shared" si="335"/>
        <v>35325.815000000002</v>
      </c>
      <c r="AP189" s="126">
        <f t="shared" si="335"/>
        <v>23790.750999999997</v>
      </c>
      <c r="AQ189" s="126">
        <f t="shared" si="335"/>
        <v>12116.298999999999</v>
      </c>
      <c r="AR189" s="126">
        <f t="shared" si="335"/>
        <v>51851.810000000005</v>
      </c>
      <c r="AS189" s="126">
        <f t="shared" si="335"/>
        <v>39007.531999999999</v>
      </c>
      <c r="AT189" s="126">
        <f t="shared" si="335"/>
        <v>26001.119999999995</v>
      </c>
      <c r="AU189" s="126">
        <f t="shared" si="335"/>
        <v>12896.994999999999</v>
      </c>
      <c r="AV189" s="126">
        <f t="shared" si="335"/>
        <v>50793.474999999999</v>
      </c>
      <c r="AW189" s="126">
        <f t="shared" si="335"/>
        <v>37637.544999999991</v>
      </c>
      <c r="AX189" s="126">
        <f t="shared" si="335"/>
        <v>24888.204999999998</v>
      </c>
      <c r="AY189" s="126">
        <f t="shared" si="335"/>
        <v>12278.331</v>
      </c>
      <c r="AZ189" s="126">
        <f t="shared" si="335"/>
        <v>38760.300000000003</v>
      </c>
      <c r="BA189" s="126">
        <f t="shared" si="335"/>
        <v>27625.877000000004</v>
      </c>
      <c r="BB189" s="126">
        <f t="shared" si="335"/>
        <v>18007.181</v>
      </c>
      <c r="BC189" s="126">
        <f t="shared" si="335"/>
        <v>8721.7070000000003</v>
      </c>
      <c r="BD189" s="126">
        <f t="shared" si="335"/>
        <v>30831.525000000001</v>
      </c>
      <c r="BE189" s="126">
        <f t="shared" si="335"/>
        <v>22480.62</v>
      </c>
      <c r="BF189" s="126">
        <f t="shared" si="335"/>
        <v>14542.767999999998</v>
      </c>
      <c r="BG189" s="126">
        <f t="shared" si="335"/>
        <v>7005.1410000000005</v>
      </c>
      <c r="BH189" s="126">
        <f t="shared" si="335"/>
        <v>27361.167000000001</v>
      </c>
      <c r="BI189" s="126">
        <f t="shared" si="335"/>
        <v>20205.708999999995</v>
      </c>
      <c r="BJ189" s="126">
        <f t="shared" si="335"/>
        <v>13419.94</v>
      </c>
      <c r="BK189" s="126">
        <f t="shared" si="335"/>
        <v>6422.6959999999999</v>
      </c>
      <c r="BL189" s="126">
        <f t="shared" si="335"/>
        <v>25777.104999999996</v>
      </c>
      <c r="BM189" s="126">
        <f t="shared" si="335"/>
        <v>19199.566999999999</v>
      </c>
      <c r="BN189" s="126">
        <f t="shared" si="335"/>
        <v>12612.402999999998</v>
      </c>
      <c r="BO189" s="126">
        <f t="shared" si="335"/>
        <v>6121.1849999999995</v>
      </c>
      <c r="BP189" s="126">
        <f t="shared" si="335"/>
        <v>24259.767</v>
      </c>
      <c r="BQ189" s="126">
        <f t="shared" si="335"/>
        <v>18355.764999999999</v>
      </c>
      <c r="BR189" s="126">
        <f t="shared" si="335"/>
        <v>12609.635</v>
      </c>
      <c r="BS189" s="126">
        <f t="shared" si="335"/>
        <v>6497.2579999999998</v>
      </c>
    </row>
    <row r="190" spans="1:71" x14ac:dyDescent="0.25">
      <c r="A190" s="74">
        <v>190</v>
      </c>
      <c r="B190" s="75" t="s">
        <v>128</v>
      </c>
      <c r="C190" s="93"/>
      <c r="D190" s="88"/>
      <c r="E190" s="286"/>
      <c r="F190" s="349"/>
      <c r="G190" s="349"/>
      <c r="H190" s="349"/>
      <c r="I190" s="349"/>
      <c r="J190" s="349"/>
      <c r="K190" s="349"/>
      <c r="L190" s="349"/>
      <c r="M190" s="349"/>
      <c r="N190" s="349"/>
      <c r="O190" s="349"/>
      <c r="P190" s="349"/>
      <c r="Q190" s="349"/>
      <c r="R190" s="349"/>
      <c r="S190" s="349"/>
      <c r="T190" s="437"/>
      <c r="U190" s="437"/>
      <c r="V190" s="437"/>
      <c r="W190" s="437"/>
      <c r="X190" s="349"/>
      <c r="Y190" s="349"/>
      <c r="Z190" s="349"/>
      <c r="AA190" s="349"/>
      <c r="AB190" s="291"/>
      <c r="AC190" s="291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79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  <c r="BR190" s="56"/>
      <c r="BS190" s="56"/>
    </row>
    <row r="191" spans="1:71" x14ac:dyDescent="0.25">
      <c r="A191" s="74">
        <v>191</v>
      </c>
      <c r="B191" s="62" t="s">
        <v>32</v>
      </c>
      <c r="C191" s="93"/>
      <c r="D191" s="88"/>
      <c r="E191" s="94">
        <f t="shared" ref="E191:E195" ca="1" si="336">OFFSET($E$7,$A191-$A$7,1,1,1)/OFFSET($E$7,$A191-$A$7,5,1,1)-1</f>
        <v>-0.23566068078263203</v>
      </c>
      <c r="F191" s="330">
        <f>11407</f>
        <v>11407</v>
      </c>
      <c r="G191" s="330">
        <v>6193</v>
      </c>
      <c r="H191" s="330">
        <v>34507</v>
      </c>
      <c r="I191" s="330">
        <v>26885</v>
      </c>
      <c r="J191" s="330">
        <v>14924</v>
      </c>
      <c r="K191" s="330">
        <v>7060</v>
      </c>
      <c r="L191" s="330">
        <v>31270</v>
      </c>
      <c r="M191" s="330">
        <v>21422</v>
      </c>
      <c r="N191" s="330">
        <v>13329</v>
      </c>
      <c r="O191" s="330">
        <v>6306</v>
      </c>
      <c r="P191" s="330">
        <v>10293</v>
      </c>
      <c r="Q191" s="330">
        <v>4465</v>
      </c>
      <c r="R191" s="330">
        <v>2185</v>
      </c>
      <c r="S191" s="330">
        <v>696</v>
      </c>
      <c r="T191" s="404"/>
      <c r="U191" s="404"/>
      <c r="V191" s="404"/>
      <c r="W191" s="404"/>
      <c r="X191" s="330">
        <v>4361</v>
      </c>
      <c r="Y191" s="330">
        <v>2515</v>
      </c>
      <c r="Z191" s="330">
        <v>1766</v>
      </c>
      <c r="AA191" s="330">
        <v>815</v>
      </c>
      <c r="AB191" s="330">
        <v>4741</v>
      </c>
      <c r="AC191" s="330">
        <v>3764.7890000000002</v>
      </c>
      <c r="AD191" s="79">
        <v>2527.9459999999999</v>
      </c>
      <c r="AE191" s="79">
        <v>1232.8430000000001</v>
      </c>
      <c r="AF191" s="79">
        <v>7458.7790000000005</v>
      </c>
      <c r="AG191" s="79">
        <v>5841.1210000000001</v>
      </c>
      <c r="AH191" s="79">
        <v>4049.2959999999998</v>
      </c>
      <c r="AI191" s="79">
        <v>2422.357</v>
      </c>
      <c r="AJ191" s="79">
        <v>8372.5290000000005</v>
      </c>
      <c r="AK191" s="79">
        <v>6197.3180000000002</v>
      </c>
      <c r="AL191" s="79">
        <v>4168.75</v>
      </c>
      <c r="AM191" s="79">
        <v>1885.0029999999999</v>
      </c>
      <c r="AN191" s="79">
        <v>10376.755999999999</v>
      </c>
      <c r="AO191" s="79">
        <v>8367.36</v>
      </c>
      <c r="AP191" s="79">
        <v>5922.5469999999996</v>
      </c>
      <c r="AQ191" s="79">
        <v>2746.4609999999998</v>
      </c>
      <c r="AR191" s="79">
        <v>10778.701999999999</v>
      </c>
      <c r="AS191" s="79">
        <v>8440.5339999999997</v>
      </c>
      <c r="AT191" s="79">
        <v>5811.1409999999996</v>
      </c>
      <c r="AU191" s="79">
        <v>2777.8359999999998</v>
      </c>
      <c r="AV191" s="79">
        <v>11209.66</v>
      </c>
      <c r="AW191" s="79">
        <v>8737.7440000000006</v>
      </c>
      <c r="AX191" s="79">
        <v>5799.6390000000001</v>
      </c>
      <c r="AY191" s="79">
        <v>2849.5630000000001</v>
      </c>
      <c r="AZ191" s="79">
        <v>6256.0780000000004</v>
      </c>
      <c r="BA191" s="79">
        <v>4147.384</v>
      </c>
      <c r="BB191" s="79">
        <v>2634.136</v>
      </c>
      <c r="BC191" s="79">
        <v>1171.8589999999999</v>
      </c>
      <c r="BD191" s="79">
        <v>3569.84</v>
      </c>
      <c r="BE191" s="79">
        <v>2509.7060000000001</v>
      </c>
      <c r="BF191" s="79">
        <v>1520.9870000000001</v>
      </c>
      <c r="BG191" s="79">
        <v>689.08</v>
      </c>
      <c r="BH191" s="56">
        <v>2506.7629999999999</v>
      </c>
      <c r="BI191" s="56">
        <v>1710.7049999999999</v>
      </c>
      <c r="BJ191" s="56">
        <v>1042.1559999999999</v>
      </c>
      <c r="BK191" s="56">
        <v>357.72899999999998</v>
      </c>
      <c r="BL191" s="56">
        <v>785.99099999999999</v>
      </c>
      <c r="BM191" s="56">
        <v>414.97899999999998</v>
      </c>
      <c r="BN191" s="56">
        <v>241.881</v>
      </c>
      <c r="BO191" s="56">
        <v>70.22</v>
      </c>
      <c r="BP191" s="56">
        <v>612.90099999999995</v>
      </c>
      <c r="BQ191" s="56">
        <v>544.16600000000005</v>
      </c>
      <c r="BR191" s="56">
        <v>327.49099999999999</v>
      </c>
      <c r="BS191" s="56">
        <v>299.25599999999997</v>
      </c>
    </row>
    <row r="192" spans="1:71" x14ac:dyDescent="0.25">
      <c r="A192" s="74">
        <v>192</v>
      </c>
      <c r="B192" s="138" t="s">
        <v>196</v>
      </c>
      <c r="C192" s="93"/>
      <c r="D192" s="88"/>
      <c r="E192" s="94">
        <f t="shared" ca="1" si="336"/>
        <v>-0.18914673330953236</v>
      </c>
      <c r="F192" s="330">
        <f>11356</f>
        <v>11356</v>
      </c>
      <c r="G192" s="330">
        <v>5879</v>
      </c>
      <c r="H192" s="330">
        <v>26544</v>
      </c>
      <c r="I192" s="330">
        <v>20360</v>
      </c>
      <c r="J192" s="330">
        <v>14005</v>
      </c>
      <c r="K192" s="330">
        <v>7201</v>
      </c>
      <c r="L192" s="330">
        <v>16782</v>
      </c>
      <c r="M192" s="330">
        <v>10939</v>
      </c>
      <c r="N192" s="330">
        <v>6887</v>
      </c>
      <c r="O192" s="330">
        <v>3415</v>
      </c>
      <c r="P192" s="330">
        <v>7186</v>
      </c>
      <c r="Q192" s="330">
        <v>4447</v>
      </c>
      <c r="R192" s="330">
        <v>3010</v>
      </c>
      <c r="S192" s="330">
        <v>1504</v>
      </c>
      <c r="T192" s="404"/>
      <c r="U192" s="404"/>
      <c r="V192" s="404"/>
      <c r="W192" s="404"/>
      <c r="X192" s="330">
        <v>3918</v>
      </c>
      <c r="Y192" s="330">
        <v>2778</v>
      </c>
      <c r="Z192" s="330">
        <v>1710</v>
      </c>
      <c r="AA192" s="330">
        <v>744</v>
      </c>
      <c r="AB192" s="330">
        <v>3531</v>
      </c>
      <c r="AC192" s="330">
        <v>2815.4609999999998</v>
      </c>
      <c r="AD192" s="79">
        <v>2079.6729999999998</v>
      </c>
      <c r="AE192" s="79">
        <v>1005.768</v>
      </c>
      <c r="AF192" s="79">
        <v>4977.0770000000002</v>
      </c>
      <c r="AG192" s="79">
        <v>3812.2710000000002</v>
      </c>
      <c r="AH192" s="79">
        <v>2641.1759999999999</v>
      </c>
      <c r="AI192" s="79">
        <v>1321.2850000000001</v>
      </c>
      <c r="AJ192" s="79">
        <v>4671.04</v>
      </c>
      <c r="AK192" s="79">
        <v>3511.9070000000002</v>
      </c>
      <c r="AL192" s="79">
        <v>2363.9250000000002</v>
      </c>
      <c r="AM192" s="79">
        <v>1291.636</v>
      </c>
      <c r="AN192" s="79">
        <v>5563.9369999999999</v>
      </c>
      <c r="AO192" s="79">
        <v>4320.8689999999997</v>
      </c>
      <c r="AP192" s="79">
        <v>3118.4119999999998</v>
      </c>
      <c r="AQ192" s="79">
        <v>1852.498</v>
      </c>
      <c r="AR192" s="79">
        <v>6515.1350000000002</v>
      </c>
      <c r="AS192" s="79">
        <v>5041.8710000000001</v>
      </c>
      <c r="AT192" s="79">
        <v>3462.799</v>
      </c>
      <c r="AU192" s="79">
        <v>1750.7170000000001</v>
      </c>
      <c r="AV192" s="79">
        <v>8636.3269999999993</v>
      </c>
      <c r="AW192" s="79">
        <v>6579.9160000000002</v>
      </c>
      <c r="AX192" s="79">
        <v>4456.982</v>
      </c>
      <c r="AY192" s="79">
        <v>2164.5430000000001</v>
      </c>
      <c r="AZ192" s="79">
        <v>4899.6769999999997</v>
      </c>
      <c r="BA192" s="79">
        <v>3565.53</v>
      </c>
      <c r="BB192" s="79">
        <v>2297.0340000000001</v>
      </c>
      <c r="BC192" s="79">
        <v>1141.1690000000001</v>
      </c>
      <c r="BD192" s="79">
        <v>5164.482</v>
      </c>
      <c r="BE192" s="79">
        <v>3930.4560000000001</v>
      </c>
      <c r="BF192" s="79">
        <v>2653.5549999999998</v>
      </c>
      <c r="BG192" s="79">
        <v>1286.2349999999999</v>
      </c>
      <c r="BH192" s="79">
        <v>5251.7510000000002</v>
      </c>
      <c r="BI192" s="79">
        <v>4012.6280000000002</v>
      </c>
      <c r="BJ192" s="79">
        <v>2699.5</v>
      </c>
      <c r="BK192" s="79">
        <v>1400.5450000000001</v>
      </c>
      <c r="BL192" s="79">
        <v>4587.3130000000001</v>
      </c>
      <c r="BM192" s="79">
        <v>3375.8470000000002</v>
      </c>
      <c r="BN192" s="56">
        <v>2249.0650000000001</v>
      </c>
      <c r="BO192" s="56">
        <v>1093.9469999999999</v>
      </c>
      <c r="BP192" s="56">
        <v>4766.9229999999998</v>
      </c>
      <c r="BQ192" s="56">
        <v>3638.7730000000001</v>
      </c>
      <c r="BR192" s="56">
        <v>2772.0140000000001</v>
      </c>
      <c r="BS192" s="56">
        <v>1464.078</v>
      </c>
    </row>
    <row r="193" spans="1:72" x14ac:dyDescent="0.25">
      <c r="A193" s="74">
        <v>193</v>
      </c>
      <c r="B193" s="62" t="s">
        <v>197</v>
      </c>
      <c r="C193" s="93"/>
      <c r="D193" s="88"/>
      <c r="E193" s="94">
        <f t="shared" ca="1" si="336"/>
        <v>-6.6570684217743037E-2</v>
      </c>
      <c r="F193" s="330">
        <v>27230</v>
      </c>
      <c r="G193" s="330">
        <v>13971</v>
      </c>
      <c r="H193" s="330">
        <v>59140</v>
      </c>
      <c r="I193" s="330">
        <v>44492</v>
      </c>
      <c r="J193" s="330">
        <v>29172</v>
      </c>
      <c r="K193" s="330">
        <v>13930</v>
      </c>
      <c r="L193" s="330">
        <v>31392</v>
      </c>
      <c r="M193" s="330">
        <v>20733</v>
      </c>
      <c r="N193" s="330">
        <v>12862</v>
      </c>
      <c r="O193" s="330">
        <v>6092</v>
      </c>
      <c r="P193" s="330">
        <v>13399</v>
      </c>
      <c r="Q193" s="330">
        <v>8784</v>
      </c>
      <c r="R193" s="330">
        <v>5525</v>
      </c>
      <c r="S193" s="330">
        <v>2697</v>
      </c>
      <c r="T193" s="404"/>
      <c r="U193" s="404"/>
      <c r="V193" s="404"/>
      <c r="W193" s="404"/>
      <c r="X193" s="330">
        <v>6427</v>
      </c>
      <c r="Y193" s="330">
        <v>4688</v>
      </c>
      <c r="Z193" s="330">
        <v>3073</v>
      </c>
      <c r="AA193" s="330">
        <v>1546</v>
      </c>
      <c r="AB193" s="330">
        <v>7540</v>
      </c>
      <c r="AC193" s="330">
        <v>5853.1790000000001</v>
      </c>
      <c r="AD193" s="79">
        <v>4031.2689999999998</v>
      </c>
      <c r="AE193" s="79">
        <v>2107.998</v>
      </c>
      <c r="AF193" s="79">
        <v>9669.3179999999993</v>
      </c>
      <c r="AG193" s="79">
        <v>7513.4610000000002</v>
      </c>
      <c r="AH193" s="79">
        <v>4992.8890000000001</v>
      </c>
      <c r="AI193" s="79">
        <v>2451.4989999999998</v>
      </c>
      <c r="AJ193" s="79">
        <v>8459.6859999999997</v>
      </c>
      <c r="AK193" s="79">
        <v>6268.2380000000003</v>
      </c>
      <c r="AL193" s="79">
        <v>4178.9799999999996</v>
      </c>
      <c r="AM193" s="79">
        <v>2105.0070000000001</v>
      </c>
      <c r="AN193" s="79">
        <v>8656.0059999999994</v>
      </c>
      <c r="AO193" s="79">
        <v>6538.8829999999998</v>
      </c>
      <c r="AP193" s="79">
        <v>4380.3379999999997</v>
      </c>
      <c r="AQ193" s="79">
        <v>2181.8879999999999</v>
      </c>
      <c r="AR193" s="79">
        <v>9371.0650000000005</v>
      </c>
      <c r="AS193" s="79">
        <v>7184.8689999999997</v>
      </c>
      <c r="AT193" s="79">
        <v>4851.2839999999997</v>
      </c>
      <c r="AU193" s="79">
        <v>2499.1840000000002</v>
      </c>
      <c r="AV193" s="79">
        <v>10182.789000000001</v>
      </c>
      <c r="AW193" s="79">
        <v>7503.3590000000004</v>
      </c>
      <c r="AX193" s="79">
        <v>4787.54</v>
      </c>
      <c r="AY193" s="79">
        <v>2214.5070000000001</v>
      </c>
      <c r="AZ193" s="79">
        <v>5926.8879999999999</v>
      </c>
      <c r="BA193" s="79">
        <v>4610.1019999999999</v>
      </c>
      <c r="BB193" s="79">
        <v>3016.3589999999999</v>
      </c>
      <c r="BC193" s="79">
        <v>1526.7249999999999</v>
      </c>
      <c r="BD193" s="79">
        <v>5809.0969999999998</v>
      </c>
      <c r="BE193" s="79">
        <v>4339.7569999999996</v>
      </c>
      <c r="BF193" s="79">
        <v>2802.5</v>
      </c>
      <c r="BG193" s="79">
        <v>1342.403</v>
      </c>
      <c r="BH193" s="79">
        <v>4812.6779999999999</v>
      </c>
      <c r="BI193" s="79">
        <v>3559.1320000000001</v>
      </c>
      <c r="BJ193" s="79">
        <v>2314.6840000000002</v>
      </c>
      <c r="BK193" s="79">
        <v>1101.0340000000001</v>
      </c>
      <c r="BL193" s="79">
        <v>3745.145</v>
      </c>
      <c r="BM193" s="79">
        <v>2764.7339999999999</v>
      </c>
      <c r="BN193" s="56">
        <v>1824.175</v>
      </c>
      <c r="BO193" s="56">
        <v>933.34799999999996</v>
      </c>
      <c r="BP193" s="56">
        <v>4469.7330000000002</v>
      </c>
      <c r="BQ193" s="56">
        <v>3450.0390000000002</v>
      </c>
      <c r="BR193" s="56">
        <v>2382.181</v>
      </c>
      <c r="BS193" s="56">
        <v>1207.587</v>
      </c>
    </row>
    <row r="194" spans="1:72" x14ac:dyDescent="0.25">
      <c r="A194" s="74">
        <v>194</v>
      </c>
      <c r="B194" s="62" t="s">
        <v>278</v>
      </c>
      <c r="C194" s="93"/>
      <c r="D194" s="88"/>
      <c r="E194" s="94">
        <f t="shared" ca="1" si="336"/>
        <v>-0.5</v>
      </c>
      <c r="F194" s="330">
        <v>126</v>
      </c>
      <c r="G194" s="330">
        <v>61</v>
      </c>
      <c r="H194" s="330">
        <v>373</v>
      </c>
      <c r="I194" s="330">
        <v>316</v>
      </c>
      <c r="J194" s="330">
        <v>252</v>
      </c>
      <c r="K194" s="330">
        <v>164</v>
      </c>
      <c r="L194" s="330">
        <v>201</v>
      </c>
      <c r="M194" s="330">
        <v>143</v>
      </c>
      <c r="N194" s="330">
        <v>96</v>
      </c>
      <c r="O194" s="330">
        <v>49</v>
      </c>
      <c r="P194" s="330">
        <v>158</v>
      </c>
      <c r="Q194" s="330">
        <v>108</v>
      </c>
      <c r="R194" s="330">
        <v>64</v>
      </c>
      <c r="S194" s="330">
        <v>35</v>
      </c>
      <c r="T194" s="404"/>
      <c r="U194" s="404"/>
      <c r="V194" s="404"/>
      <c r="W194" s="404"/>
      <c r="X194" s="330">
        <v>200</v>
      </c>
      <c r="Y194" s="330">
        <v>121</v>
      </c>
      <c r="Z194" s="330">
        <v>89</v>
      </c>
      <c r="AA194" s="330">
        <v>47</v>
      </c>
      <c r="AB194" s="330">
        <v>297</v>
      </c>
      <c r="AC194" s="330">
        <v>242.39500000000001</v>
      </c>
      <c r="AD194" s="79">
        <v>159.41999999999999</v>
      </c>
      <c r="AE194" s="79">
        <v>75.617000000000004</v>
      </c>
      <c r="AF194" s="79">
        <v>288.21699999999998</v>
      </c>
      <c r="AG194" s="79">
        <v>215.86799999999999</v>
      </c>
      <c r="AH194" s="79">
        <v>144.50299999999999</v>
      </c>
      <c r="AI194" s="79">
        <v>74.117000000000004</v>
      </c>
      <c r="AJ194" s="79">
        <v>311.53399999999999</v>
      </c>
      <c r="AK194" s="79">
        <v>228.917</v>
      </c>
      <c r="AL194" s="79">
        <v>156.83699999999999</v>
      </c>
      <c r="AM194" s="79">
        <v>78.581999999999994</v>
      </c>
      <c r="AN194" s="79">
        <v>306.01299999999998</v>
      </c>
      <c r="AO194" s="79">
        <v>224.11699999999999</v>
      </c>
      <c r="AP194" s="79">
        <v>153.10300000000001</v>
      </c>
      <c r="AQ194" s="79">
        <v>76.625</v>
      </c>
      <c r="AR194" s="79">
        <v>442.51900000000001</v>
      </c>
      <c r="AS194" s="79">
        <v>359.55599999999998</v>
      </c>
      <c r="AT194" s="79">
        <v>281.55</v>
      </c>
      <c r="AU194" s="79">
        <v>169.04400000000001</v>
      </c>
      <c r="AV194" s="79">
        <v>625.14099999999996</v>
      </c>
      <c r="AW194" s="79">
        <v>449.72500000000002</v>
      </c>
      <c r="AX194" s="79">
        <v>291.16199999999998</v>
      </c>
      <c r="AY194" s="79">
        <v>160.477</v>
      </c>
      <c r="AZ194" s="79">
        <v>447.37900000000002</v>
      </c>
      <c r="BA194" s="79">
        <v>298.85399999999998</v>
      </c>
      <c r="BB194" s="79">
        <v>196.36699999999999</v>
      </c>
      <c r="BC194" s="79">
        <v>96.344999999999999</v>
      </c>
      <c r="BD194" s="79">
        <v>318.44200000000001</v>
      </c>
      <c r="BE194" s="79">
        <v>205.68</v>
      </c>
      <c r="BF194" s="79">
        <v>119.03400000000001</v>
      </c>
      <c r="BG194" s="79">
        <v>48.482999999999997</v>
      </c>
      <c r="BH194" s="56">
        <v>352.45699999999999</v>
      </c>
      <c r="BI194" s="56">
        <v>290.34699999999998</v>
      </c>
      <c r="BJ194" s="56">
        <v>211.322</v>
      </c>
      <c r="BK194" s="56">
        <v>106.66200000000001</v>
      </c>
      <c r="BL194" s="56">
        <v>590.34799999999996</v>
      </c>
      <c r="BM194" s="56">
        <v>443.57600000000002</v>
      </c>
      <c r="BN194" s="56">
        <v>287.64400000000001</v>
      </c>
      <c r="BO194" s="56">
        <v>153.60400000000001</v>
      </c>
      <c r="BP194" s="56">
        <v>555.83000000000004</v>
      </c>
      <c r="BQ194" s="56">
        <v>411.738</v>
      </c>
      <c r="BR194" s="56">
        <v>251.928</v>
      </c>
      <c r="BS194" s="56">
        <v>96.381</v>
      </c>
    </row>
    <row r="195" spans="1:72" x14ac:dyDescent="0.25">
      <c r="A195" s="74">
        <v>195</v>
      </c>
      <c r="B195" s="62" t="s">
        <v>52</v>
      </c>
      <c r="C195" s="93"/>
      <c r="D195" s="88"/>
      <c r="E195" s="94">
        <f t="shared" ca="1" si="336"/>
        <v>-0.28644688644688643</v>
      </c>
      <c r="F195" s="330">
        <v>974</v>
      </c>
      <c r="G195" s="330">
        <v>565</v>
      </c>
      <c r="H195" s="330">
        <v>2362</v>
      </c>
      <c r="I195" s="330">
        <v>1897</v>
      </c>
      <c r="J195" s="330">
        <v>1365</v>
      </c>
      <c r="K195" s="330">
        <v>560</v>
      </c>
      <c r="L195" s="330">
        <v>1667</v>
      </c>
      <c r="M195" s="330">
        <v>1097</v>
      </c>
      <c r="N195" s="330">
        <v>647</v>
      </c>
      <c r="O195" s="330">
        <v>324</v>
      </c>
      <c r="P195" s="330">
        <v>647</v>
      </c>
      <c r="Q195" s="330">
        <v>363</v>
      </c>
      <c r="R195" s="330">
        <v>176</v>
      </c>
      <c r="S195" s="330">
        <v>80</v>
      </c>
      <c r="T195" s="404"/>
      <c r="U195" s="404"/>
      <c r="V195" s="404"/>
      <c r="W195" s="404"/>
      <c r="X195" s="330">
        <v>266</v>
      </c>
      <c r="Y195" s="330">
        <v>217</v>
      </c>
      <c r="Z195" s="330">
        <v>140</v>
      </c>
      <c r="AA195" s="330">
        <v>64</v>
      </c>
      <c r="AB195" s="330">
        <v>192</v>
      </c>
      <c r="AC195" s="330">
        <v>140.65100000000001</v>
      </c>
      <c r="AD195" s="79">
        <v>90.587999999999994</v>
      </c>
      <c r="AE195" s="79">
        <v>47.101999999999997</v>
      </c>
      <c r="AF195" s="79">
        <v>183.38</v>
      </c>
      <c r="AG195" s="79">
        <v>119.526</v>
      </c>
      <c r="AH195" s="79">
        <v>69.951999999999998</v>
      </c>
      <c r="AI195" s="79">
        <v>34.6</v>
      </c>
      <c r="AJ195" s="79">
        <v>146.75</v>
      </c>
      <c r="AK195" s="79">
        <v>108.373</v>
      </c>
      <c r="AL195" s="79">
        <v>104.414</v>
      </c>
      <c r="AM195" s="79">
        <v>52.116</v>
      </c>
      <c r="AN195" s="79">
        <v>404.95299999999997</v>
      </c>
      <c r="AO195" s="79">
        <v>356.03</v>
      </c>
      <c r="AP195" s="79">
        <v>308.40100000000001</v>
      </c>
      <c r="AQ195" s="79">
        <v>190.89099999999999</v>
      </c>
      <c r="AR195" s="79">
        <v>726.298</v>
      </c>
      <c r="AS195" s="79">
        <v>458.01100000000002</v>
      </c>
      <c r="AT195" s="79">
        <v>209.31800000000001</v>
      </c>
      <c r="AU195" s="79">
        <v>90.617999999999995</v>
      </c>
      <c r="AV195" s="79">
        <v>248.339</v>
      </c>
      <c r="AW195" s="79">
        <v>185.744</v>
      </c>
      <c r="AX195" s="79">
        <v>130.19999999999999</v>
      </c>
      <c r="AY195" s="79">
        <v>74.396000000000001</v>
      </c>
      <c r="AZ195" s="79">
        <v>220.935</v>
      </c>
      <c r="BA195" s="79">
        <v>162.16200000000001</v>
      </c>
      <c r="BB195" s="79">
        <v>111.622</v>
      </c>
      <c r="BC195" s="79">
        <v>50.079000000000001</v>
      </c>
      <c r="BD195" s="79">
        <v>181.762</v>
      </c>
      <c r="BE195" s="79">
        <v>118.943</v>
      </c>
      <c r="BF195" s="79">
        <v>83.872</v>
      </c>
      <c r="BG195" s="79">
        <v>49.220999999999997</v>
      </c>
      <c r="BH195" s="56">
        <v>338.09899999999999</v>
      </c>
      <c r="BI195" s="56">
        <v>270.91899999999998</v>
      </c>
      <c r="BJ195" s="56">
        <v>204.13399999999999</v>
      </c>
      <c r="BK195" s="56">
        <v>70.355000000000004</v>
      </c>
      <c r="BL195" s="56">
        <v>142.41999999999999</v>
      </c>
      <c r="BM195" s="56">
        <v>104.569</v>
      </c>
      <c r="BN195" s="56">
        <v>67.221999999999994</v>
      </c>
      <c r="BO195" s="56">
        <v>27.071000000000002</v>
      </c>
      <c r="BP195" s="56">
        <v>143.96799999999999</v>
      </c>
      <c r="BQ195" s="56">
        <v>116.467</v>
      </c>
      <c r="BR195" s="56">
        <v>71.066000000000003</v>
      </c>
      <c r="BS195" s="56">
        <v>49.17</v>
      </c>
    </row>
    <row r="196" spans="1:72" x14ac:dyDescent="0.25">
      <c r="A196" s="74">
        <v>196</v>
      </c>
      <c r="B196" s="62" t="s">
        <v>34</v>
      </c>
      <c r="C196" s="93"/>
      <c r="D196" s="88"/>
      <c r="E196" s="94"/>
      <c r="F196" s="330"/>
      <c r="G196" s="330"/>
      <c r="H196" s="330">
        <v>0</v>
      </c>
      <c r="I196" s="330"/>
      <c r="J196" s="330"/>
      <c r="K196" s="330"/>
      <c r="L196" s="330">
        <v>0</v>
      </c>
      <c r="M196" s="330"/>
      <c r="N196" s="330"/>
      <c r="O196" s="330"/>
      <c r="P196" s="330">
        <v>30</v>
      </c>
      <c r="Q196" s="330">
        <v>30</v>
      </c>
      <c r="R196" s="330">
        <v>30</v>
      </c>
      <c r="S196" s="330">
        <v>18</v>
      </c>
      <c r="T196" s="404"/>
      <c r="U196" s="404"/>
      <c r="V196" s="404"/>
      <c r="W196" s="404"/>
      <c r="X196" s="330">
        <v>192</v>
      </c>
      <c r="Y196" s="330">
        <v>154</v>
      </c>
      <c r="Z196" s="330">
        <v>111</v>
      </c>
      <c r="AA196" s="330">
        <v>60</v>
      </c>
      <c r="AB196" s="330">
        <v>363</v>
      </c>
      <c r="AC196" s="330">
        <v>289.57900000000001</v>
      </c>
      <c r="AD196" s="79">
        <v>204.82599999999999</v>
      </c>
      <c r="AE196" s="79">
        <v>108.526</v>
      </c>
      <c r="AF196" s="79">
        <v>773.14200000000005</v>
      </c>
      <c r="AG196" s="79">
        <v>676.71600000000001</v>
      </c>
      <c r="AH196" s="79">
        <v>536.34100000000001</v>
      </c>
      <c r="AI196" s="79">
        <v>341.11700000000002</v>
      </c>
      <c r="AJ196" s="79">
        <v>833.04499999999996</v>
      </c>
      <c r="AK196" s="79">
        <v>571.51800000000003</v>
      </c>
      <c r="AL196" s="79">
        <v>363.59699999999998</v>
      </c>
      <c r="AM196" s="79">
        <v>176.43299999999999</v>
      </c>
      <c r="AN196" s="79">
        <v>1197.287</v>
      </c>
      <c r="AO196" s="79">
        <v>824.471</v>
      </c>
      <c r="AP196" s="79">
        <v>618.78399999999999</v>
      </c>
      <c r="AQ196" s="79">
        <v>361.65899999999999</v>
      </c>
      <c r="AR196" s="79">
        <v>1744.529</v>
      </c>
      <c r="AS196" s="79">
        <v>1351.223</v>
      </c>
      <c r="AT196" s="79">
        <v>942.63499999999999</v>
      </c>
      <c r="AU196" s="79">
        <v>510.815</v>
      </c>
      <c r="AV196" s="79">
        <v>2191.6489999999999</v>
      </c>
      <c r="AW196" s="79">
        <v>1668.059</v>
      </c>
      <c r="AX196" s="79">
        <v>1053.4469999999999</v>
      </c>
      <c r="AY196" s="79">
        <v>624.78399999999999</v>
      </c>
      <c r="AZ196" s="79">
        <v>2033.173</v>
      </c>
      <c r="BA196" s="79">
        <v>1475.6279999999999</v>
      </c>
      <c r="BB196" s="79">
        <v>956.54399999999998</v>
      </c>
      <c r="BC196" s="79">
        <v>487.791</v>
      </c>
      <c r="BD196" s="79">
        <v>1660.162</v>
      </c>
      <c r="BE196" s="79">
        <v>1211.8510000000001</v>
      </c>
      <c r="BF196" s="79">
        <v>791.90099999999995</v>
      </c>
      <c r="BG196" s="79">
        <v>393.48</v>
      </c>
      <c r="BH196" s="56">
        <v>1181.3630000000001</v>
      </c>
      <c r="BI196" s="56">
        <v>774.76099999999997</v>
      </c>
      <c r="BJ196" s="56">
        <v>518.73599999999999</v>
      </c>
      <c r="BK196" s="56">
        <v>246.21199999999999</v>
      </c>
      <c r="BL196" s="56">
        <v>1284.808</v>
      </c>
      <c r="BM196" s="56">
        <v>1015.638</v>
      </c>
      <c r="BN196" s="56">
        <v>672.024</v>
      </c>
      <c r="BO196" s="56">
        <v>335.27499999999998</v>
      </c>
      <c r="BP196" s="56">
        <v>729.43</v>
      </c>
      <c r="BQ196" s="56">
        <v>436.94499999999999</v>
      </c>
      <c r="BR196" s="56">
        <v>249.078</v>
      </c>
      <c r="BS196" s="56">
        <v>76.381</v>
      </c>
    </row>
    <row r="197" spans="1:72" x14ac:dyDescent="0.25">
      <c r="A197" s="74">
        <v>197</v>
      </c>
      <c r="B197" s="62" t="s">
        <v>35</v>
      </c>
      <c r="C197" s="93"/>
      <c r="D197" s="88"/>
      <c r="E197" s="94"/>
      <c r="F197" s="330"/>
      <c r="G197" s="330"/>
      <c r="H197" s="330"/>
      <c r="I197" s="330"/>
      <c r="J197" s="330"/>
      <c r="K197" s="330"/>
      <c r="L197" s="330"/>
      <c r="M197" s="330"/>
      <c r="N197" s="330"/>
      <c r="O197" s="330"/>
      <c r="P197" s="330"/>
      <c r="Q197" s="330"/>
      <c r="R197" s="330"/>
      <c r="S197" s="330"/>
      <c r="T197" s="404"/>
      <c r="U197" s="404"/>
      <c r="V197" s="404"/>
      <c r="W197" s="404"/>
      <c r="X197" s="330"/>
      <c r="Y197" s="330"/>
      <c r="Z197" s="330"/>
      <c r="AA197" s="330"/>
      <c r="AB197" s="330"/>
      <c r="AC197" s="330"/>
      <c r="AD197" s="79"/>
      <c r="AE197" s="79"/>
      <c r="AF197" s="79">
        <v>94.680999999999997</v>
      </c>
      <c r="AG197" s="79">
        <v>71.603999999999999</v>
      </c>
      <c r="AH197" s="79">
        <v>47.462000000000003</v>
      </c>
      <c r="AI197" s="79">
        <v>23.594000000000001</v>
      </c>
      <c r="AJ197" s="79">
        <v>98.412000000000006</v>
      </c>
      <c r="AK197" s="79">
        <v>74.272999999999996</v>
      </c>
      <c r="AL197" s="79">
        <v>50.146000000000001</v>
      </c>
      <c r="AM197" s="79">
        <v>26.207999999999998</v>
      </c>
      <c r="AN197" s="79">
        <v>117.001</v>
      </c>
      <c r="AO197" s="79">
        <v>88.790999999999997</v>
      </c>
      <c r="AP197" s="79">
        <v>59.142000000000003</v>
      </c>
      <c r="AQ197" s="79">
        <v>37.405999999999999</v>
      </c>
      <c r="AR197" s="79">
        <v>128.673</v>
      </c>
      <c r="AS197" s="79">
        <v>92.896000000000001</v>
      </c>
      <c r="AT197" s="79">
        <v>61.552999999999997</v>
      </c>
      <c r="AU197" s="79">
        <v>30.914000000000001</v>
      </c>
      <c r="AV197" s="79">
        <v>222.08799999999999</v>
      </c>
      <c r="AW197" s="79">
        <v>190.434</v>
      </c>
      <c r="AX197" s="79">
        <v>129.316</v>
      </c>
      <c r="AY197" s="79">
        <v>67.94</v>
      </c>
      <c r="AZ197" s="79">
        <v>465.274</v>
      </c>
      <c r="BA197" s="79">
        <v>391.928</v>
      </c>
      <c r="BB197" s="79">
        <v>291.62</v>
      </c>
      <c r="BC197" s="79">
        <v>157.97900000000001</v>
      </c>
      <c r="BD197" s="79">
        <v>755.74699999999996</v>
      </c>
      <c r="BE197" s="79">
        <v>610.18399999999997</v>
      </c>
      <c r="BF197" s="79">
        <v>421.84500000000003</v>
      </c>
      <c r="BG197" s="79">
        <v>208.881</v>
      </c>
      <c r="BH197" s="56">
        <v>935.91</v>
      </c>
      <c r="BI197" s="56">
        <v>706.48500000000001</v>
      </c>
      <c r="BJ197" s="56">
        <v>467.90800000000002</v>
      </c>
      <c r="BK197" s="56">
        <v>216.84399999999999</v>
      </c>
      <c r="BL197" s="56">
        <v>1021.153</v>
      </c>
      <c r="BM197" s="56">
        <v>744.35900000000004</v>
      </c>
      <c r="BN197" s="56">
        <v>482.58100000000002</v>
      </c>
      <c r="BO197" s="56">
        <v>239.94900000000001</v>
      </c>
      <c r="BP197" s="56">
        <v>956.55399999999997</v>
      </c>
      <c r="BQ197" s="56">
        <v>710.803</v>
      </c>
      <c r="BR197" s="56">
        <v>477.642</v>
      </c>
      <c r="BS197" s="56">
        <v>219.24299999999999</v>
      </c>
    </row>
    <row r="198" spans="1:72" x14ac:dyDescent="0.25">
      <c r="A198" s="74">
        <v>198</v>
      </c>
      <c r="B198" s="75" t="s">
        <v>198</v>
      </c>
      <c r="C198" s="93"/>
      <c r="D198" s="88"/>
      <c r="E198" s="96">
        <f ca="1">OFFSET($E$7,$A198-$A$7,1,1,1)/OFFSET($E$7,$A198-$A$7,5,1,1)-1</f>
        <v>-0.14442881543253294</v>
      </c>
      <c r="F198" s="331">
        <f t="shared" ref="F198" si="337">SUM(F191:F197)</f>
        <v>51093</v>
      </c>
      <c r="G198" s="331">
        <f t="shared" ref="G198" si="338">SUM(G191:G197)</f>
        <v>26669</v>
      </c>
      <c r="H198" s="331">
        <f t="shared" ref="H198" si="339">SUM(H191:H197)</f>
        <v>122926</v>
      </c>
      <c r="I198" s="331">
        <f t="shared" ref="I198" si="340">SUM(I191:I197)</f>
        <v>93950</v>
      </c>
      <c r="J198" s="331">
        <f t="shared" ref="J198" si="341">SUM(J191:J197)</f>
        <v>59718</v>
      </c>
      <c r="K198" s="331">
        <f t="shared" ref="K198" si="342">SUM(K191:K197)</f>
        <v>28915</v>
      </c>
      <c r="L198" s="331">
        <f t="shared" ref="L198:AF198" si="343">SUM(L191:L197)</f>
        <v>81312</v>
      </c>
      <c r="M198" s="331">
        <f t="shared" si="343"/>
        <v>54334</v>
      </c>
      <c r="N198" s="331">
        <f t="shared" si="343"/>
        <v>33821</v>
      </c>
      <c r="O198" s="331">
        <f t="shared" si="343"/>
        <v>16186</v>
      </c>
      <c r="P198" s="331">
        <f t="shared" si="343"/>
        <v>31713</v>
      </c>
      <c r="Q198" s="331">
        <f t="shared" si="343"/>
        <v>18197</v>
      </c>
      <c r="R198" s="331">
        <f t="shared" si="343"/>
        <v>10990</v>
      </c>
      <c r="S198" s="331">
        <f t="shared" si="343"/>
        <v>5030</v>
      </c>
      <c r="T198" s="436"/>
      <c r="U198" s="436"/>
      <c r="V198" s="436"/>
      <c r="W198" s="436"/>
      <c r="X198" s="331">
        <f t="shared" si="343"/>
        <v>15364</v>
      </c>
      <c r="Y198" s="331">
        <f t="shared" si="343"/>
        <v>10473</v>
      </c>
      <c r="Z198" s="331">
        <f t="shared" si="343"/>
        <v>6889</v>
      </c>
      <c r="AA198" s="331">
        <f t="shared" si="343"/>
        <v>3276</v>
      </c>
      <c r="AB198" s="331">
        <f t="shared" si="343"/>
        <v>16664</v>
      </c>
      <c r="AC198" s="331">
        <f t="shared" si="343"/>
        <v>13106.054</v>
      </c>
      <c r="AD198" s="126">
        <f t="shared" si="343"/>
        <v>9093.7219999999979</v>
      </c>
      <c r="AE198" s="126">
        <f t="shared" si="343"/>
        <v>4577.8540000000003</v>
      </c>
      <c r="AF198" s="126">
        <f t="shared" si="343"/>
        <v>23444.594000000001</v>
      </c>
      <c r="AG198" s="126">
        <f t="shared" ref="AG198:BS198" si="344">SUM(AG191:AG197)</f>
        <v>18250.566999999999</v>
      </c>
      <c r="AH198" s="126">
        <f t="shared" si="344"/>
        <v>12481.619000000001</v>
      </c>
      <c r="AI198" s="126">
        <f t="shared" si="344"/>
        <v>6668.5690000000004</v>
      </c>
      <c r="AJ198" s="126">
        <f t="shared" si="344"/>
        <v>22892.995999999996</v>
      </c>
      <c r="AK198" s="126">
        <f t="shared" si="344"/>
        <v>16960.544000000002</v>
      </c>
      <c r="AL198" s="126">
        <f t="shared" si="344"/>
        <v>11386.648999999999</v>
      </c>
      <c r="AM198" s="126">
        <f t="shared" si="344"/>
        <v>5614.9850000000006</v>
      </c>
      <c r="AN198" s="126">
        <f t="shared" si="344"/>
        <v>26621.953000000001</v>
      </c>
      <c r="AO198" s="126">
        <f t="shared" si="344"/>
        <v>20720.521000000001</v>
      </c>
      <c r="AP198" s="126">
        <f t="shared" si="344"/>
        <v>14560.726999999997</v>
      </c>
      <c r="AQ198" s="126">
        <f t="shared" si="344"/>
        <v>7447.427999999999</v>
      </c>
      <c r="AR198" s="126">
        <f t="shared" si="344"/>
        <v>29706.920999999998</v>
      </c>
      <c r="AS198" s="126">
        <f t="shared" si="344"/>
        <v>22928.959999999999</v>
      </c>
      <c r="AT198" s="126">
        <f t="shared" si="344"/>
        <v>15620.279999999997</v>
      </c>
      <c r="AU198" s="126">
        <f t="shared" si="344"/>
        <v>7829.1279999999997</v>
      </c>
      <c r="AV198" s="126">
        <f t="shared" si="344"/>
        <v>33315.993000000002</v>
      </c>
      <c r="AW198" s="126">
        <f t="shared" si="344"/>
        <v>25314.981</v>
      </c>
      <c r="AX198" s="126">
        <f t="shared" si="344"/>
        <v>16648.286</v>
      </c>
      <c r="AY198" s="126">
        <f t="shared" si="344"/>
        <v>8156.2099999999982</v>
      </c>
      <c r="AZ198" s="126">
        <f t="shared" si="344"/>
        <v>20249.404000000002</v>
      </c>
      <c r="BA198" s="126">
        <f t="shared" si="344"/>
        <v>14651.588</v>
      </c>
      <c r="BB198" s="126">
        <f t="shared" si="344"/>
        <v>9503.6820000000007</v>
      </c>
      <c r="BC198" s="126">
        <f t="shared" si="344"/>
        <v>4631.9470000000001</v>
      </c>
      <c r="BD198" s="126">
        <f t="shared" si="344"/>
        <v>17459.531999999999</v>
      </c>
      <c r="BE198" s="126">
        <f t="shared" si="344"/>
        <v>12926.576999999999</v>
      </c>
      <c r="BF198" s="126">
        <f t="shared" si="344"/>
        <v>8393.6939999999995</v>
      </c>
      <c r="BG198" s="126">
        <f t="shared" si="344"/>
        <v>4017.7829999999999</v>
      </c>
      <c r="BH198" s="126">
        <f t="shared" si="344"/>
        <v>15379.020999999999</v>
      </c>
      <c r="BI198" s="126">
        <f t="shared" si="344"/>
        <v>11324.977000000001</v>
      </c>
      <c r="BJ198" s="126">
        <f t="shared" si="344"/>
        <v>7458.4400000000005</v>
      </c>
      <c r="BK198" s="126">
        <f t="shared" si="344"/>
        <v>3499.3809999999999</v>
      </c>
      <c r="BL198" s="126">
        <f t="shared" si="344"/>
        <v>12157.178000000002</v>
      </c>
      <c r="BM198" s="126">
        <f t="shared" si="344"/>
        <v>8863.7019999999993</v>
      </c>
      <c r="BN198" s="126">
        <f t="shared" si="344"/>
        <v>5824.5920000000006</v>
      </c>
      <c r="BO198" s="126">
        <f t="shared" si="344"/>
        <v>2853.4139999999998</v>
      </c>
      <c r="BP198" s="126">
        <f t="shared" si="344"/>
        <v>12235.339000000002</v>
      </c>
      <c r="BQ198" s="126">
        <f t="shared" si="344"/>
        <v>9308.9310000000005</v>
      </c>
      <c r="BR198" s="126">
        <f t="shared" si="344"/>
        <v>6531.4</v>
      </c>
      <c r="BS198" s="126">
        <f t="shared" si="344"/>
        <v>3412.0959999999995</v>
      </c>
    </row>
    <row r="199" spans="1:72" x14ac:dyDescent="0.25">
      <c r="A199" s="74">
        <v>199</v>
      </c>
      <c r="B199" s="248" t="s">
        <v>356</v>
      </c>
      <c r="C199" s="93"/>
      <c r="D199" s="88"/>
      <c r="E199" s="96">
        <f ca="1">OFFSET($E$7,$A199-$A$7,1,1,1)/OFFSET($E$7,$A199-$A$7,5,1,1)-1</f>
        <v>0.17503924646781788</v>
      </c>
      <c r="F199" s="331">
        <f t="shared" ref="F199" si="345">-F12</f>
        <v>1497</v>
      </c>
      <c r="G199" s="331">
        <f t="shared" ref="G199" si="346">-G12</f>
        <v>739</v>
      </c>
      <c r="H199" s="331">
        <f t="shared" ref="H199" si="347">-H12</f>
        <v>2662</v>
      </c>
      <c r="I199" s="331">
        <f t="shared" ref="I199" si="348">-I12</f>
        <v>1954</v>
      </c>
      <c r="J199" s="331">
        <f t="shared" ref="J199:O199" si="349">-J12</f>
        <v>1274</v>
      </c>
      <c r="K199" s="331">
        <f t="shared" si="349"/>
        <v>631</v>
      </c>
      <c r="L199" s="331">
        <f t="shared" si="349"/>
        <v>2319</v>
      </c>
      <c r="M199" s="331">
        <f t="shared" si="349"/>
        <v>1733</v>
      </c>
      <c r="N199" s="331">
        <f t="shared" si="349"/>
        <v>1161</v>
      </c>
      <c r="O199" s="331">
        <f t="shared" si="349"/>
        <v>577</v>
      </c>
      <c r="P199" s="331">
        <f t="shared" ref="P199:AU199" si="350">-P12</f>
        <v>2114</v>
      </c>
      <c r="Q199" s="331">
        <f t="shared" si="350"/>
        <v>1568</v>
      </c>
      <c r="R199" s="331">
        <f t="shared" si="350"/>
        <v>1049</v>
      </c>
      <c r="S199" s="331">
        <f t="shared" si="350"/>
        <v>529</v>
      </c>
      <c r="T199" s="436"/>
      <c r="U199" s="436"/>
      <c r="V199" s="436"/>
      <c r="W199" s="436"/>
      <c r="X199" s="331">
        <f t="shared" si="350"/>
        <v>1521</v>
      </c>
      <c r="Y199" s="331">
        <f t="shared" si="350"/>
        <v>1095</v>
      </c>
      <c r="Z199" s="331">
        <f t="shared" si="350"/>
        <v>676</v>
      </c>
      <c r="AA199" s="331">
        <f t="shared" si="350"/>
        <v>338</v>
      </c>
      <c r="AB199" s="332">
        <f t="shared" si="350"/>
        <v>1242</v>
      </c>
      <c r="AC199" s="332">
        <f t="shared" si="350"/>
        <v>911.70500000000004</v>
      </c>
      <c r="AD199" s="226">
        <f t="shared" si="350"/>
        <v>589.97500000000002</v>
      </c>
      <c r="AE199" s="226">
        <f t="shared" si="350"/>
        <v>452.435</v>
      </c>
      <c r="AF199" s="226">
        <f t="shared" si="350"/>
        <v>1767.491</v>
      </c>
      <c r="AG199" s="226">
        <f t="shared" si="350"/>
        <v>1323.5319999999999</v>
      </c>
      <c r="AH199" s="226">
        <f t="shared" si="350"/>
        <v>881.38300000000004</v>
      </c>
      <c r="AI199" s="226">
        <f t="shared" si="350"/>
        <v>441.8</v>
      </c>
      <c r="AJ199" s="226">
        <f t="shared" si="350"/>
        <v>1250.3109999999999</v>
      </c>
      <c r="AK199" s="226">
        <f t="shared" si="350"/>
        <v>917.92399999999998</v>
      </c>
      <c r="AL199" s="226">
        <f t="shared" si="350"/>
        <v>598.9</v>
      </c>
      <c r="AM199" s="226">
        <f t="shared" si="350"/>
        <v>294.02699999999999</v>
      </c>
      <c r="AN199" s="226">
        <f t="shared" si="350"/>
        <v>890.44399999999996</v>
      </c>
      <c r="AO199" s="226">
        <f t="shared" si="350"/>
        <v>663.74199999999996</v>
      </c>
      <c r="AP199" s="226">
        <f t="shared" si="350"/>
        <v>436.77199999999999</v>
      </c>
      <c r="AQ199" s="226">
        <f t="shared" si="350"/>
        <v>215.27199999999999</v>
      </c>
      <c r="AR199" s="226">
        <f t="shared" si="350"/>
        <v>787.30700000000002</v>
      </c>
      <c r="AS199" s="226">
        <f t="shared" si="350"/>
        <v>571.60199999999998</v>
      </c>
      <c r="AT199" s="226">
        <f t="shared" si="350"/>
        <v>354.22399999999999</v>
      </c>
      <c r="AU199" s="226">
        <f t="shared" si="350"/>
        <v>178.214</v>
      </c>
      <c r="AV199" s="226">
        <f t="shared" ref="AV199:BS199" si="351">-AV12</f>
        <v>607.73299999999995</v>
      </c>
      <c r="AW199" s="226">
        <f t="shared" si="351"/>
        <v>444.56100000000004</v>
      </c>
      <c r="AX199" s="226">
        <f t="shared" si="351"/>
        <v>286.928</v>
      </c>
      <c r="AY199" s="226">
        <f t="shared" si="351"/>
        <v>144.42699999999999</v>
      </c>
      <c r="AZ199" s="226">
        <f t="shared" si="351"/>
        <v>511.19600000000003</v>
      </c>
      <c r="BA199" s="226">
        <f t="shared" si="351"/>
        <v>371.48</v>
      </c>
      <c r="BB199" s="226">
        <f t="shared" si="351"/>
        <v>243.864</v>
      </c>
      <c r="BC199" s="226">
        <f t="shared" si="351"/>
        <v>121.867</v>
      </c>
      <c r="BD199" s="226">
        <f t="shared" si="351"/>
        <v>428.971</v>
      </c>
      <c r="BE199" s="226">
        <f t="shared" si="351"/>
        <v>315.642</v>
      </c>
      <c r="BF199" s="226">
        <f t="shared" si="351"/>
        <v>203.73699999999999</v>
      </c>
      <c r="BG199" s="226">
        <f t="shared" si="351"/>
        <v>96.717999999999989</v>
      </c>
      <c r="BH199" s="226">
        <f t="shared" si="351"/>
        <v>358.04599999999994</v>
      </c>
      <c r="BI199" s="226">
        <f t="shared" si="351"/>
        <v>270.5</v>
      </c>
      <c r="BJ199" s="226">
        <f t="shared" si="351"/>
        <v>172.71199999999999</v>
      </c>
      <c r="BK199" s="226">
        <f t="shared" si="351"/>
        <v>83.703000000000003</v>
      </c>
      <c r="BL199" s="226">
        <f t="shared" si="351"/>
        <v>297.363</v>
      </c>
      <c r="BM199" s="226">
        <f t="shared" si="351"/>
        <v>218.03100000000001</v>
      </c>
      <c r="BN199" s="226">
        <f t="shared" si="351"/>
        <v>141.93199999999999</v>
      </c>
      <c r="BO199" s="226">
        <f t="shared" si="351"/>
        <v>0</v>
      </c>
      <c r="BP199" s="226">
        <f t="shared" si="351"/>
        <v>255.06800000000001</v>
      </c>
      <c r="BQ199" s="226">
        <f t="shared" si="351"/>
        <v>187.86799999999999</v>
      </c>
      <c r="BR199" s="226">
        <f t="shared" si="351"/>
        <v>257.86</v>
      </c>
      <c r="BS199" s="226">
        <f t="shared" si="351"/>
        <v>60.643999999999998</v>
      </c>
    </row>
    <row r="200" spans="1:72" x14ac:dyDescent="0.25">
      <c r="A200" s="74">
        <v>200</v>
      </c>
      <c r="B200" s="248"/>
      <c r="C200" s="93"/>
      <c r="D200" s="88"/>
      <c r="E200" s="96">
        <f ca="1">OFFSET($E$7,$A200-$A$7,1,1,1)/OFFSET($E$7,$A200-$A$7,5,1,1)-1</f>
        <v>-0.13775577124868832</v>
      </c>
      <c r="F200" s="331">
        <f t="shared" ref="F200" si="352">F198+F199</f>
        <v>52590</v>
      </c>
      <c r="G200" s="331">
        <f t="shared" ref="G200" si="353">G198+G199</f>
        <v>27408</v>
      </c>
      <c r="H200" s="331">
        <f t="shared" ref="H200" si="354">H198+H199</f>
        <v>125588</v>
      </c>
      <c r="I200" s="331">
        <f t="shared" ref="I200" si="355">I198+I199</f>
        <v>95904</v>
      </c>
      <c r="J200" s="331">
        <f t="shared" ref="J200" si="356">J198+J199</f>
        <v>60992</v>
      </c>
      <c r="K200" s="331">
        <f t="shared" ref="K200" si="357">K198+K199</f>
        <v>29546</v>
      </c>
      <c r="L200" s="331">
        <f t="shared" ref="L200:Z200" si="358">L198+L199</f>
        <v>83631</v>
      </c>
      <c r="M200" s="331">
        <f t="shared" si="358"/>
        <v>56067</v>
      </c>
      <c r="N200" s="331">
        <f t="shared" si="358"/>
        <v>34982</v>
      </c>
      <c r="O200" s="331">
        <f t="shared" si="358"/>
        <v>16763</v>
      </c>
      <c r="P200" s="331">
        <f t="shared" si="358"/>
        <v>33827</v>
      </c>
      <c r="Q200" s="331">
        <f t="shared" si="358"/>
        <v>19765</v>
      </c>
      <c r="R200" s="331">
        <f t="shared" si="358"/>
        <v>12039</v>
      </c>
      <c r="S200" s="331">
        <f t="shared" si="358"/>
        <v>5559</v>
      </c>
      <c r="T200" s="436"/>
      <c r="U200" s="436"/>
      <c r="V200" s="436"/>
      <c r="W200" s="436"/>
      <c r="X200" s="331">
        <f t="shared" si="358"/>
        <v>16885</v>
      </c>
      <c r="Y200" s="331">
        <f t="shared" si="358"/>
        <v>11568</v>
      </c>
      <c r="Z200" s="331">
        <f t="shared" si="358"/>
        <v>7565</v>
      </c>
      <c r="AA200" s="331">
        <f t="shared" ref="AA200:AF200" si="359">AA198+AA199</f>
        <v>3614</v>
      </c>
      <c r="AB200" s="332">
        <f t="shared" si="359"/>
        <v>17906</v>
      </c>
      <c r="AC200" s="332">
        <f t="shared" si="359"/>
        <v>14017.759</v>
      </c>
      <c r="AD200" s="226">
        <f t="shared" si="359"/>
        <v>9683.6969999999983</v>
      </c>
      <c r="AE200" s="226">
        <f t="shared" si="359"/>
        <v>5030.2890000000007</v>
      </c>
      <c r="AF200" s="226">
        <f t="shared" si="359"/>
        <v>25212.084999999999</v>
      </c>
      <c r="AG200" s="226">
        <f t="shared" ref="AG200:BS200" si="360">AG198+AG199</f>
        <v>19574.098999999998</v>
      </c>
      <c r="AH200" s="226">
        <f t="shared" si="360"/>
        <v>13363.002</v>
      </c>
      <c r="AI200" s="226">
        <f t="shared" si="360"/>
        <v>7110.3690000000006</v>
      </c>
      <c r="AJ200" s="226">
        <f t="shared" si="360"/>
        <v>24143.306999999997</v>
      </c>
      <c r="AK200" s="226">
        <f t="shared" si="360"/>
        <v>17878.468000000001</v>
      </c>
      <c r="AL200" s="226">
        <f t="shared" si="360"/>
        <v>11985.548999999999</v>
      </c>
      <c r="AM200" s="226">
        <f t="shared" si="360"/>
        <v>5909.0120000000006</v>
      </c>
      <c r="AN200" s="226">
        <f t="shared" si="360"/>
        <v>27512.397000000001</v>
      </c>
      <c r="AO200" s="226">
        <f t="shared" si="360"/>
        <v>21384.262999999999</v>
      </c>
      <c r="AP200" s="226">
        <f t="shared" si="360"/>
        <v>14997.498999999998</v>
      </c>
      <c r="AQ200" s="226">
        <f t="shared" si="360"/>
        <v>7662.6999999999989</v>
      </c>
      <c r="AR200" s="226">
        <f t="shared" si="360"/>
        <v>30494.227999999999</v>
      </c>
      <c r="AS200" s="226">
        <f t="shared" si="360"/>
        <v>23500.561999999998</v>
      </c>
      <c r="AT200" s="226">
        <f t="shared" si="360"/>
        <v>15974.503999999997</v>
      </c>
      <c r="AU200" s="226">
        <f t="shared" si="360"/>
        <v>8007.3419999999996</v>
      </c>
      <c r="AV200" s="226">
        <f t="shared" si="360"/>
        <v>33923.726000000002</v>
      </c>
      <c r="AW200" s="226">
        <f t="shared" si="360"/>
        <v>25759.542000000001</v>
      </c>
      <c r="AX200" s="226">
        <f t="shared" si="360"/>
        <v>16935.214</v>
      </c>
      <c r="AY200" s="226">
        <f t="shared" si="360"/>
        <v>8300.6369999999988</v>
      </c>
      <c r="AZ200" s="226">
        <f t="shared" si="360"/>
        <v>20760.600000000002</v>
      </c>
      <c r="BA200" s="226">
        <f t="shared" si="360"/>
        <v>15023.067999999999</v>
      </c>
      <c r="BB200" s="226">
        <f t="shared" si="360"/>
        <v>9747.5460000000003</v>
      </c>
      <c r="BC200" s="226">
        <f t="shared" si="360"/>
        <v>4753.8140000000003</v>
      </c>
      <c r="BD200" s="226">
        <f t="shared" si="360"/>
        <v>17888.503000000001</v>
      </c>
      <c r="BE200" s="226">
        <f t="shared" si="360"/>
        <v>13242.218999999999</v>
      </c>
      <c r="BF200" s="226">
        <f t="shared" si="360"/>
        <v>8597.4309999999987</v>
      </c>
      <c r="BG200" s="226">
        <f t="shared" si="360"/>
        <v>4114.5010000000002</v>
      </c>
      <c r="BH200" s="226">
        <f t="shared" si="360"/>
        <v>15737.066999999999</v>
      </c>
      <c r="BI200" s="226">
        <f t="shared" si="360"/>
        <v>11595.477000000001</v>
      </c>
      <c r="BJ200" s="226">
        <f t="shared" si="360"/>
        <v>7631.152</v>
      </c>
      <c r="BK200" s="226">
        <f t="shared" si="360"/>
        <v>3583.0839999999998</v>
      </c>
      <c r="BL200" s="226">
        <f t="shared" si="360"/>
        <v>12454.541000000001</v>
      </c>
      <c r="BM200" s="226">
        <f t="shared" si="360"/>
        <v>9081.7330000000002</v>
      </c>
      <c r="BN200" s="226">
        <f t="shared" si="360"/>
        <v>5966.5240000000003</v>
      </c>
      <c r="BO200" s="226">
        <f t="shared" si="360"/>
        <v>2853.4139999999998</v>
      </c>
      <c r="BP200" s="226">
        <f t="shared" si="360"/>
        <v>12490.407000000001</v>
      </c>
      <c r="BQ200" s="226">
        <f t="shared" si="360"/>
        <v>9496.7990000000009</v>
      </c>
      <c r="BR200" s="226">
        <f t="shared" si="360"/>
        <v>6789.2599999999993</v>
      </c>
      <c r="BS200" s="226">
        <f t="shared" si="360"/>
        <v>3472.7399999999993</v>
      </c>
    </row>
    <row r="201" spans="1:72" x14ac:dyDescent="0.25">
      <c r="A201" s="74">
        <v>201</v>
      </c>
      <c r="B201" s="75" t="s">
        <v>129</v>
      </c>
      <c r="C201" s="93"/>
      <c r="D201" s="88"/>
      <c r="E201" s="96">
        <f ca="1">OFFSET($E$7,$A201-$A$7,1,1,1)/OFFSET($E$7,$A201-$A$7,5,1,1)-1</f>
        <v>-7.2026375855947289E-2</v>
      </c>
      <c r="F201" s="331">
        <f t="shared" ref="F201" si="361">F189-F198-F199</f>
        <v>36590</v>
      </c>
      <c r="G201" s="331">
        <f t="shared" ref="G201" si="362">G189-G198-G199</f>
        <v>18367</v>
      </c>
      <c r="H201" s="331">
        <f t="shared" ref="H201" si="363">H189-H198-H199</f>
        <v>77758</v>
      </c>
      <c r="I201" s="331">
        <f t="shared" ref="I201" si="364">I189-I198-I199</f>
        <v>59072</v>
      </c>
      <c r="J201" s="331">
        <f t="shared" ref="J201" si="365">J189-J198-J199</f>
        <v>39430</v>
      </c>
      <c r="K201" s="331">
        <f t="shared" ref="K201" si="366">K189-K198-K199</f>
        <v>19928</v>
      </c>
      <c r="L201" s="331">
        <f t="shared" ref="L201:AF201" si="367">L189-L198-L199</f>
        <v>70557</v>
      </c>
      <c r="M201" s="331">
        <f t="shared" si="367"/>
        <v>51210</v>
      </c>
      <c r="N201" s="331">
        <f t="shared" si="367"/>
        <v>33866</v>
      </c>
      <c r="O201" s="331">
        <f t="shared" si="367"/>
        <v>17202</v>
      </c>
      <c r="P201" s="331">
        <f t="shared" si="367"/>
        <v>50832</v>
      </c>
      <c r="Q201" s="331">
        <f t="shared" si="367"/>
        <v>34755</v>
      </c>
      <c r="R201" s="331">
        <f t="shared" si="367"/>
        <v>22095</v>
      </c>
      <c r="S201" s="331">
        <f t="shared" si="367"/>
        <v>11209</v>
      </c>
      <c r="T201" s="436"/>
      <c r="U201" s="436"/>
      <c r="V201" s="436"/>
      <c r="W201" s="436"/>
      <c r="X201" s="331">
        <f t="shared" si="367"/>
        <v>28107.683000000005</v>
      </c>
      <c r="Y201" s="331">
        <f t="shared" si="367"/>
        <v>20155</v>
      </c>
      <c r="Z201" s="331">
        <f t="shared" si="367"/>
        <v>13096</v>
      </c>
      <c r="AA201" s="331">
        <f t="shared" si="367"/>
        <v>6466</v>
      </c>
      <c r="AB201" s="331">
        <f t="shared" si="367"/>
        <v>25524</v>
      </c>
      <c r="AC201" s="331">
        <f t="shared" si="367"/>
        <v>18333.587</v>
      </c>
      <c r="AD201" s="126">
        <f t="shared" si="367"/>
        <v>12293.163000000006</v>
      </c>
      <c r="AE201" s="126">
        <f t="shared" si="367"/>
        <v>6235.6049999999996</v>
      </c>
      <c r="AF201" s="126">
        <f t="shared" si="367"/>
        <v>23281.468999999997</v>
      </c>
      <c r="AG201" s="126">
        <f t="shared" ref="AG201:BS201" si="368">AG189-AG198-AG199</f>
        <v>16914.134000000009</v>
      </c>
      <c r="AH201" s="126">
        <f t="shared" si="368"/>
        <v>11057.761000000002</v>
      </c>
      <c r="AI201" s="126">
        <f t="shared" si="368"/>
        <v>5736.3409999999985</v>
      </c>
      <c r="AJ201" s="126">
        <f t="shared" si="368"/>
        <v>21895.26500000001</v>
      </c>
      <c r="AK201" s="126">
        <f t="shared" si="368"/>
        <v>15829.462999999996</v>
      </c>
      <c r="AL201" s="126">
        <f t="shared" si="368"/>
        <v>10310.014000000003</v>
      </c>
      <c r="AM201" s="126">
        <f t="shared" si="368"/>
        <v>5053.8420000000006</v>
      </c>
      <c r="AN201" s="126">
        <f t="shared" si="368"/>
        <v>19657.520999999997</v>
      </c>
      <c r="AO201" s="126">
        <f t="shared" si="368"/>
        <v>13941.552000000001</v>
      </c>
      <c r="AP201" s="126">
        <f t="shared" si="368"/>
        <v>8793.2519999999986</v>
      </c>
      <c r="AQ201" s="126">
        <f t="shared" si="368"/>
        <v>4453.5990000000002</v>
      </c>
      <c r="AR201" s="126">
        <f t="shared" si="368"/>
        <v>21357.582000000006</v>
      </c>
      <c r="AS201" s="126">
        <f t="shared" si="368"/>
        <v>15506.97</v>
      </c>
      <c r="AT201" s="126">
        <f t="shared" si="368"/>
        <v>10026.615999999998</v>
      </c>
      <c r="AU201" s="126">
        <f t="shared" si="368"/>
        <v>4889.6529999999993</v>
      </c>
      <c r="AV201" s="126">
        <f t="shared" si="368"/>
        <v>16869.748999999996</v>
      </c>
      <c r="AW201" s="126">
        <f t="shared" si="368"/>
        <v>11878.002999999992</v>
      </c>
      <c r="AX201" s="126">
        <f t="shared" si="368"/>
        <v>7952.9909999999982</v>
      </c>
      <c r="AY201" s="126">
        <f t="shared" si="368"/>
        <v>3977.6940000000018</v>
      </c>
      <c r="AZ201" s="126">
        <f t="shared" si="368"/>
        <v>17999.7</v>
      </c>
      <c r="BA201" s="126">
        <f t="shared" si="368"/>
        <v>12602.809000000005</v>
      </c>
      <c r="BB201" s="126">
        <f t="shared" si="368"/>
        <v>8259.6350000000002</v>
      </c>
      <c r="BC201" s="126">
        <f t="shared" si="368"/>
        <v>3967.893</v>
      </c>
      <c r="BD201" s="126">
        <f t="shared" si="368"/>
        <v>12943.022000000003</v>
      </c>
      <c r="BE201" s="126">
        <f t="shared" si="368"/>
        <v>9238.4009999999998</v>
      </c>
      <c r="BF201" s="126">
        <f t="shared" si="368"/>
        <v>5945.3369999999986</v>
      </c>
      <c r="BG201" s="126">
        <f t="shared" si="368"/>
        <v>2890.6400000000008</v>
      </c>
      <c r="BH201" s="126">
        <f t="shared" si="368"/>
        <v>11624.100000000002</v>
      </c>
      <c r="BI201" s="126">
        <f t="shared" si="368"/>
        <v>8610.2319999999945</v>
      </c>
      <c r="BJ201" s="126">
        <f t="shared" si="368"/>
        <v>5788.7880000000005</v>
      </c>
      <c r="BK201" s="126">
        <f t="shared" si="368"/>
        <v>2839.6120000000001</v>
      </c>
      <c r="BL201" s="126">
        <f t="shared" si="368"/>
        <v>13322.563999999995</v>
      </c>
      <c r="BM201" s="126">
        <f t="shared" si="368"/>
        <v>10117.833999999999</v>
      </c>
      <c r="BN201" s="126">
        <f t="shared" si="368"/>
        <v>6645.8789999999981</v>
      </c>
      <c r="BO201" s="126">
        <f t="shared" si="368"/>
        <v>3267.7709999999997</v>
      </c>
      <c r="BP201" s="126">
        <f t="shared" si="368"/>
        <v>11769.359999999999</v>
      </c>
      <c r="BQ201" s="126">
        <f t="shared" si="368"/>
        <v>8858.9659999999985</v>
      </c>
      <c r="BR201" s="126">
        <f t="shared" si="368"/>
        <v>5820.3750000000009</v>
      </c>
      <c r="BS201" s="126">
        <f t="shared" si="368"/>
        <v>3024.5180000000005</v>
      </c>
    </row>
    <row r="202" spans="1:72" x14ac:dyDescent="0.25">
      <c r="A202" s="74">
        <v>202</v>
      </c>
      <c r="B202" s="75"/>
      <c r="C202" s="88"/>
      <c r="D202" s="88"/>
      <c r="E202" s="286"/>
      <c r="F202" s="351"/>
      <c r="G202" s="351"/>
      <c r="H202" s="351"/>
      <c r="I202" s="351"/>
      <c r="J202" s="351"/>
      <c r="K202" s="351"/>
      <c r="L202" s="351"/>
      <c r="M202" s="351"/>
      <c r="N202" s="351"/>
      <c r="O202" s="351"/>
      <c r="P202" s="351"/>
      <c r="Q202" s="351"/>
      <c r="R202" s="351"/>
      <c r="S202" s="351"/>
      <c r="T202" s="351"/>
      <c r="U202" s="351"/>
      <c r="V202" s="351"/>
      <c r="W202" s="351"/>
      <c r="X202" s="351"/>
      <c r="Y202" s="351"/>
      <c r="Z202" s="351"/>
      <c r="AA202" s="351"/>
      <c r="AB202" s="291"/>
      <c r="AC202" s="291"/>
      <c r="AD202" s="291"/>
      <c r="AE202" s="291"/>
      <c r="AF202" s="291"/>
      <c r="AG202" s="291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  <c r="BI202" s="126"/>
      <c r="BJ202" s="126"/>
      <c r="BK202" s="126"/>
      <c r="BL202" s="126"/>
      <c r="BM202" s="126"/>
      <c r="BN202" s="126"/>
      <c r="BO202" s="126"/>
      <c r="BP202" s="126"/>
      <c r="BQ202" s="126"/>
      <c r="BR202" s="126"/>
      <c r="BS202" s="126"/>
    </row>
    <row r="203" spans="1:72" x14ac:dyDescent="0.25">
      <c r="A203" s="74">
        <v>203</v>
      </c>
      <c r="G203" s="301"/>
    </row>
    <row r="204" spans="1:72" x14ac:dyDescent="0.25">
      <c r="A204" s="74">
        <v>204</v>
      </c>
      <c r="B204" s="453" t="s">
        <v>388</v>
      </c>
      <c r="C204" s="506" t="str">
        <f ca="1">OFFSET($E$67,0,1,1,1)&amp;"/ "&amp;OFFSET($E$67,0,2,1,1)</f>
        <v>2Q 2026/ 1Q 2026</v>
      </c>
      <c r="D204" s="352"/>
      <c r="E204" s="506" t="str">
        <f ca="1">OFFSET($E$66,1,1,1,1)&amp;"/ "&amp;OFFSET($E$66,1,5,1,1)</f>
        <v>2Q 2026/ 2Q 2025</v>
      </c>
      <c r="F204" s="446" t="s">
        <v>475</v>
      </c>
      <c r="G204" s="479" t="s">
        <v>472</v>
      </c>
      <c r="H204" s="446" t="s">
        <v>471</v>
      </c>
      <c r="I204" s="446" t="s">
        <v>468</v>
      </c>
      <c r="J204" s="446" t="s">
        <v>466</v>
      </c>
      <c r="K204" s="446" t="s">
        <v>462</v>
      </c>
      <c r="L204" s="446" t="s">
        <v>459</v>
      </c>
      <c r="M204" s="446" t="s">
        <v>457</v>
      </c>
      <c r="N204" s="446" t="s">
        <v>454</v>
      </c>
      <c r="O204" s="446" t="s">
        <v>452</v>
      </c>
      <c r="P204" s="446" t="s">
        <v>451</v>
      </c>
      <c r="Q204" s="446" t="s">
        <v>449</v>
      </c>
      <c r="R204" s="446" t="s">
        <v>447</v>
      </c>
      <c r="S204" s="446" t="s">
        <v>438</v>
      </c>
      <c r="T204" s="446" t="s">
        <v>437</v>
      </c>
      <c r="U204" s="446" t="s">
        <v>434</v>
      </c>
      <c r="V204" s="446" t="s">
        <v>432</v>
      </c>
      <c r="W204" s="446" t="s">
        <v>429</v>
      </c>
      <c r="X204" s="446" t="s">
        <v>424</v>
      </c>
      <c r="Y204" s="446" t="s">
        <v>421</v>
      </c>
      <c r="Z204" s="446" t="s">
        <v>419</v>
      </c>
      <c r="AA204" s="446" t="s">
        <v>415</v>
      </c>
      <c r="AB204" s="446" t="s">
        <v>410</v>
      </c>
      <c r="AC204" s="446" t="s">
        <v>408</v>
      </c>
      <c r="AD204" s="446" t="s">
        <v>406</v>
      </c>
      <c r="AE204" s="446" t="s">
        <v>402</v>
      </c>
      <c r="AF204" s="449" t="s">
        <v>393</v>
      </c>
      <c r="AG204" s="446" t="s">
        <v>387</v>
      </c>
      <c r="AH204" s="446" t="s">
        <v>384</v>
      </c>
      <c r="AI204" s="446" t="s">
        <v>381</v>
      </c>
      <c r="AJ204" s="449" t="s">
        <v>376</v>
      </c>
      <c r="AK204" s="449" t="s">
        <v>373</v>
      </c>
      <c r="AL204" s="446" t="s">
        <v>347</v>
      </c>
      <c r="AM204" s="446" t="s">
        <v>311</v>
      </c>
      <c r="AN204" s="446" t="s">
        <v>309</v>
      </c>
      <c r="AO204" s="449" t="s">
        <v>307</v>
      </c>
      <c r="AP204" s="446" t="s">
        <v>292</v>
      </c>
      <c r="AQ204" s="446" t="s">
        <v>286</v>
      </c>
      <c r="AR204" s="446" t="s">
        <v>274</v>
      </c>
      <c r="AS204" s="446" t="s">
        <v>271</v>
      </c>
      <c r="AT204" s="446" t="s">
        <v>269</v>
      </c>
      <c r="AU204" s="446" t="s">
        <v>266</v>
      </c>
      <c r="AV204" s="446" t="s">
        <v>264</v>
      </c>
      <c r="AW204" s="446" t="s">
        <v>262</v>
      </c>
      <c r="AX204" s="446" t="s">
        <v>256</v>
      </c>
      <c r="AY204" s="446" t="s">
        <v>253</v>
      </c>
      <c r="AZ204" s="446" t="s">
        <v>245</v>
      </c>
      <c r="BA204" s="449" t="s">
        <v>243</v>
      </c>
      <c r="BB204" s="449" t="s">
        <v>240</v>
      </c>
      <c r="BC204" s="449" t="s">
        <v>231</v>
      </c>
      <c r="BD204" s="449" t="s">
        <v>227</v>
      </c>
      <c r="BE204" s="449" t="s">
        <v>222</v>
      </c>
      <c r="BF204" s="446" t="s">
        <v>205</v>
      </c>
      <c r="BG204" s="446" t="s">
        <v>203</v>
      </c>
      <c r="BH204" s="446" t="s">
        <v>200</v>
      </c>
      <c r="BI204" s="446" t="s">
        <v>65</v>
      </c>
      <c r="BJ204" s="446" t="s">
        <v>66</v>
      </c>
      <c r="BK204" s="446" t="s">
        <v>4</v>
      </c>
      <c r="BL204" s="446" t="s">
        <v>67</v>
      </c>
      <c r="BM204" s="446" t="s">
        <v>68</v>
      </c>
      <c r="BN204" s="446" t="s">
        <v>69</v>
      </c>
      <c r="BO204" s="446" t="s">
        <v>5</v>
      </c>
      <c r="BP204" s="446" t="s">
        <v>70</v>
      </c>
      <c r="BQ204" s="446" t="s">
        <v>71</v>
      </c>
      <c r="BR204" s="446" t="s">
        <v>72</v>
      </c>
      <c r="BS204" s="446" t="s">
        <v>6</v>
      </c>
      <c r="BT204" s="488"/>
    </row>
    <row r="205" spans="1:72" x14ac:dyDescent="0.25">
      <c r="A205" s="74">
        <v>205</v>
      </c>
      <c r="B205" s="454"/>
      <c r="C205" s="507"/>
      <c r="D205" s="353"/>
      <c r="E205" s="507"/>
      <c r="F205" s="447"/>
      <c r="G205" s="493"/>
      <c r="H205" s="448"/>
      <c r="I205" s="447"/>
      <c r="J205" s="447"/>
      <c r="K205" s="447"/>
      <c r="L205" s="448"/>
      <c r="M205" s="447"/>
      <c r="N205" s="447"/>
      <c r="O205" s="447"/>
      <c r="P205" s="448"/>
      <c r="Q205" s="447"/>
      <c r="R205" s="447"/>
      <c r="S205" s="447"/>
      <c r="T205" s="448"/>
      <c r="U205" s="447"/>
      <c r="V205" s="447"/>
      <c r="W205" s="447"/>
      <c r="X205" s="448"/>
      <c r="Y205" s="448"/>
      <c r="Z205" s="447"/>
      <c r="AA205" s="447"/>
      <c r="AB205" s="448"/>
      <c r="AC205" s="448"/>
      <c r="AD205" s="448"/>
      <c r="AE205" s="447"/>
      <c r="AF205" s="450"/>
      <c r="AG205" s="448"/>
      <c r="AH205" s="448"/>
      <c r="AI205" s="447"/>
      <c r="AJ205" s="450"/>
      <c r="AK205" s="450"/>
      <c r="AL205" s="447"/>
      <c r="AM205" s="447"/>
      <c r="AN205" s="447"/>
      <c r="AO205" s="450"/>
      <c r="AP205" s="447"/>
      <c r="AQ205" s="447"/>
      <c r="AR205" s="447"/>
      <c r="AS205" s="447"/>
      <c r="AT205" s="447"/>
      <c r="AU205" s="447"/>
      <c r="AV205" s="447"/>
      <c r="AW205" s="447"/>
      <c r="AX205" s="448"/>
      <c r="AY205" s="447"/>
      <c r="AZ205" s="447"/>
      <c r="BA205" s="450"/>
      <c r="BB205" s="450"/>
      <c r="BC205" s="450"/>
      <c r="BD205" s="450"/>
      <c r="BE205" s="450"/>
      <c r="BF205" s="447"/>
      <c r="BG205" s="447"/>
      <c r="BH205" s="447"/>
      <c r="BI205" s="447"/>
      <c r="BJ205" s="447"/>
      <c r="BK205" s="447"/>
      <c r="BL205" s="447"/>
      <c r="BM205" s="447"/>
      <c r="BN205" s="447"/>
      <c r="BO205" s="447"/>
      <c r="BP205" s="447"/>
      <c r="BQ205" s="447"/>
      <c r="BR205" s="447"/>
      <c r="BS205" s="447"/>
      <c r="BT205" s="500"/>
    </row>
    <row r="206" spans="1:72" ht="8.1" customHeight="1" x14ac:dyDescent="0.25">
      <c r="A206" s="74">
        <v>206</v>
      </c>
      <c r="B206" s="8" t="s">
        <v>8</v>
      </c>
      <c r="C206" s="89"/>
      <c r="D206" s="57"/>
      <c r="E206" s="90"/>
      <c r="F206" s="57"/>
      <c r="G206" s="303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8"/>
      <c r="BT206" s="39"/>
    </row>
    <row r="207" spans="1:72" x14ac:dyDescent="0.25">
      <c r="A207" s="74">
        <v>207</v>
      </c>
      <c r="B207" s="75" t="s">
        <v>127</v>
      </c>
      <c r="C207" s="93"/>
      <c r="D207" s="88"/>
      <c r="E207" s="94"/>
      <c r="F207" s="88"/>
      <c r="G207" s="291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75"/>
      <c r="BI207" s="56"/>
      <c r="BJ207" s="56"/>
      <c r="BK207" s="56"/>
      <c r="BL207" s="56"/>
      <c r="BM207" s="56"/>
      <c r="BN207" s="56"/>
      <c r="BO207" s="56"/>
      <c r="BP207" s="56"/>
      <c r="BQ207" s="56"/>
      <c r="BR207" s="56"/>
      <c r="BS207" s="56"/>
    </row>
    <row r="208" spans="1:72" ht="18.75" customHeight="1" x14ac:dyDescent="0.25">
      <c r="A208" s="74">
        <v>208</v>
      </c>
      <c r="B208" s="76" t="s">
        <v>25</v>
      </c>
      <c r="C208" s="93">
        <f ca="1">OFFSET($E$7,$A208-$A$7,1,1,1)/OFFSET($E$7,$A208-$A$7,2,1,1)-1</f>
        <v>-6.5615908256362432E-2</v>
      </c>
      <c r="D208" s="88"/>
      <c r="E208" s="94">
        <f ca="1">OFFSET($E$7,$A208-$A$7,1,1,1)/OFFSET($E$7,$A208-$A$7,5,1,1)-1</f>
        <v>-0.12696946504446971</v>
      </c>
      <c r="F208" s="79">
        <f>F180-G180</f>
        <v>33080</v>
      </c>
      <c r="G208" s="330">
        <f>G180</f>
        <v>35403</v>
      </c>
      <c r="H208" s="79">
        <f t="shared" ref="F208:Z209" si="369">H180-I180</f>
        <v>36724</v>
      </c>
      <c r="I208" s="79">
        <f>I180-J180</f>
        <v>38590</v>
      </c>
      <c r="J208" s="79">
        <f>J180-K180</f>
        <v>37891</v>
      </c>
      <c r="K208" s="79">
        <f>K180</f>
        <v>36959</v>
      </c>
      <c r="L208" s="79">
        <f t="shared" si="369"/>
        <v>35214</v>
      </c>
      <c r="M208" s="79">
        <f>M180-N180</f>
        <v>28762</v>
      </c>
      <c r="N208" s="79">
        <f>N180-O180</f>
        <v>26280</v>
      </c>
      <c r="O208" s="79">
        <f>O180</f>
        <v>25571</v>
      </c>
      <c r="P208" s="79">
        <f t="shared" si="369"/>
        <v>21334</v>
      </c>
      <c r="Q208" s="79">
        <f>Q180-R180</f>
        <v>15568</v>
      </c>
      <c r="R208" s="79">
        <f>R180-S180</f>
        <v>13407</v>
      </c>
      <c r="S208" s="79">
        <f>S180</f>
        <v>11974</v>
      </c>
      <c r="T208" s="404"/>
      <c r="U208" s="404"/>
      <c r="V208" s="404"/>
      <c r="W208" s="404"/>
      <c r="X208" s="79">
        <f t="shared" si="369"/>
        <v>10983.683000000005</v>
      </c>
      <c r="Y208" s="79">
        <f t="shared" si="369"/>
        <v>9610</v>
      </c>
      <c r="Z208" s="79">
        <f t="shared" si="369"/>
        <v>8831</v>
      </c>
      <c r="AA208" s="79">
        <f t="shared" ref="AA208:AF208" si="370">AA209+AA211</f>
        <v>8186</v>
      </c>
      <c r="AB208" s="79">
        <f t="shared" si="370"/>
        <v>9275.0730000000003</v>
      </c>
      <c r="AC208" s="79">
        <f t="shared" si="370"/>
        <v>8429.366</v>
      </c>
      <c r="AD208" s="79">
        <f t="shared" si="370"/>
        <v>8936.1990000000005</v>
      </c>
      <c r="AE208" s="79">
        <f t="shared" si="370"/>
        <v>9009.3619999999992</v>
      </c>
      <c r="AF208" s="79">
        <f t="shared" si="370"/>
        <v>9447.7779999999984</v>
      </c>
      <c r="AG208" s="79">
        <f t="shared" ref="AG208:AM208" si="371">AG209+AG211</f>
        <v>9124.7060000000038</v>
      </c>
      <c r="AH208" s="79">
        <f t="shared" si="371"/>
        <v>8976.5470000000005</v>
      </c>
      <c r="AI208" s="79">
        <f t="shared" si="371"/>
        <v>8655.6029999999992</v>
      </c>
      <c r="AJ208" s="79">
        <f t="shared" si="371"/>
        <v>8434.8120000000017</v>
      </c>
      <c r="AK208" s="79">
        <f t="shared" si="371"/>
        <v>8420.1960000000017</v>
      </c>
      <c r="AL208" s="79">
        <f t="shared" si="371"/>
        <v>7937.5769999999993</v>
      </c>
      <c r="AM208" s="79">
        <f t="shared" si="371"/>
        <v>7832.9410000000007</v>
      </c>
      <c r="AN208" s="79">
        <f t="shared" ref="AN208:AP209" si="372">AN180-AO180</f>
        <v>8530.252999999997</v>
      </c>
      <c r="AO208" s="79">
        <f t="shared" si="372"/>
        <v>8985.4340000000011</v>
      </c>
      <c r="AP208" s="79">
        <f t="shared" si="372"/>
        <v>9069.3700000000008</v>
      </c>
      <c r="AQ208" s="79">
        <f>AQ180</f>
        <v>8805.4369999999999</v>
      </c>
      <c r="AR208" s="79">
        <f t="shared" ref="AR208:AT209" si="373">AR180-AS180</f>
        <v>9577.112000000001</v>
      </c>
      <c r="AS208" s="79">
        <f t="shared" si="373"/>
        <v>9849.4880000000012</v>
      </c>
      <c r="AT208" s="79">
        <f t="shared" si="373"/>
        <v>9868.1540000000005</v>
      </c>
      <c r="AU208" s="79">
        <f>AU180</f>
        <v>9534.9699999999993</v>
      </c>
      <c r="AV208" s="79">
        <f t="shared" ref="AV208:AX209" si="374">AV180-AW180</f>
        <v>10263.565000000002</v>
      </c>
      <c r="AW208" s="79">
        <f t="shared" si="374"/>
        <v>9797.3580000000002</v>
      </c>
      <c r="AX208" s="79">
        <f t="shared" si="374"/>
        <v>9700.1339999999982</v>
      </c>
      <c r="AY208" s="79">
        <f>AY180</f>
        <v>9191.1270000000004</v>
      </c>
      <c r="AZ208" s="79">
        <f t="shared" ref="AZ208:BB209" si="375">AZ180-BA180</f>
        <v>8441.5669999999991</v>
      </c>
      <c r="BA208" s="79">
        <f t="shared" si="375"/>
        <v>7636.9430000000011</v>
      </c>
      <c r="BB208" s="79">
        <f t="shared" si="375"/>
        <v>7379.2460000000001</v>
      </c>
      <c r="BC208" s="79">
        <f>BC180</f>
        <v>6985.7820000000002</v>
      </c>
      <c r="BD208" s="79">
        <f>BD180-BE180</f>
        <v>6861.6769999999997</v>
      </c>
      <c r="BE208" s="79">
        <f>BE180-BF180</f>
        <v>6669.483000000002</v>
      </c>
      <c r="BF208" s="79">
        <f>BF180-BG180</f>
        <v>6271.7579999999989</v>
      </c>
      <c r="BG208" s="79">
        <f>BG180</f>
        <v>5817.7290000000003</v>
      </c>
      <c r="BH208" s="79">
        <f>BH180-BI180</f>
        <v>6065.1820000000007</v>
      </c>
      <c r="BI208" s="79">
        <f>BI180-BJ180</f>
        <v>5666.5210000000006</v>
      </c>
      <c r="BJ208" s="79">
        <f>BJ180-BK180</f>
        <v>5750.2949999999992</v>
      </c>
      <c r="BK208" s="79">
        <f>BK180</f>
        <v>5351.8969999999999</v>
      </c>
      <c r="BL208" s="79">
        <f>BL180-BM180</f>
        <v>5503.8259999999973</v>
      </c>
      <c r="BM208" s="79">
        <f>BM180-BN180</f>
        <v>5644.2920000000013</v>
      </c>
      <c r="BN208" s="79">
        <f>BN180-BO180</f>
        <v>5534.5820000000003</v>
      </c>
      <c r="BO208" s="79">
        <f>BO180</f>
        <v>5271.83</v>
      </c>
      <c r="BP208" s="79">
        <f>BP180-BQ180</f>
        <v>5137.9229999999989</v>
      </c>
      <c r="BQ208" s="79">
        <f>BQ180-BR180</f>
        <v>5060.4590000000007</v>
      </c>
      <c r="BR208" s="79">
        <f>BR180-BS180</f>
        <v>5304.6940000000004</v>
      </c>
      <c r="BS208" s="79">
        <f>BS180</f>
        <v>5685.9579999999996</v>
      </c>
    </row>
    <row r="209" spans="1:71" ht="18.75" customHeight="1" x14ac:dyDescent="0.25">
      <c r="A209" s="74">
        <v>209</v>
      </c>
      <c r="B209" s="131" t="s">
        <v>154</v>
      </c>
      <c r="C209" s="93">
        <f ca="1">OFFSET($E$7,$A209-$A$7,1,1,1)/OFFSET($E$7,$A209-$A$7,2,1,1)-1</f>
        <v>-9.2392687093374004E-2</v>
      </c>
      <c r="D209" s="88"/>
      <c r="E209" s="94">
        <f ca="1">OFFSET($E$7,$A209-$A$7,1,1,1)/OFFSET($E$7,$A209-$A$7,5,1,1)-1</f>
        <v>-0.201668851305988</v>
      </c>
      <c r="F209" s="79">
        <f t="shared" si="369"/>
        <v>24971</v>
      </c>
      <c r="G209" s="330">
        <f>G181</f>
        <v>27513</v>
      </c>
      <c r="H209" s="79">
        <f t="shared" si="369"/>
        <v>29046</v>
      </c>
      <c r="I209" s="79">
        <f t="shared" si="369"/>
        <v>31486</v>
      </c>
      <c r="J209" s="79">
        <f t="shared" si="369"/>
        <v>31279</v>
      </c>
      <c r="K209" s="79">
        <f>K181</f>
        <v>30423</v>
      </c>
      <c r="L209" s="79">
        <f t="shared" si="369"/>
        <v>29305</v>
      </c>
      <c r="M209" s="79">
        <f t="shared" si="369"/>
        <v>23335</v>
      </c>
      <c r="N209" s="79">
        <f t="shared" si="369"/>
        <v>21179</v>
      </c>
      <c r="O209" s="79">
        <f>O181</f>
        <v>20206</v>
      </c>
      <c r="P209" s="79">
        <f t="shared" si="369"/>
        <v>16942</v>
      </c>
      <c r="Q209" s="79">
        <f t="shared" si="369"/>
        <v>11658</v>
      </c>
      <c r="R209" s="79">
        <f t="shared" si="369"/>
        <v>9801</v>
      </c>
      <c r="S209" s="79">
        <f>S181</f>
        <v>8542</v>
      </c>
      <c r="T209" s="404"/>
      <c r="U209" s="404"/>
      <c r="V209" s="404"/>
      <c r="W209" s="404"/>
      <c r="X209" s="79">
        <f t="shared" si="369"/>
        <v>7562.6830000000009</v>
      </c>
      <c r="Y209" s="79">
        <f t="shared" si="369"/>
        <v>6299</v>
      </c>
      <c r="Z209" s="79">
        <f t="shared" si="369"/>
        <v>5710</v>
      </c>
      <c r="AA209" s="79">
        <f>AA181</f>
        <v>5333</v>
      </c>
      <c r="AB209" s="79">
        <f>AB181-AC181</f>
        <v>6489.6239999999998</v>
      </c>
      <c r="AC209" s="79">
        <f>AC181-AD181</f>
        <v>5506.3209999999999</v>
      </c>
      <c r="AD209" s="79">
        <f>AD181-AE181</f>
        <v>5905.8740000000007</v>
      </c>
      <c r="AE209" s="79">
        <f>AE181</f>
        <v>5937.1809999999996</v>
      </c>
      <c r="AF209" s="79">
        <f>AF181-AG181</f>
        <v>6392.976999999999</v>
      </c>
      <c r="AG209" s="79">
        <f>AG181-AH181</f>
        <v>5945.1510000000035</v>
      </c>
      <c r="AH209" s="79">
        <f>AH181-AI181</f>
        <v>6077.6</v>
      </c>
      <c r="AI209" s="79">
        <f>AI181</f>
        <v>5624.07</v>
      </c>
      <c r="AJ209" s="79">
        <f>AJ181-AK181</f>
        <v>5119.2230000000018</v>
      </c>
      <c r="AK209" s="79">
        <f>AK181-AL181</f>
        <v>5741.849000000002</v>
      </c>
      <c r="AL209" s="79">
        <f>AL181-AM181</f>
        <v>5407.976999999999</v>
      </c>
      <c r="AM209" s="79">
        <f>AM181</f>
        <v>5392.2510000000002</v>
      </c>
      <c r="AN209" s="79">
        <f t="shared" si="372"/>
        <v>6146.4029999999984</v>
      </c>
      <c r="AO209" s="79">
        <f t="shared" si="372"/>
        <v>6697.8870000000006</v>
      </c>
      <c r="AP209" s="79">
        <f t="shared" si="372"/>
        <v>6940.4960000000001</v>
      </c>
      <c r="AQ209" s="79">
        <f>AQ181</f>
        <v>7057.7979999999998</v>
      </c>
      <c r="AR209" s="79">
        <f t="shared" si="373"/>
        <v>7589.0610000000015</v>
      </c>
      <c r="AS209" s="79">
        <f t="shared" si="373"/>
        <v>7502.643</v>
      </c>
      <c r="AT209" s="79">
        <f t="shared" si="373"/>
        <v>8201.3610000000008</v>
      </c>
      <c r="AU209" s="79">
        <f>AU181</f>
        <v>7338.02</v>
      </c>
      <c r="AV209" s="79">
        <f t="shared" si="374"/>
        <v>8388.89</v>
      </c>
      <c r="AW209" s="79">
        <f t="shared" si="374"/>
        <v>8039.125</v>
      </c>
      <c r="AX209" s="79">
        <f t="shared" si="374"/>
        <v>8032.5519999999988</v>
      </c>
      <c r="AY209" s="79">
        <f>AY181</f>
        <v>7452.4260000000004</v>
      </c>
      <c r="AZ209" s="79">
        <f t="shared" si="375"/>
        <v>6724.0430000000015</v>
      </c>
      <c r="BA209" s="79">
        <f t="shared" si="375"/>
        <v>6075.351999999999</v>
      </c>
      <c r="BB209" s="79">
        <f t="shared" si="375"/>
        <v>5877.9800000000005</v>
      </c>
      <c r="BC209" s="79">
        <f>BC181</f>
        <v>5608.9170000000004</v>
      </c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</row>
    <row r="210" spans="1:71" s="297" customFormat="1" x14ac:dyDescent="0.25">
      <c r="A210" s="74">
        <v>210</v>
      </c>
      <c r="B210" s="296" t="s">
        <v>394</v>
      </c>
      <c r="C210" s="93"/>
      <c r="D210" s="88"/>
      <c r="E210" s="94"/>
      <c r="F210" s="298">
        <f>SUMIFS(F$182:F$188,$B$182:$B$188,$B210)-SUMIFS(G$182:G$188,$B$182:$B$188,$B210)</f>
        <v>415</v>
      </c>
      <c r="G210" s="319">
        <f>SUMIFS(G$182:G$188,$B$182:$B$188,$B210)</f>
        <v>398</v>
      </c>
      <c r="H210" s="298">
        <f>SUMIFS(H$182:H$188,$B$182:$B$188,$B210)-SUMIFS(I$182:I$188,$B$182:$B$188,$B210)</f>
        <v>392</v>
      </c>
      <c r="I210" s="298">
        <f>SUMIFS(I$182:I$188,$B$182:$B$188,$B210)-SUMIFS(J$182:J$188,$B$182:$B$188,$B210)</f>
        <v>378</v>
      </c>
      <c r="J210" s="298">
        <f>SUMIFS(J$182:J$188,$B$182:$B$188,$B210)-SUMIFS(K$182:K$188,$B$182:$B$188,$B210)</f>
        <v>373</v>
      </c>
      <c r="K210" s="298">
        <f>SUMIFS(K$182:K$188,$B$182:$B$188,$B210)</f>
        <v>402</v>
      </c>
      <c r="L210" s="298">
        <f>SUMIFS(L$182:L$188,$B$182:$B$188,$B210)-SUMIFS(M$182:M$188,$B$182:$B$188,$B210)</f>
        <v>399</v>
      </c>
      <c r="M210" s="298">
        <f>SUMIFS(M$182:M$188,$B$182:$B$188,$B210)-SUMIFS(N$182:N$188,$B$182:$B$188,$B210)</f>
        <v>347</v>
      </c>
      <c r="N210" s="298">
        <f>SUMIFS(N$182:N$188,$B$182:$B$188,$B210)-SUMIFS(O$182:O$188,$B$182:$B$188,$B210)</f>
        <v>315</v>
      </c>
      <c r="O210" s="298">
        <f>SUMIFS(O$182:O$188,$B$182:$B$188,$B210)</f>
        <v>383</v>
      </c>
      <c r="P210" s="298">
        <f>SUMIFS(P$182:P$188,$B$182:$B$188,$B210)-SUMIFS(Q$182:Q$188,$B$182:$B$188,$B210)</f>
        <v>418</v>
      </c>
      <c r="Q210" s="298">
        <f>SUMIFS(Q$182:Q$188,$B$182:$B$188,$B210)-SUMIFS(R$182:R$188,$B$182:$B$188,$B210)</f>
        <v>338</v>
      </c>
      <c r="R210" s="298">
        <f>SUMIFS(R$182:R$188,$B$182:$B$188,$B210)-SUMIFS(S$182:S$188,$B$182:$B$188,$B210)</f>
        <v>287</v>
      </c>
      <c r="S210" s="298">
        <f>SUMIFS(S$182:S$188,$B$182:$B$188,$B210)</f>
        <v>283</v>
      </c>
      <c r="T210" s="435"/>
      <c r="U210" s="435"/>
      <c r="V210" s="435"/>
      <c r="W210" s="435"/>
      <c r="X210" s="298">
        <f>SUMIFS(X$182:X$188,$B$182:$B$188,$B210)-SUMIFS(Y$182:Y$188,$B$182:$B$188,$B210)</f>
        <v>237</v>
      </c>
      <c r="Y210" s="298">
        <f>SUMIFS(Y$182:Y$188,$B$182:$B$188,$B210)-SUMIFS(Z$182:Z$188,$B$182:$B$188,$B210)</f>
        <v>184</v>
      </c>
      <c r="Z210" s="298">
        <f>SUMIFS(Z$182:Z$188,$B$182:$B$188,$B210)-SUMIFS(AA$182:AA$188,$B$182:$B$188,$B210)</f>
        <v>114</v>
      </c>
      <c r="AA210" s="298">
        <f>SUMIFS(AA$182:AA$188,$B$182:$B$188,$B210)</f>
        <v>127</v>
      </c>
      <c r="AB210" s="298">
        <f>SUMIFS(AB$182:AB$188,$B$182:$B$188,$B210)-SUMIFS(AC$182:AC$188,$B$182:$B$188,$B210)</f>
        <v>140.06099999999998</v>
      </c>
      <c r="AC210" s="298">
        <f>SUMIFS(AC$182:AC$188,$B$182:$B$188,$B210)-SUMIFS(AD$182:AD$188,$B$182:$B$188,$B210)</f>
        <v>152.48099999999999</v>
      </c>
      <c r="AD210" s="298">
        <f>SUMIFS(AD$182:AD$188,$B$182:$B$188,$B210)-SUMIFS(AE$182:AE$188,$B$182:$B$188,$B210)</f>
        <v>154.74200000000002</v>
      </c>
      <c r="AE210" s="298">
        <f>SUMIFS(AE$182:AE$188,$B$182:$B$188,$B210)</f>
        <v>175.71600000000001</v>
      </c>
      <c r="AF210" s="298">
        <f t="shared" ref="AF210:AM210" si="376">SUMIFS(AF$182:AF$188,$B$182:$B$188,$B210)-SUMIFS(AG$182:AG$188,$B$182:$B$188,$B210)</f>
        <v>130.14599999999999</v>
      </c>
      <c r="AG210" s="298">
        <f>SUMIFS(AG$182:AG$188,$B$182:$B$188,$B210)-SUMIFS(AH$182:AH$188,$B$182:$B$188,$B210)</f>
        <v>76.484000000000009</v>
      </c>
      <c r="AH210" s="298">
        <f>SUMIFS(AH$182:AH$188,$B$182:$B$188,$B210)-SUMIFS(AI$182:AI$188,$B$182:$B$188,$B210)</f>
        <v>66.661000000000001</v>
      </c>
      <c r="AI210" s="298">
        <f>SUMIFS(AI$182:AI$188,$B$182:$B$188,$B210)</f>
        <v>3.4710000000000001</v>
      </c>
      <c r="AJ210" s="298">
        <f t="shared" si="376"/>
        <v>16.018000000000029</v>
      </c>
      <c r="AK210" s="298">
        <f t="shared" si="376"/>
        <v>224.47799999999998</v>
      </c>
      <c r="AL210" s="298">
        <f t="shared" si="376"/>
        <v>60.921999999999997</v>
      </c>
      <c r="AM210" s="298">
        <f t="shared" si="376"/>
        <v>0</v>
      </c>
      <c r="AN210" s="298"/>
      <c r="AO210" s="298"/>
      <c r="AP210" s="298"/>
      <c r="AQ210" s="298"/>
      <c r="AR210" s="298"/>
      <c r="AS210" s="298"/>
      <c r="AT210" s="298"/>
      <c r="AU210" s="298"/>
      <c r="AV210" s="298"/>
      <c r="AW210" s="298"/>
      <c r="AX210" s="298"/>
      <c r="AY210" s="298"/>
      <c r="AZ210" s="298"/>
      <c r="BA210" s="298"/>
      <c r="BB210" s="298"/>
      <c r="BC210" s="298"/>
      <c r="BD210" s="298"/>
      <c r="BE210" s="298"/>
      <c r="BF210" s="298"/>
      <c r="BG210" s="298"/>
      <c r="BH210" s="298"/>
      <c r="BI210" s="298"/>
      <c r="BJ210" s="298"/>
      <c r="BK210" s="298"/>
      <c r="BL210" s="298"/>
      <c r="BM210" s="298"/>
      <c r="BN210" s="298"/>
      <c r="BO210" s="298"/>
      <c r="BP210" s="298"/>
      <c r="BQ210" s="298"/>
      <c r="BR210" s="298"/>
      <c r="BS210" s="298"/>
    </row>
    <row r="211" spans="1:71" ht="18.75" customHeight="1" x14ac:dyDescent="0.25">
      <c r="A211" s="74">
        <v>211</v>
      </c>
      <c r="B211" s="131" t="s">
        <v>56</v>
      </c>
      <c r="C211" s="93">
        <f t="shared" ref="C211:C217" ca="1" si="377">OFFSET($E$7,$A211-$A$7,1,1,1)/OFFSET($E$7,$A211-$A$7,2,1,1)-1</f>
        <v>2.7756653992395464E-2</v>
      </c>
      <c r="D211" s="88"/>
      <c r="E211" s="94">
        <f t="shared" ref="E211:E217" ca="1" si="378">OFFSET($E$7,$A211-$A$7,1,1,1)/OFFSET($E$7,$A211-$A$7,5,1,1)-1</f>
        <v>0.22640653357531759</v>
      </c>
      <c r="F211" s="79">
        <f>F183-G183</f>
        <v>8109</v>
      </c>
      <c r="G211" s="330">
        <f>G183</f>
        <v>7890</v>
      </c>
      <c r="H211" s="79">
        <f>H183-I183</f>
        <v>7678</v>
      </c>
      <c r="I211" s="79">
        <f>I183-J183</f>
        <v>7104</v>
      </c>
      <c r="J211" s="79">
        <f>J183-K183</f>
        <v>6612</v>
      </c>
      <c r="K211" s="79">
        <f>K183</f>
        <v>6536</v>
      </c>
      <c r="L211" s="79">
        <f>L183-M183</f>
        <v>5909</v>
      </c>
      <c r="M211" s="79">
        <f>M183-N183</f>
        <v>5427</v>
      </c>
      <c r="N211" s="79">
        <f>N183-O183</f>
        <v>5101</v>
      </c>
      <c r="O211" s="79">
        <f>O183</f>
        <v>5365</v>
      </c>
      <c r="P211" s="79">
        <f>P183-Q183</f>
        <v>4392</v>
      </c>
      <c r="Q211" s="79">
        <f>Q183-R183</f>
        <v>3910</v>
      </c>
      <c r="R211" s="79">
        <f>R183-S183</f>
        <v>3606</v>
      </c>
      <c r="S211" s="79">
        <f>S183</f>
        <v>3432</v>
      </c>
      <c r="T211" s="404"/>
      <c r="U211" s="404"/>
      <c r="V211" s="404"/>
      <c r="W211" s="404"/>
      <c r="X211" s="79">
        <f>X183-Y183</f>
        <v>3421</v>
      </c>
      <c r="Y211" s="79">
        <f>Y183-Z183</f>
        <v>3311</v>
      </c>
      <c r="Z211" s="79">
        <f>Z183-AA183</f>
        <v>3121</v>
      </c>
      <c r="AA211" s="79">
        <f>AA183</f>
        <v>2853</v>
      </c>
      <c r="AB211" s="79">
        <f>AB183-AC183</f>
        <v>2785.4490000000005</v>
      </c>
      <c r="AC211" s="79">
        <f>AC183-AD183</f>
        <v>2923.0450000000001</v>
      </c>
      <c r="AD211" s="79">
        <f>AD183-AE183</f>
        <v>3030.3249999999994</v>
      </c>
      <c r="AE211" s="79">
        <f>AE183</f>
        <v>3072.181</v>
      </c>
      <c r="AF211" s="79">
        <f>AF183-AG183</f>
        <v>3054.8009999999995</v>
      </c>
      <c r="AG211" s="79">
        <f>AG183-AH183</f>
        <v>3179.5550000000003</v>
      </c>
      <c r="AH211" s="79">
        <f>AH183-AI183</f>
        <v>2898.9469999999997</v>
      </c>
      <c r="AI211" s="79">
        <f>AI183</f>
        <v>3031.5329999999999</v>
      </c>
      <c r="AJ211" s="79">
        <f>AJ183-AK183</f>
        <v>3315.5890000000009</v>
      </c>
      <c r="AK211" s="79">
        <f>AK183-AL183</f>
        <v>2678.3469999999998</v>
      </c>
      <c r="AL211" s="79">
        <f>AL183-AM183</f>
        <v>2529.6</v>
      </c>
      <c r="AM211" s="79">
        <f>AM183</f>
        <v>2440.69</v>
      </c>
      <c r="AN211" s="79">
        <f>AN183-AO183</f>
        <v>2383.8499999999995</v>
      </c>
      <c r="AO211" s="79">
        <f>AO183-AP183</f>
        <v>2287.5470000000005</v>
      </c>
      <c r="AP211" s="79">
        <f>AP183-AQ183</f>
        <v>2128.8739999999998</v>
      </c>
      <c r="AQ211" s="79">
        <f>AQ183</f>
        <v>1747.6389999999999</v>
      </c>
      <c r="AR211" s="79">
        <f>AR183-AS183</f>
        <v>1866.6319999999996</v>
      </c>
      <c r="AS211" s="79">
        <f>AS183-AT183</f>
        <v>2346.8450000000003</v>
      </c>
      <c r="AT211" s="79">
        <f>AT183-AU183</f>
        <v>1666.7929999999997</v>
      </c>
      <c r="AU211" s="79">
        <f>AU183</f>
        <v>2196.9499999999998</v>
      </c>
      <c r="AV211" s="79">
        <f>AV183-AW183</f>
        <v>1874.6750000000002</v>
      </c>
      <c r="AW211" s="79">
        <f>AW183-AX183</f>
        <v>1758.2329999999993</v>
      </c>
      <c r="AX211" s="79">
        <f>AX183-AY183</f>
        <v>1667.5820000000003</v>
      </c>
      <c r="AY211" s="79">
        <f>AY183</f>
        <v>1738.701</v>
      </c>
      <c r="AZ211" s="79">
        <f>AZ183-BA183</f>
        <v>1717.5239999999994</v>
      </c>
      <c r="BA211" s="79">
        <f>BA183-BB183</f>
        <v>1561.5909999999994</v>
      </c>
      <c r="BB211" s="79">
        <f>BB183-BC183</f>
        <v>1501.2660000000003</v>
      </c>
      <c r="BC211" s="79">
        <f>BC183</f>
        <v>1376.865</v>
      </c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</row>
    <row r="212" spans="1:71" x14ac:dyDescent="0.25">
      <c r="A212" s="74">
        <v>212</v>
      </c>
      <c r="B212" s="323" t="s">
        <v>404</v>
      </c>
      <c r="C212" s="93">
        <f t="shared" ca="1" si="377"/>
        <v>0.17706073752711493</v>
      </c>
      <c r="D212" s="88"/>
      <c r="E212" s="94">
        <f t="shared" ca="1" si="378"/>
        <v>4.5268480616421858E-2</v>
      </c>
      <c r="F212" s="79">
        <f t="shared" ref="F212:Z216" si="379">SUMIFS(F$184:F$188,$B$184:$B$188,$B212)-SUMIFS(G$184:G$188,$B$184:$B$188,$B212)</f>
        <v>4341</v>
      </c>
      <c r="G212" s="330">
        <f>SUMIFS(G$184:G$188,$B$184:$B$188,$B212)</f>
        <v>3688</v>
      </c>
      <c r="H212" s="79">
        <f t="shared" si="379"/>
        <v>3675</v>
      </c>
      <c r="I212" s="79">
        <f t="shared" si="379"/>
        <v>3959</v>
      </c>
      <c r="J212" s="79">
        <f t="shared" si="379"/>
        <v>4153</v>
      </c>
      <c r="K212" s="79">
        <f>SUMIFS(K$184:K$188,$B$184:$B$188,$B212)</f>
        <v>4173</v>
      </c>
      <c r="L212" s="79">
        <f t="shared" si="379"/>
        <v>3226</v>
      </c>
      <c r="M212" s="79">
        <f t="shared" si="379"/>
        <v>2367</v>
      </c>
      <c r="N212" s="79">
        <f t="shared" si="379"/>
        <v>2356</v>
      </c>
      <c r="O212" s="79">
        <f>SUMIFS(O$184:O$188,$B$184:$B$188,$B212)</f>
        <v>2236</v>
      </c>
      <c r="P212" s="79">
        <f t="shared" si="379"/>
        <v>2352</v>
      </c>
      <c r="Q212" s="79">
        <f t="shared" si="379"/>
        <v>2341</v>
      </c>
      <c r="R212" s="79">
        <f t="shared" si="379"/>
        <v>2048</v>
      </c>
      <c r="S212" s="79">
        <f>SUMIFS(S$184:S$188,$B$184:$B$188,$B212)</f>
        <v>1434</v>
      </c>
      <c r="T212" s="404"/>
      <c r="U212" s="404"/>
      <c r="V212" s="404"/>
      <c r="W212" s="404"/>
      <c r="X212" s="79">
        <f t="shared" si="379"/>
        <v>631</v>
      </c>
      <c r="Y212" s="79">
        <f t="shared" si="379"/>
        <v>662</v>
      </c>
      <c r="Z212" s="79">
        <f t="shared" si="379"/>
        <v>813</v>
      </c>
      <c r="AA212" s="79">
        <f>SUMIFS(AA$184:AA$188,$B$184:$B$188,$B212)</f>
        <v>853</v>
      </c>
      <c r="AB212" s="79">
        <f t="shared" ref="AB212:AD216" si="380">SUMIFS(AB$184:AB$188,$B$184:$B$188,$B212)-SUMIFS(AC$184:AC$188,$B$184:$B$188,$B212)</f>
        <v>875.74400000000014</v>
      </c>
      <c r="AC212" s="79">
        <f t="shared" si="380"/>
        <v>875.36099999999988</v>
      </c>
      <c r="AD212" s="79">
        <f t="shared" si="380"/>
        <v>846.32899999999995</v>
      </c>
      <c r="AE212" s="79">
        <f>SUMIFS(AE$184:AE$188,$B$184:$B$188,$B212)</f>
        <v>726.56600000000003</v>
      </c>
      <c r="AF212" s="79">
        <f t="shared" ref="AF212:AH216" si="381">SUMIFS(AF$184:AF$188,$B$184:$B$188,$B212)-SUMIFS(AG$184:AG$188,$B$184:$B$188,$B212)</f>
        <v>678.33499999999981</v>
      </c>
      <c r="AG212" s="79">
        <f t="shared" si="381"/>
        <v>822.36500000000012</v>
      </c>
      <c r="AH212" s="79">
        <f t="shared" si="381"/>
        <v>519.38400000000001</v>
      </c>
      <c r="AI212" s="79">
        <f>SUMIFS(AI$184:AI$188,$B$184:$B$188,$B212)</f>
        <v>405.40199999999999</v>
      </c>
      <c r="AJ212" s="79">
        <f t="shared" ref="AJ212:AL216" si="382">SUMIFS(AJ$184:AJ$188,$B$184:$B$188,$B212)-SUMIFS(AK$184:AK$188,$B$184:$B$188,$B212)</f>
        <v>209.40700000000001</v>
      </c>
      <c r="AK212" s="79">
        <f t="shared" si="382"/>
        <v>131.583</v>
      </c>
      <c r="AL212" s="79">
        <f t="shared" si="382"/>
        <v>0</v>
      </c>
      <c r="AM212" s="79">
        <f>SUMIFS(AM$184:AM$188,$B$184:$B$188,$B212)</f>
        <v>0</v>
      </c>
      <c r="AN212" s="79">
        <f t="shared" ref="AN212:AP216" si="383">SUMIFS(AN$184:AN$188,$B$184:$B$188,$B212)-SUMIFS(AO$184:AO$188,$B$184:$B$188,$B212)</f>
        <v>0</v>
      </c>
      <c r="AO212" s="79">
        <f t="shared" si="383"/>
        <v>0</v>
      </c>
      <c r="AP212" s="79">
        <f t="shared" si="383"/>
        <v>0</v>
      </c>
      <c r="AQ212" s="79">
        <f>SUMIFS(AQ$184:AQ$188,$B$184:$B$188,$B212)</f>
        <v>0</v>
      </c>
      <c r="AR212" s="79">
        <f t="shared" ref="AR212:AT216" si="384">SUMIFS(AR$184:AR$188,$B$184:$B$188,$B212)-SUMIFS(AS$184:AS$188,$B$184:$B$188,$B212)</f>
        <v>0</v>
      </c>
      <c r="AS212" s="79">
        <f t="shared" si="384"/>
        <v>0</v>
      </c>
      <c r="AT212" s="79">
        <f t="shared" si="384"/>
        <v>0</v>
      </c>
      <c r="AU212" s="79">
        <f>SUMIFS(AU$184:AU$188,$B$184:$B$188,$B212)</f>
        <v>0</v>
      </c>
      <c r="AV212" s="79">
        <f t="shared" ref="AV212:AX216" si="385">SUMIFS(AV$184:AV$188,$B$184:$B$188,$B212)-SUMIFS(AW$184:AW$188,$B$184:$B$188,$B212)</f>
        <v>0</v>
      </c>
      <c r="AW212" s="79">
        <f t="shared" si="385"/>
        <v>0</v>
      </c>
      <c r="AX212" s="79">
        <f t="shared" si="385"/>
        <v>0</v>
      </c>
      <c r="AY212" s="79">
        <f>SUMIFS(AY$184:AY$188,$B$184:$B$188,$B212)</f>
        <v>0</v>
      </c>
      <c r="AZ212" s="79">
        <f t="shared" ref="AZ212:BB216" si="386">SUMIFS(AZ$184:AZ$188,$B$184:$B$188,$B212)-SUMIFS(BA$184:BA$188,$B$184:$B$188,$B212)</f>
        <v>0</v>
      </c>
      <c r="BA212" s="79">
        <f t="shared" si="386"/>
        <v>0</v>
      </c>
      <c r="BB212" s="79">
        <f t="shared" si="386"/>
        <v>0</v>
      </c>
      <c r="BC212" s="79">
        <f>SUMIFS(BC$184:BC$188,$B$184:$B$188,$B212)</f>
        <v>0</v>
      </c>
      <c r="BD212" s="79">
        <f t="shared" ref="BD212:BF216" si="387">SUMIFS(BD$184:BD$188,$B$184:$B$188,$B212)-SUMIFS(BE$184:BE$188,$B$184:$B$188,$B212)</f>
        <v>0</v>
      </c>
      <c r="BE212" s="79">
        <f t="shared" si="387"/>
        <v>0</v>
      </c>
      <c r="BF212" s="79">
        <f t="shared" si="387"/>
        <v>0</v>
      </c>
      <c r="BG212" s="79">
        <f>SUMIFS(BG$184:BG$188,$B$184:$B$188,$B212)</f>
        <v>0</v>
      </c>
      <c r="BH212" s="79">
        <f t="shared" ref="BH212:BJ216" si="388">SUMIFS(BH$184:BH$188,$B$184:$B$188,$B212)-SUMIFS(BI$184:BI$188,$B$184:$B$188,$B212)</f>
        <v>0</v>
      </c>
      <c r="BI212" s="79">
        <f t="shared" si="388"/>
        <v>-2.1190000000000002</v>
      </c>
      <c r="BJ212" s="79">
        <f t="shared" si="388"/>
        <v>2.1100000000000003</v>
      </c>
      <c r="BK212" s="79">
        <f>SUMIFS(BK$184:BK$188,$B$184:$B$188,$B212)</f>
        <v>8.9999999999999993E-3</v>
      </c>
      <c r="BL212" s="79">
        <f t="shared" ref="BL212:BN216" si="389">SUMIFS(BL$184:BL$188,$B$184:$B$188,$B212)-SUMIFS(BM$184:BM$188,$B$184:$B$188,$B212)</f>
        <v>0.2240000000000002</v>
      </c>
      <c r="BM212" s="79">
        <f t="shared" si="389"/>
        <v>2.0679999999999996</v>
      </c>
      <c r="BN212" s="79">
        <f t="shared" si="389"/>
        <v>5.03</v>
      </c>
      <c r="BO212" s="79">
        <f>SUMIFS(BO$184:BO$188,$B$184:$B$188,$B212)</f>
        <v>5.0919999999999996</v>
      </c>
      <c r="BP212" s="79">
        <f t="shared" ref="BP212:BR216" si="390">SUMIFS(BP$184:BP$188,$B$184:$B$188,$B212)-SUMIFS(BQ$184:BQ$188,$B$184:$B$188,$B212)</f>
        <v>5.0740000000000016</v>
      </c>
      <c r="BQ212" s="79">
        <f t="shared" si="390"/>
        <v>5.2140000000000004</v>
      </c>
      <c r="BR212" s="79">
        <f t="shared" si="390"/>
        <v>5.161999999999999</v>
      </c>
      <c r="BS212" s="79">
        <f>SUMIFS(BS$184:BS$188,$B$184:$B$188,$B212)</f>
        <v>5.5830000000000002</v>
      </c>
    </row>
    <row r="213" spans="1:71" x14ac:dyDescent="0.25">
      <c r="A213" s="74">
        <v>213</v>
      </c>
      <c r="B213" s="76" t="s">
        <v>371</v>
      </c>
      <c r="C213" s="93">
        <f t="shared" ca="1" si="377"/>
        <v>-0.32935153583617749</v>
      </c>
      <c r="D213" s="88"/>
      <c r="E213" s="94">
        <f t="shared" ca="1" si="378"/>
        <v>-0.62193362193362201</v>
      </c>
      <c r="F213" s="79">
        <f t="shared" si="379"/>
        <v>786</v>
      </c>
      <c r="G213" s="330">
        <f>SUMIFS(G$184:G$188,$B$184:$B$188,$B213)</f>
        <v>1172</v>
      </c>
      <c r="H213" s="79">
        <f t="shared" si="379"/>
        <v>1617</v>
      </c>
      <c r="I213" s="79">
        <f t="shared" si="379"/>
        <v>2275</v>
      </c>
      <c r="J213" s="79">
        <f t="shared" si="379"/>
        <v>2079</v>
      </c>
      <c r="K213" s="79">
        <f>SUMIFS(K$184:K$188,$B$184:$B$188,$B213)</f>
        <v>2234</v>
      </c>
      <c r="L213" s="79">
        <f t="shared" si="379"/>
        <v>1378</v>
      </c>
      <c r="M213" s="79">
        <f t="shared" si="379"/>
        <v>835</v>
      </c>
      <c r="N213" s="79">
        <f t="shared" si="379"/>
        <v>623</v>
      </c>
      <c r="O213" s="79">
        <f>SUMIFS(O$184:O$188,$B$184:$B$188,$B213)</f>
        <v>1384</v>
      </c>
      <c r="P213" s="79">
        <f t="shared" si="379"/>
        <v>1462</v>
      </c>
      <c r="Q213" s="79">
        <f t="shared" si="379"/>
        <v>1211</v>
      </c>
      <c r="R213" s="79">
        <f t="shared" si="379"/>
        <v>692</v>
      </c>
      <c r="S213" s="79">
        <f>SUMIFS(S$184:S$188,$B$184:$B$188,$B213)</f>
        <v>1219</v>
      </c>
      <c r="T213" s="404"/>
      <c r="U213" s="404"/>
      <c r="V213" s="404"/>
      <c r="W213" s="404"/>
      <c r="X213" s="79">
        <f t="shared" si="379"/>
        <v>224</v>
      </c>
      <c r="Y213" s="79">
        <f t="shared" si="379"/>
        <v>168</v>
      </c>
      <c r="Z213" s="79">
        <f t="shared" si="379"/>
        <v>257</v>
      </c>
      <c r="AA213" s="79">
        <f>SUMIFS(AA$184:AA$188,$B$184:$B$188,$B213)</f>
        <v>231</v>
      </c>
      <c r="AB213" s="79">
        <f t="shared" si="380"/>
        <v>84.573999999999955</v>
      </c>
      <c r="AC213" s="79">
        <f t="shared" si="380"/>
        <v>242.26300000000003</v>
      </c>
      <c r="AD213" s="79">
        <f t="shared" si="380"/>
        <v>113.87700000000001</v>
      </c>
      <c r="AE213" s="79">
        <f>SUMIFS(AE$184:AE$188,$B$184:$B$188,$B213)</f>
        <v>345.286</v>
      </c>
      <c r="AF213" s="79">
        <f t="shared" si="381"/>
        <v>280.44299999999998</v>
      </c>
      <c r="AG213" s="79">
        <f t="shared" si="381"/>
        <v>585.30199999999991</v>
      </c>
      <c r="AH213" s="79">
        <f t="shared" si="381"/>
        <v>432.02600000000007</v>
      </c>
      <c r="AI213" s="79">
        <f>SUMIFS(AI$184:AI$188,$B$184:$B$188,$B213)</f>
        <v>628.21100000000001</v>
      </c>
      <c r="AJ213" s="79">
        <f t="shared" si="382"/>
        <v>388.76499999999987</v>
      </c>
      <c r="AK213" s="79">
        <f t="shared" si="382"/>
        <v>291.85900000000015</v>
      </c>
      <c r="AL213" s="79">
        <f t="shared" si="382"/>
        <v>442.83699999999988</v>
      </c>
      <c r="AM213" s="79">
        <f>SUMIFS(AM$184:AM$188,$B$184:$B$188,$B213)</f>
        <v>795.39700000000005</v>
      </c>
      <c r="AN213" s="79">
        <f t="shared" si="383"/>
        <v>518.00800000000004</v>
      </c>
      <c r="AO213" s="79">
        <f t="shared" si="383"/>
        <v>234.38100000000009</v>
      </c>
      <c r="AP213" s="79">
        <f t="shared" si="383"/>
        <v>157.88299999999987</v>
      </c>
      <c r="AQ213" s="79">
        <f>SUMIFS(AQ$184:AQ$188,$B$184:$B$188,$B213)</f>
        <v>396.13000000000005</v>
      </c>
      <c r="AR213" s="79">
        <f t="shared" si="384"/>
        <v>356.81800000000021</v>
      </c>
      <c r="AS213" s="79">
        <f t="shared" si="384"/>
        <v>74.55600000000004</v>
      </c>
      <c r="AT213" s="79">
        <f t="shared" si="384"/>
        <v>321.375</v>
      </c>
      <c r="AU213" s="79">
        <f>SUMIFS(AU$184:AU$188,$B$184:$B$188,$B213)</f>
        <v>533.63699999999994</v>
      </c>
      <c r="AV213" s="79">
        <f t="shared" si="385"/>
        <v>272.61900000000014</v>
      </c>
      <c r="AW213" s="79">
        <f t="shared" si="385"/>
        <v>646.93599999999969</v>
      </c>
      <c r="AX213" s="79">
        <f t="shared" si="385"/>
        <v>730.62800000000004</v>
      </c>
      <c r="AY213" s="79">
        <f>SUMIFS(AY$184:AY$188,$B$184:$B$188,$B213)</f>
        <v>894.28699999999992</v>
      </c>
      <c r="AZ213" s="79">
        <f t="shared" si="386"/>
        <v>612.75200000000018</v>
      </c>
      <c r="BA213" s="79">
        <f t="shared" si="386"/>
        <v>271.59899999999993</v>
      </c>
      <c r="BB213" s="79">
        <f t="shared" si="386"/>
        <v>293.23200000000003</v>
      </c>
      <c r="BC213" s="79">
        <f>SUMIFS(BC$184:BC$188,$B$184:$B$188,$B213)</f>
        <v>176.517</v>
      </c>
      <c r="BD213" s="79">
        <f t="shared" si="387"/>
        <v>98.978000000000009</v>
      </c>
      <c r="BE213" s="79">
        <f t="shared" si="387"/>
        <v>35.820999999999998</v>
      </c>
      <c r="BF213" s="79">
        <f t="shared" si="387"/>
        <v>85.531999999999982</v>
      </c>
      <c r="BG213" s="79">
        <f>SUMIFS(BG$184:BG$188,$B$184:$B$188,$B213)</f>
        <v>81.751000000000005</v>
      </c>
      <c r="BH213" s="79">
        <f t="shared" si="388"/>
        <v>81.018000000000001</v>
      </c>
      <c r="BI213" s="79">
        <f t="shared" si="388"/>
        <v>90.894000000000005</v>
      </c>
      <c r="BJ213" s="79">
        <f t="shared" si="388"/>
        <v>-3.0960000000000036</v>
      </c>
      <c r="BK213" s="79">
        <f>SUMIFS(BK$184:BK$188,$B$184:$B$188,$B213)</f>
        <v>166.285</v>
      </c>
      <c r="BL213" s="79">
        <f t="shared" si="389"/>
        <v>73.900999999999982</v>
      </c>
      <c r="BM213" s="79">
        <f t="shared" si="389"/>
        <v>67.521999999999991</v>
      </c>
      <c r="BN213" s="79">
        <f t="shared" si="389"/>
        <v>49.38900000000001</v>
      </c>
      <c r="BO213" s="79">
        <f>SUMIFS(BO$184:BO$188,$B$184:$B$188,$B213)</f>
        <v>48.304000000000002</v>
      </c>
      <c r="BP213" s="79">
        <f t="shared" si="390"/>
        <v>35.706999999999994</v>
      </c>
      <c r="BQ213" s="79">
        <f t="shared" si="390"/>
        <v>37.067999999999984</v>
      </c>
      <c r="BR213" s="79">
        <f t="shared" si="390"/>
        <v>63.589000000000013</v>
      </c>
      <c r="BS213" s="79">
        <f>SUMIFS(BS$184:BS$188,$B$184:$B$188,$B213)</f>
        <v>76.402000000000001</v>
      </c>
    </row>
    <row r="214" spans="1:71" x14ac:dyDescent="0.25">
      <c r="A214" s="74">
        <v>214</v>
      </c>
      <c r="B214" s="76" t="s">
        <v>23</v>
      </c>
      <c r="C214" s="93">
        <f t="shared" ca="1" si="377"/>
        <v>-4.440059200789348E-2</v>
      </c>
      <c r="D214" s="88"/>
      <c r="E214" s="94">
        <f t="shared" ca="1" si="378"/>
        <v>-0.36188436830835113</v>
      </c>
      <c r="F214" s="79">
        <f t="shared" si="379"/>
        <v>3874</v>
      </c>
      <c r="G214" s="330">
        <f>SUMIFS(G$184:G$188,$B$184:$B$188,$B214)</f>
        <v>4054</v>
      </c>
      <c r="H214" s="79">
        <f t="shared" si="379"/>
        <v>5081</v>
      </c>
      <c r="I214" s="79">
        <f t="shared" si="379"/>
        <v>8710</v>
      </c>
      <c r="J214" s="79">
        <f t="shared" si="379"/>
        <v>6071</v>
      </c>
      <c r="K214" s="79">
        <f>SUMIFS(K$184:K$188,$B$184:$B$188,$B214)</f>
        <v>5756</v>
      </c>
      <c r="L214" s="79">
        <f t="shared" si="379"/>
        <v>5784</v>
      </c>
      <c r="M214" s="79">
        <f t="shared" si="379"/>
        <v>4918</v>
      </c>
      <c r="N214" s="79">
        <f t="shared" si="379"/>
        <v>3872</v>
      </c>
      <c r="O214" s="79">
        <f>SUMIFS(O$184:O$188,$B$184:$B$188,$B214)</f>
        <v>3161</v>
      </c>
      <c r="P214" s="79">
        <f t="shared" si="379"/>
        <v>3923</v>
      </c>
      <c r="Q214" s="79">
        <f t="shared" si="379"/>
        <v>687</v>
      </c>
      <c r="R214" s="79">
        <f t="shared" si="379"/>
        <v>660</v>
      </c>
      <c r="S214" s="79">
        <f>SUMIFS(S$184:S$188,$B$184:$B$188,$B214)</f>
        <v>1445</v>
      </c>
      <c r="T214" s="404"/>
      <c r="U214" s="404"/>
      <c r="V214" s="404"/>
      <c r="W214" s="404"/>
      <c r="X214" s="79">
        <f t="shared" si="379"/>
        <v>1135</v>
      </c>
      <c r="Y214" s="79">
        <f t="shared" si="379"/>
        <v>438</v>
      </c>
      <c r="Z214" s="79">
        <f t="shared" si="379"/>
        <v>526</v>
      </c>
      <c r="AA214" s="79">
        <f>SUMIFS(AA$184:AA$188,$B$184:$B$188,$B214)</f>
        <v>596</v>
      </c>
      <c r="AB214" s="79">
        <f t="shared" si="380"/>
        <v>628.52199999999993</v>
      </c>
      <c r="AC214" s="79">
        <f t="shared" si="380"/>
        <v>558.84400000000005</v>
      </c>
      <c r="AD214" s="79">
        <f t="shared" si="380"/>
        <v>497.07400000000007</v>
      </c>
      <c r="AE214" s="79">
        <f>SUMIFS(AE$184:AE$188,$B$184:$B$188,$B214)</f>
        <v>523.55999999999995</v>
      </c>
      <c r="AF214" s="79">
        <f t="shared" si="381"/>
        <v>797.22499999999991</v>
      </c>
      <c r="AG214" s="79">
        <f t="shared" si="381"/>
        <v>678.18000000000006</v>
      </c>
      <c r="AH214" s="79">
        <f t="shared" si="381"/>
        <v>663.91599999999994</v>
      </c>
      <c r="AI214" s="79">
        <f>SUMIFS(AI$184:AI$188,$B$184:$B$188,$B214)</f>
        <v>1128.5070000000001</v>
      </c>
      <c r="AJ214" s="79">
        <f t="shared" si="382"/>
        <v>1091.4930000000002</v>
      </c>
      <c r="AK214" s="79">
        <f t="shared" si="382"/>
        <v>509.56700000000001</v>
      </c>
      <c r="AL214" s="79">
        <f t="shared" si="382"/>
        <v>863.69399999999996</v>
      </c>
      <c r="AM214" s="79">
        <f>SUMIFS(AM$184:AM$188,$B$184:$B$188,$B214)</f>
        <v>558.30899999999997</v>
      </c>
      <c r="AN214" s="79">
        <f t="shared" si="383"/>
        <v>649.9109999999996</v>
      </c>
      <c r="AO214" s="79">
        <f t="shared" si="383"/>
        <v>594.56800000000021</v>
      </c>
      <c r="AP214" s="79">
        <f t="shared" si="383"/>
        <v>783.76099999999997</v>
      </c>
      <c r="AQ214" s="79">
        <f>SUMIFS(AQ$184:AQ$188,$B$184:$B$188,$B214)</f>
        <v>1053.663</v>
      </c>
      <c r="AR214" s="79">
        <f t="shared" si="384"/>
        <v>982.09500000000003</v>
      </c>
      <c r="AS214" s="79">
        <f t="shared" si="384"/>
        <v>612.33699999999999</v>
      </c>
      <c r="AT214" s="79">
        <f t="shared" si="384"/>
        <v>305.58499999999998</v>
      </c>
      <c r="AU214" s="79">
        <f>SUMIFS(AU$184:AU$188,$B$184:$B$188,$B214)</f>
        <v>247.05</v>
      </c>
      <c r="AV214" s="79">
        <f t="shared" si="385"/>
        <v>315.96499999999992</v>
      </c>
      <c r="AW214" s="79">
        <f t="shared" si="385"/>
        <v>421.41499999999996</v>
      </c>
      <c r="AX214" s="79">
        <f t="shared" si="385"/>
        <v>527.74400000000003</v>
      </c>
      <c r="AY214" s="79">
        <f>SUMIFS(AY$184:AY$188,$B$184:$B$188,$B214)</f>
        <v>940.11199999999997</v>
      </c>
      <c r="AZ214" s="79">
        <f t="shared" si="386"/>
        <v>770.03500000000008</v>
      </c>
      <c r="BA214" s="79">
        <f t="shared" si="386"/>
        <v>433.71899999999994</v>
      </c>
      <c r="BB214" s="79">
        <f t="shared" si="386"/>
        <v>367.82899999999995</v>
      </c>
      <c r="BC214" s="79">
        <f>SUMIFS(BC$184:BC$188,$B$184:$B$188,$B214)</f>
        <v>283.61</v>
      </c>
      <c r="BD214" s="79">
        <f t="shared" si="387"/>
        <v>225.36600000000004</v>
      </c>
      <c r="BE214" s="79">
        <f t="shared" si="387"/>
        <v>211.92500000000001</v>
      </c>
      <c r="BF214" s="79">
        <f t="shared" si="387"/>
        <v>162.38899999999998</v>
      </c>
      <c r="BG214" s="79">
        <f>SUMIFS(BG$184:BG$188,$B$184:$B$188,$B214)</f>
        <v>126.934</v>
      </c>
      <c r="BH214" s="79">
        <f t="shared" si="388"/>
        <v>130.90199999999993</v>
      </c>
      <c r="BI214" s="79">
        <f t="shared" si="388"/>
        <v>135.49299999999999</v>
      </c>
      <c r="BJ214" s="79">
        <f t="shared" si="388"/>
        <v>218.62500000000003</v>
      </c>
      <c r="BK214" s="79">
        <f>SUMIFS(BK$184:BK$188,$B$184:$B$188,$B214)</f>
        <v>58.463000000000001</v>
      </c>
      <c r="BL214" s="79">
        <f t="shared" si="389"/>
        <v>92.995999999999981</v>
      </c>
      <c r="BM214" s="79">
        <f t="shared" si="389"/>
        <v>62.538000000000011</v>
      </c>
      <c r="BN214" s="79">
        <f t="shared" si="389"/>
        <v>55.082999999999998</v>
      </c>
      <c r="BO214" s="79">
        <f>SUMIFS(BO$184:BO$188,$B$184:$B$188,$B214)</f>
        <v>49.070999999999998</v>
      </c>
      <c r="BP214" s="79">
        <f t="shared" si="390"/>
        <v>61.218000000000018</v>
      </c>
      <c r="BQ214" s="79">
        <f t="shared" si="390"/>
        <v>39.544999999999987</v>
      </c>
      <c r="BR214" s="79">
        <f t="shared" si="390"/>
        <v>54.846000000000004</v>
      </c>
      <c r="BS214" s="79">
        <f>SUMIFS(BS$184:BS$188,$B$184:$B$188,$B214)</f>
        <v>44.572000000000003</v>
      </c>
    </row>
    <row r="215" spans="1:71" x14ac:dyDescent="0.25">
      <c r="A215" s="74">
        <v>215</v>
      </c>
      <c r="B215" s="76" t="s">
        <v>21</v>
      </c>
      <c r="C215" s="93">
        <f t="shared" ca="1" si="377"/>
        <v>-0.31668331668331673</v>
      </c>
      <c r="D215" s="88"/>
      <c r="E215" s="94">
        <f t="shared" ca="1" si="378"/>
        <v>-8.4337349397590411E-2</v>
      </c>
      <c r="F215" s="79">
        <f t="shared" si="379"/>
        <v>684</v>
      </c>
      <c r="G215" s="330">
        <f>SUMIFS(G$184:G$188,$B$184:$B$188,$B215)</f>
        <v>1001</v>
      </c>
      <c r="H215" s="79">
        <f t="shared" si="379"/>
        <v>1030</v>
      </c>
      <c r="I215" s="79">
        <f t="shared" si="379"/>
        <v>995</v>
      </c>
      <c r="J215" s="79">
        <f t="shared" si="379"/>
        <v>747</v>
      </c>
      <c r="K215" s="79">
        <f>SUMIFS(K$184:K$188,$B$184:$B$188,$B215)</f>
        <v>352</v>
      </c>
      <c r="L215" s="79">
        <f t="shared" si="379"/>
        <v>1309</v>
      </c>
      <c r="M215" s="79">
        <f t="shared" si="379"/>
        <v>1517</v>
      </c>
      <c r="N215" s="79">
        <f t="shared" si="379"/>
        <v>1675</v>
      </c>
      <c r="O215" s="79">
        <f>SUMIFS(O$184:O$188,$B$184:$B$188,$B215)</f>
        <v>1538</v>
      </c>
      <c r="P215" s="79">
        <f t="shared" si="379"/>
        <v>989</v>
      </c>
      <c r="Q215" s="79">
        <f t="shared" si="379"/>
        <v>281</v>
      </c>
      <c r="R215" s="79">
        <f t="shared" si="379"/>
        <v>296</v>
      </c>
      <c r="S215" s="79">
        <f>SUMIFS(S$184:S$188,$B$184:$B$188,$B215)</f>
        <v>527</v>
      </c>
      <c r="T215" s="404"/>
      <c r="U215" s="404"/>
      <c r="V215" s="404"/>
      <c r="W215" s="404"/>
      <c r="X215" s="79">
        <f t="shared" si="379"/>
        <v>222</v>
      </c>
      <c r="Y215" s="79">
        <f t="shared" si="379"/>
        <v>149</v>
      </c>
      <c r="Z215" s="79">
        <f t="shared" si="379"/>
        <v>124</v>
      </c>
      <c r="AA215" s="79">
        <f>SUMIFS(AA$184:AA$188,$B$184:$B$188,$B215)</f>
        <v>112</v>
      </c>
      <c r="AB215" s="79">
        <f t="shared" si="380"/>
        <v>94.653999999999996</v>
      </c>
      <c r="AC215" s="79">
        <f t="shared" si="380"/>
        <v>151.548</v>
      </c>
      <c r="AD215" s="79">
        <f t="shared" si="380"/>
        <v>188.40499999999997</v>
      </c>
      <c r="AE215" s="79">
        <f>SUMIFS(AE$184:AE$188,$B$184:$B$188,$B215)</f>
        <v>534.39300000000003</v>
      </c>
      <c r="AF215" s="79">
        <f t="shared" si="381"/>
        <v>545.5329999999999</v>
      </c>
      <c r="AG215" s="79">
        <f t="shared" si="381"/>
        <v>572.31600000000026</v>
      </c>
      <c r="AH215" s="79">
        <f t="shared" si="381"/>
        <v>595.8009999999997</v>
      </c>
      <c r="AI215" s="79">
        <f>SUMIFS(AI$184:AI$188,$B$184:$B$188,$B215)</f>
        <v>1504.9860000000001</v>
      </c>
      <c r="AJ215" s="79">
        <f t="shared" si="382"/>
        <v>1271.3710000000001</v>
      </c>
      <c r="AK215" s="79">
        <f t="shared" si="382"/>
        <v>1392.1419999999998</v>
      </c>
      <c r="AL215" s="79">
        <f t="shared" si="382"/>
        <v>1324.498</v>
      </c>
      <c r="AM215" s="79">
        <f>SUMIFS(AM$184:AM$188,$B$184:$B$188,$B215)</f>
        <v>901.02</v>
      </c>
      <c r="AN215" s="79">
        <f t="shared" si="383"/>
        <v>1062.3830000000003</v>
      </c>
      <c r="AO215" s="79">
        <f t="shared" si="383"/>
        <v>773.3599999999999</v>
      </c>
      <c r="AP215" s="79">
        <f t="shared" si="383"/>
        <v>638.55399999999997</v>
      </c>
      <c r="AQ215" s="79">
        <f>SUMIFS(AQ$184:AQ$188,$B$184:$B$188,$B215)</f>
        <v>658.65700000000004</v>
      </c>
      <c r="AR215" s="79">
        <f t="shared" si="384"/>
        <v>620.33199999999988</v>
      </c>
      <c r="AS215" s="79">
        <f t="shared" si="384"/>
        <v>707.97</v>
      </c>
      <c r="AT215" s="79">
        <f t="shared" si="384"/>
        <v>655.72400000000005</v>
      </c>
      <c r="AU215" s="79">
        <f>SUMIFS(AU$184:AU$188,$B$184:$B$188,$B215)</f>
        <v>550.09</v>
      </c>
      <c r="AV215" s="79">
        <f t="shared" si="385"/>
        <v>712.93600000000015</v>
      </c>
      <c r="AW215" s="79">
        <f t="shared" si="385"/>
        <v>273.14999999999998</v>
      </c>
      <c r="AX215" s="79">
        <f t="shared" si="385"/>
        <v>53.350000000000009</v>
      </c>
      <c r="AY215" s="79">
        <f>SUMIFS(AY$184:AY$188,$B$184:$B$188,$B215)</f>
        <v>91.983999999999995</v>
      </c>
      <c r="AZ215" s="79">
        <f t="shared" si="386"/>
        <v>674.64799999999968</v>
      </c>
      <c r="BA215" s="79">
        <f t="shared" si="386"/>
        <v>1276.4349999999999</v>
      </c>
      <c r="BB215" s="79">
        <f t="shared" si="386"/>
        <v>1245.1670000000001</v>
      </c>
      <c r="BC215" s="79">
        <f>SUMIFS(BC$184:BC$188,$B$184:$B$188,$B215)</f>
        <v>1275.798</v>
      </c>
      <c r="BD215" s="79">
        <f t="shared" si="387"/>
        <v>1164.884</v>
      </c>
      <c r="BE215" s="79">
        <f t="shared" si="387"/>
        <v>1020.6229999999998</v>
      </c>
      <c r="BF215" s="79">
        <f t="shared" si="387"/>
        <v>1017.948</v>
      </c>
      <c r="BG215" s="79">
        <f>SUMIFS(BG$184:BG$188,$B$184:$B$188,$B215)</f>
        <v>978.72699999999998</v>
      </c>
      <c r="BH215" s="79">
        <f t="shared" si="388"/>
        <v>878.35600000000022</v>
      </c>
      <c r="BI215" s="79">
        <f t="shared" si="388"/>
        <v>894.97999999999979</v>
      </c>
      <c r="BJ215" s="79">
        <f t="shared" si="388"/>
        <v>1029.31</v>
      </c>
      <c r="BK215" s="79">
        <f>SUMIFS(BK$184:BK$188,$B$184:$B$188,$B215)</f>
        <v>846.04200000000003</v>
      </c>
      <c r="BL215" s="79">
        <f t="shared" si="389"/>
        <v>906.59099999999989</v>
      </c>
      <c r="BM215" s="79">
        <f t="shared" si="389"/>
        <v>810.74400000000014</v>
      </c>
      <c r="BN215" s="79">
        <f t="shared" si="389"/>
        <v>847.1339999999999</v>
      </c>
      <c r="BO215" s="79">
        <f>SUMIFS(BO$184:BO$188,$B$184:$B$188,$B215)</f>
        <v>746.88800000000003</v>
      </c>
      <c r="BP215" s="79">
        <f t="shared" si="390"/>
        <v>664.08000000000015</v>
      </c>
      <c r="BQ215" s="79">
        <f t="shared" si="390"/>
        <v>603.84400000000005</v>
      </c>
      <c r="BR215" s="79">
        <f t="shared" si="390"/>
        <v>684.0859999999999</v>
      </c>
      <c r="BS215" s="79">
        <f>SUMIFS(BS$184:BS$188,$B$184:$B$188,$B215)</f>
        <v>684.74300000000005</v>
      </c>
    </row>
    <row r="216" spans="1:71" x14ac:dyDescent="0.25">
      <c r="A216" s="74">
        <v>216</v>
      </c>
      <c r="B216" s="247" t="s">
        <v>335</v>
      </c>
      <c r="C216" s="93">
        <f t="shared" ca="1" si="377"/>
        <v>0.40043763676148791</v>
      </c>
      <c r="D216" s="88"/>
      <c r="E216" s="94">
        <f t="shared" ca="1" si="378"/>
        <v>90.428571428571431</v>
      </c>
      <c r="F216" s="79">
        <f t="shared" si="379"/>
        <v>640</v>
      </c>
      <c r="G216" s="330">
        <f>SUMIFS(G$184:G$188,$B$184:$B$188,$B216)</f>
        <v>457</v>
      </c>
      <c r="H216" s="79">
        <f t="shared" si="379"/>
        <v>243</v>
      </c>
      <c r="I216" s="79">
        <f t="shared" si="379"/>
        <v>25</v>
      </c>
      <c r="J216" s="79">
        <f t="shared" si="379"/>
        <v>7</v>
      </c>
      <c r="K216" s="79">
        <f>SUMIFS(K$184:K$188,$B$184:$B$188,$B216)</f>
        <v>0</v>
      </c>
      <c r="L216" s="79">
        <f t="shared" si="379"/>
        <v>0</v>
      </c>
      <c r="M216" s="79">
        <f t="shared" si="379"/>
        <v>30</v>
      </c>
      <c r="N216" s="79">
        <f t="shared" si="379"/>
        <v>77</v>
      </c>
      <c r="O216" s="79">
        <f>SUMIFS(O$184:O$188,$B$184:$B$188,$B216)</f>
        <v>75</v>
      </c>
      <c r="P216" s="79">
        <f t="shared" si="379"/>
        <v>79</v>
      </c>
      <c r="Q216" s="79">
        <f t="shared" si="379"/>
        <v>298</v>
      </c>
      <c r="R216" s="79">
        <f t="shared" si="379"/>
        <v>263</v>
      </c>
      <c r="S216" s="79">
        <f>SUMIFS(S$184:S$188,$B$184:$B$188,$B216)</f>
        <v>169</v>
      </c>
      <c r="T216" s="404"/>
      <c r="U216" s="404"/>
      <c r="V216" s="404"/>
      <c r="W216" s="404"/>
      <c r="X216" s="79">
        <f t="shared" si="379"/>
        <v>74</v>
      </c>
      <c r="Y216" s="79">
        <f t="shared" si="379"/>
        <v>35</v>
      </c>
      <c r="Z216" s="79">
        <f t="shared" si="379"/>
        <v>30</v>
      </c>
      <c r="AA216" s="79">
        <f>SUMIFS(AA$184:AA$188,$B$184:$B$188,$B216)</f>
        <v>102</v>
      </c>
      <c r="AB216" s="79">
        <f t="shared" si="380"/>
        <v>120.08699999999999</v>
      </c>
      <c r="AC216" s="79">
        <f t="shared" si="380"/>
        <v>117.10400000000001</v>
      </c>
      <c r="AD216" s="79">
        <f t="shared" si="380"/>
        <v>129.08199999999999</v>
      </c>
      <c r="AE216" s="79">
        <f>SUMIFS(AE$184:AE$188,$B$184:$B$188,$B216)</f>
        <v>126.727</v>
      </c>
      <c r="AF216" s="79">
        <f t="shared" si="381"/>
        <v>256.00700000000006</v>
      </c>
      <c r="AG216" s="79">
        <f t="shared" si="381"/>
        <v>284.601</v>
      </c>
      <c r="AH216" s="79">
        <f t="shared" si="381"/>
        <v>386.37900000000002</v>
      </c>
      <c r="AI216" s="79">
        <f>SUMIFS(AI$184:AI$188,$B$184:$B$188,$B216)</f>
        <v>524.00099999999998</v>
      </c>
      <c r="AJ216" s="79">
        <f t="shared" si="382"/>
        <v>934.79299999999967</v>
      </c>
      <c r="AK216" s="79">
        <f t="shared" si="382"/>
        <v>667.02100000000019</v>
      </c>
      <c r="AL216" s="79">
        <f t="shared" si="382"/>
        <v>764.10299999999995</v>
      </c>
      <c r="AM216" s="79">
        <f>SUMIFS(AM$184:AM$188,$B$184:$B$188,$B216)</f>
        <v>875.18700000000001</v>
      </c>
      <c r="AN216" s="79">
        <f t="shared" si="383"/>
        <v>1083.5479999999998</v>
      </c>
      <c r="AO216" s="79">
        <f t="shared" si="383"/>
        <v>947.32100000000037</v>
      </c>
      <c r="AP216" s="79">
        <f t="shared" si="383"/>
        <v>1024.8839999999998</v>
      </c>
      <c r="AQ216" s="79">
        <f>SUMIFS(AQ$184:AQ$188,$B$184:$B$188,$B216)</f>
        <v>1202.412</v>
      </c>
      <c r="AR216" s="79">
        <f t="shared" si="384"/>
        <v>1307.9210000000003</v>
      </c>
      <c r="AS216" s="79">
        <f t="shared" si="384"/>
        <v>1762.0609999999997</v>
      </c>
      <c r="AT216" s="79">
        <f t="shared" si="384"/>
        <v>1953.2869999999998</v>
      </c>
      <c r="AU216" s="79">
        <f>SUMIFS(AU$184:AU$188,$B$184:$B$188,$B216)</f>
        <v>2031.248</v>
      </c>
      <c r="AV216" s="79">
        <f t="shared" si="385"/>
        <v>1590.8450000000003</v>
      </c>
      <c r="AW216" s="79">
        <f t="shared" si="385"/>
        <v>1610.4809999999998</v>
      </c>
      <c r="AX216" s="79">
        <f t="shared" si="385"/>
        <v>1598.018</v>
      </c>
      <c r="AY216" s="79">
        <f>SUMIFS(AY$184:AY$188,$B$184:$B$188,$B216)</f>
        <v>1160.8209999999999</v>
      </c>
      <c r="AZ216" s="79">
        <f t="shared" si="386"/>
        <v>635.42100000000005</v>
      </c>
      <c r="BA216" s="79">
        <f t="shared" si="386"/>
        <v>0</v>
      </c>
      <c r="BB216" s="79">
        <f t="shared" si="386"/>
        <v>0</v>
      </c>
      <c r="BC216" s="79">
        <f>SUMIFS(BC$184:BC$188,$B$184:$B$188,$B216)</f>
        <v>0</v>
      </c>
      <c r="BD216" s="79">
        <f t="shared" si="387"/>
        <v>0</v>
      </c>
      <c r="BE216" s="79">
        <f t="shared" si="387"/>
        <v>0</v>
      </c>
      <c r="BF216" s="79">
        <f t="shared" si="387"/>
        <v>0</v>
      </c>
      <c r="BG216" s="79">
        <f>SUMIFS(BG$184:BG$188,$B$184:$B$188,$B216)</f>
        <v>0</v>
      </c>
      <c r="BH216" s="79">
        <f t="shared" si="388"/>
        <v>0</v>
      </c>
      <c r="BI216" s="79">
        <f t="shared" si="388"/>
        <v>0</v>
      </c>
      <c r="BJ216" s="79">
        <f t="shared" si="388"/>
        <v>0</v>
      </c>
      <c r="BK216" s="79">
        <f>SUMIFS(BK$184:BK$188,$B$184:$B$188,$B216)</f>
        <v>0</v>
      </c>
      <c r="BL216" s="79">
        <f t="shared" si="389"/>
        <v>0</v>
      </c>
      <c r="BM216" s="79">
        <f t="shared" si="389"/>
        <v>0</v>
      </c>
      <c r="BN216" s="79">
        <f t="shared" si="389"/>
        <v>0</v>
      </c>
      <c r="BO216" s="79">
        <f>SUMIFS(BO$184:BO$188,$B$184:$B$188,$B216)</f>
        <v>0</v>
      </c>
      <c r="BP216" s="79">
        <f t="shared" si="390"/>
        <v>0</v>
      </c>
      <c r="BQ216" s="79">
        <f t="shared" si="390"/>
        <v>0</v>
      </c>
      <c r="BR216" s="79">
        <f t="shared" si="390"/>
        <v>0</v>
      </c>
      <c r="BS216" s="79">
        <f>SUMIFS(BS$184:BS$188,$B$184:$B$188,$B216)</f>
        <v>0</v>
      </c>
    </row>
    <row r="217" spans="1:71" s="77" customFormat="1" ht="18.75" customHeight="1" x14ac:dyDescent="0.25">
      <c r="A217" s="74">
        <v>217</v>
      </c>
      <c r="B217" s="75" t="s">
        <v>195</v>
      </c>
      <c r="C217" s="96">
        <f t="shared" ca="1" si="377"/>
        <v>-5.1774986346258878E-2</v>
      </c>
      <c r="D217" s="96"/>
      <c r="E217" s="96">
        <f t="shared" ca="1" si="378"/>
        <v>-0.14805291669937981</v>
      </c>
      <c r="F217" s="126">
        <f t="shared" ref="F217" si="391">SUM(F208,F212:F216)</f>
        <v>43405</v>
      </c>
      <c r="G217" s="331">
        <f t="shared" ref="G217" si="392">SUM(G208,G212:G216)</f>
        <v>45775</v>
      </c>
      <c r="H217" s="126">
        <f t="shared" ref="H217" si="393">SUM(H208,H212:H216)</f>
        <v>48370</v>
      </c>
      <c r="I217" s="126">
        <f t="shared" ref="I217" si="394">SUM(I208,I212:I216)</f>
        <v>54554</v>
      </c>
      <c r="J217" s="126">
        <f t="shared" ref="J217" si="395">SUM(J208,J212:J216)</f>
        <v>50948</v>
      </c>
      <c r="K217" s="126">
        <f t="shared" ref="K217" si="396">SUM(K208,K212:K216)</f>
        <v>49474</v>
      </c>
      <c r="L217" s="126">
        <f t="shared" ref="L217:S217" si="397">SUM(L208,L212:L216)</f>
        <v>46911</v>
      </c>
      <c r="M217" s="126">
        <f t="shared" si="397"/>
        <v>38429</v>
      </c>
      <c r="N217" s="126">
        <f t="shared" si="397"/>
        <v>34883</v>
      </c>
      <c r="O217" s="126">
        <f t="shared" si="397"/>
        <v>33965</v>
      </c>
      <c r="P217" s="126">
        <f t="shared" si="397"/>
        <v>30139</v>
      </c>
      <c r="Q217" s="126">
        <f t="shared" si="397"/>
        <v>20386</v>
      </c>
      <c r="R217" s="126">
        <f t="shared" si="397"/>
        <v>17366</v>
      </c>
      <c r="S217" s="126">
        <f t="shared" si="397"/>
        <v>16768</v>
      </c>
      <c r="T217" s="436"/>
      <c r="U217" s="436"/>
      <c r="V217" s="436"/>
      <c r="W217" s="436"/>
      <c r="X217" s="126">
        <f t="shared" ref="X217:Z217" si="398">SUM(X208,X212:X216)</f>
        <v>13269.683000000005</v>
      </c>
      <c r="Y217" s="126">
        <f t="shared" si="398"/>
        <v>11062</v>
      </c>
      <c r="Z217" s="126">
        <f t="shared" si="398"/>
        <v>10581</v>
      </c>
      <c r="AA217" s="126">
        <f>AA189</f>
        <v>10080</v>
      </c>
      <c r="AB217" s="126">
        <f>SUM(AB208,AB212:AB216)</f>
        <v>11078.654</v>
      </c>
      <c r="AC217" s="126">
        <f>SUM(AC208,AC212:AC216)</f>
        <v>10374.485999999999</v>
      </c>
      <c r="AD217" s="126">
        <f>SUM(AD208,AD212:AD216)</f>
        <v>10710.966000000002</v>
      </c>
      <c r="AE217" s="126">
        <f>AE189</f>
        <v>11265.894</v>
      </c>
      <c r="AF217" s="126">
        <f>SUM(AF208,AF212:AF216)</f>
        <v>12005.320999999996</v>
      </c>
      <c r="AG217" s="126">
        <f t="shared" ref="AG217:BS217" si="399">SUM(AG208,AG212:AG216)</f>
        <v>12067.470000000005</v>
      </c>
      <c r="AH217" s="126">
        <f t="shared" si="399"/>
        <v>11574.053</v>
      </c>
      <c r="AI217" s="126">
        <f t="shared" si="399"/>
        <v>12846.71</v>
      </c>
      <c r="AJ217" s="126">
        <f t="shared" si="399"/>
        <v>12330.641000000001</v>
      </c>
      <c r="AK217" s="126">
        <f t="shared" si="399"/>
        <v>11412.368000000002</v>
      </c>
      <c r="AL217" s="126">
        <f t="shared" si="399"/>
        <v>11332.708999999997</v>
      </c>
      <c r="AM217" s="126">
        <f t="shared" si="399"/>
        <v>10962.854000000001</v>
      </c>
      <c r="AN217" s="126">
        <f t="shared" si="399"/>
        <v>11844.102999999996</v>
      </c>
      <c r="AO217" s="126">
        <f t="shared" si="399"/>
        <v>11535.064000000002</v>
      </c>
      <c r="AP217" s="126">
        <f t="shared" si="399"/>
        <v>11674.452000000001</v>
      </c>
      <c r="AQ217" s="126">
        <f t="shared" si="399"/>
        <v>12116.298999999999</v>
      </c>
      <c r="AR217" s="126">
        <f t="shared" si="399"/>
        <v>12844.278</v>
      </c>
      <c r="AS217" s="126">
        <f t="shared" si="399"/>
        <v>13006.412</v>
      </c>
      <c r="AT217" s="126">
        <f t="shared" si="399"/>
        <v>13104.125</v>
      </c>
      <c r="AU217" s="126">
        <f t="shared" si="399"/>
        <v>12896.994999999999</v>
      </c>
      <c r="AV217" s="126">
        <f t="shared" si="399"/>
        <v>13155.930000000004</v>
      </c>
      <c r="AW217" s="126">
        <f t="shared" si="399"/>
        <v>12749.339999999998</v>
      </c>
      <c r="AX217" s="126">
        <f t="shared" si="399"/>
        <v>12609.874</v>
      </c>
      <c r="AY217" s="126">
        <f t="shared" si="399"/>
        <v>12278.331</v>
      </c>
      <c r="AZ217" s="126">
        <f t="shared" si="399"/>
        <v>11134.422999999999</v>
      </c>
      <c r="BA217" s="126">
        <f t="shared" si="399"/>
        <v>9618.6959999999999</v>
      </c>
      <c r="BB217" s="126">
        <f t="shared" si="399"/>
        <v>9285.4740000000002</v>
      </c>
      <c r="BC217" s="126">
        <f t="shared" si="399"/>
        <v>8721.7070000000003</v>
      </c>
      <c r="BD217" s="126">
        <f t="shared" si="399"/>
        <v>8350.9049999999988</v>
      </c>
      <c r="BE217" s="126">
        <f t="shared" si="399"/>
        <v>7937.8520000000017</v>
      </c>
      <c r="BF217" s="126">
        <f t="shared" si="399"/>
        <v>7537.6269999999995</v>
      </c>
      <c r="BG217" s="126">
        <f t="shared" si="399"/>
        <v>7005.1410000000005</v>
      </c>
      <c r="BH217" s="126">
        <f t="shared" si="399"/>
        <v>7155.4580000000005</v>
      </c>
      <c r="BI217" s="126">
        <f t="shared" si="399"/>
        <v>6785.7690000000011</v>
      </c>
      <c r="BJ217" s="126">
        <f t="shared" si="399"/>
        <v>6997.2439999999988</v>
      </c>
      <c r="BK217" s="126">
        <f t="shared" si="399"/>
        <v>6422.6959999999999</v>
      </c>
      <c r="BL217" s="126">
        <f t="shared" si="399"/>
        <v>6577.5379999999968</v>
      </c>
      <c r="BM217" s="126">
        <f t="shared" si="399"/>
        <v>6587.1640000000025</v>
      </c>
      <c r="BN217" s="126">
        <f t="shared" si="399"/>
        <v>6491.2179999999998</v>
      </c>
      <c r="BO217" s="126">
        <f t="shared" si="399"/>
        <v>6121.1849999999995</v>
      </c>
      <c r="BP217" s="126">
        <f t="shared" si="399"/>
        <v>5904.0019999999986</v>
      </c>
      <c r="BQ217" s="126">
        <f t="shared" si="399"/>
        <v>5746.130000000001</v>
      </c>
      <c r="BR217" s="126">
        <f t="shared" si="399"/>
        <v>6112.3770000000013</v>
      </c>
      <c r="BS217" s="126">
        <f t="shared" si="399"/>
        <v>6497.2579999999998</v>
      </c>
    </row>
    <row r="218" spans="1:71" ht="18.75" customHeight="1" x14ac:dyDescent="0.25">
      <c r="A218" s="74">
        <v>218</v>
      </c>
      <c r="B218" s="75" t="s">
        <v>128</v>
      </c>
      <c r="C218" s="93"/>
      <c r="D218" s="88"/>
      <c r="E218" s="94"/>
      <c r="F218" s="88"/>
      <c r="G218" s="291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438"/>
      <c r="U218" s="438"/>
      <c r="V218" s="438"/>
      <c r="W218" s="438"/>
      <c r="X218" s="88"/>
      <c r="Y218" s="88"/>
      <c r="Z218" s="88"/>
      <c r="AA218" s="336"/>
      <c r="AB218" s="88"/>
      <c r="AC218" s="88"/>
      <c r="AD218" s="88"/>
      <c r="AE218" s="336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79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</row>
    <row r="219" spans="1:71" x14ac:dyDescent="0.25">
      <c r="A219" s="74">
        <v>219</v>
      </c>
      <c r="B219" s="62" t="s">
        <v>32</v>
      </c>
      <c r="C219" s="93">
        <f ca="1">OFFSET($E$7,$A219-$A$7,1,1,1)/OFFSET($E$7,$A219-$A$7,2,1,1)-1</f>
        <v>-0.15808170515097686</v>
      </c>
      <c r="D219" s="88"/>
      <c r="E219" s="94">
        <f ca="1">OFFSET($E$7,$A219-$A$7,1,1,1)/OFFSET($E$7,$A219-$A$7,5,1,1)-1</f>
        <v>-0.33697863682604268</v>
      </c>
      <c r="F219" s="79">
        <f t="shared" ref="F219:Z224" si="400">SUMIFS(F$191:F$197,$B$191:$B$197,$B219)-SUMIFS(G$191:G$197,$B$191:$B$197,$B219)</f>
        <v>5214</v>
      </c>
      <c r="G219" s="330">
        <f t="shared" ref="G219:G225" si="401">SUMIFS(G$191:G$197,$B$191:$B$197,$B219)</f>
        <v>6193</v>
      </c>
      <c r="H219" s="79">
        <f t="shared" si="400"/>
        <v>7622</v>
      </c>
      <c r="I219" s="79">
        <f t="shared" si="400"/>
        <v>11961</v>
      </c>
      <c r="J219" s="79">
        <f t="shared" si="400"/>
        <v>7864</v>
      </c>
      <c r="K219" s="79">
        <f t="shared" ref="K219:K225" si="402">SUMIFS(K$191:K$197,$B$191:$B$197,$B219)</f>
        <v>7060</v>
      </c>
      <c r="L219" s="79">
        <f t="shared" si="400"/>
        <v>9848</v>
      </c>
      <c r="M219" s="79">
        <f t="shared" si="400"/>
        <v>8093</v>
      </c>
      <c r="N219" s="79">
        <f t="shared" si="400"/>
        <v>7023</v>
      </c>
      <c r="O219" s="79">
        <f t="shared" ref="O219:O225" si="403">SUMIFS(O$191:O$197,$B$191:$B$197,$B219)</f>
        <v>6306</v>
      </c>
      <c r="P219" s="79">
        <f t="shared" si="400"/>
        <v>5828</v>
      </c>
      <c r="Q219" s="79">
        <f t="shared" si="400"/>
        <v>2280</v>
      </c>
      <c r="R219" s="79">
        <f t="shared" si="400"/>
        <v>1489</v>
      </c>
      <c r="S219" s="79">
        <f t="shared" ref="S219:S225" si="404">SUMIFS(S$191:S$197,$B$191:$B$197,$B219)</f>
        <v>696</v>
      </c>
      <c r="T219" s="404"/>
      <c r="U219" s="404"/>
      <c r="V219" s="404"/>
      <c r="W219" s="404"/>
      <c r="X219" s="79">
        <f t="shared" si="400"/>
        <v>1846</v>
      </c>
      <c r="Y219" s="79">
        <f t="shared" si="400"/>
        <v>749</v>
      </c>
      <c r="Z219" s="79">
        <f t="shared" si="400"/>
        <v>951</v>
      </c>
      <c r="AA219" s="79">
        <f t="shared" ref="AA219:AA224" si="405">SUMIFS(AA$191:AA$197,$B$191:$B$197,$B219)</f>
        <v>815</v>
      </c>
      <c r="AB219" s="79">
        <f t="shared" ref="AB219:AD224" si="406">SUMIFS(AB$191:AB$197,$B$191:$B$197,$B219)-SUMIFS(AC$191:AC$197,$B$191:$B$197,$B219)</f>
        <v>976.21099999999979</v>
      </c>
      <c r="AC219" s="79">
        <f t="shared" si="406"/>
        <v>1236.8430000000003</v>
      </c>
      <c r="AD219" s="79">
        <f t="shared" si="406"/>
        <v>1295.1029999999998</v>
      </c>
      <c r="AE219" s="79">
        <f t="shared" ref="AE219:AE224" si="407">SUMIFS(AE$191:AE$197,$B$191:$B$197,$B219)</f>
        <v>1232.8430000000001</v>
      </c>
      <c r="AF219" s="79">
        <f t="shared" ref="AF219:AH224" si="408">SUMIFS(AF$191:AF$197,$B$191:$B$197,$B219)-SUMIFS(AG$191:AG$197,$B$191:$B$197,$B219)</f>
        <v>1617.6580000000004</v>
      </c>
      <c r="AG219" s="79">
        <f t="shared" si="408"/>
        <v>1791.8250000000003</v>
      </c>
      <c r="AH219" s="79">
        <f t="shared" si="408"/>
        <v>1626.9389999999999</v>
      </c>
      <c r="AI219" s="79">
        <f t="shared" ref="AI219:AI224" si="409">SUMIFS(AI$191:AI$197,$B$191:$B$197,$B219)</f>
        <v>2422.357</v>
      </c>
      <c r="AJ219" s="79">
        <f t="shared" ref="AJ219:AL224" si="410">SUMIFS(AJ$191:AJ$197,$B$191:$B$197,$B219)-SUMIFS(AK$191:AK$197,$B$191:$B$197,$B219)</f>
        <v>2175.2110000000002</v>
      </c>
      <c r="AK219" s="79">
        <f t="shared" si="410"/>
        <v>2028.5680000000002</v>
      </c>
      <c r="AL219" s="79">
        <f t="shared" si="410"/>
        <v>2283.7470000000003</v>
      </c>
      <c r="AM219" s="79">
        <f t="shared" ref="AM219:AM224" si="411">SUMIFS(AM$191:AM$197,$B$191:$B$197,$B219)</f>
        <v>1885.0029999999999</v>
      </c>
      <c r="AN219" s="79">
        <f t="shared" ref="AN219:AP224" si="412">SUMIFS(AN$191:AN$197,$B$191:$B$197,$B219)-SUMIFS(AO$191:AO$197,$B$191:$B$197,$B219)</f>
        <v>2009.3959999999988</v>
      </c>
      <c r="AO219" s="79">
        <f t="shared" si="412"/>
        <v>2444.813000000001</v>
      </c>
      <c r="AP219" s="79">
        <f t="shared" si="412"/>
        <v>3176.0859999999998</v>
      </c>
      <c r="AQ219" s="79">
        <f t="shared" ref="AQ219:AQ224" si="413">SUMIFS(AQ$191:AQ$197,$B$191:$B$197,$B219)</f>
        <v>2746.4609999999998</v>
      </c>
      <c r="AR219" s="79">
        <f t="shared" ref="AR219:AT224" si="414">SUMIFS(AR$191:AR$197,$B$191:$B$197,$B219)-SUMIFS(AS$191:AS$197,$B$191:$B$197,$B219)</f>
        <v>2338.1679999999997</v>
      </c>
      <c r="AS219" s="79">
        <f t="shared" si="414"/>
        <v>2629.393</v>
      </c>
      <c r="AT219" s="79">
        <f t="shared" si="414"/>
        <v>3033.3049999999998</v>
      </c>
      <c r="AU219" s="79">
        <f t="shared" ref="AU219:AU224" si="415">SUMIFS(AU$191:AU$197,$B$191:$B$197,$B219)</f>
        <v>2777.8359999999998</v>
      </c>
      <c r="AV219" s="79">
        <f t="shared" ref="AV219:AX224" si="416">SUMIFS(AV$191:AV$197,$B$191:$B$197,$B219)-SUMIFS(AW$191:AW$197,$B$191:$B$197,$B219)</f>
        <v>2471.9159999999993</v>
      </c>
      <c r="AW219" s="79">
        <f t="shared" si="416"/>
        <v>2938.1050000000005</v>
      </c>
      <c r="AX219" s="79">
        <f t="shared" si="416"/>
        <v>2950.076</v>
      </c>
      <c r="AY219" s="79">
        <f t="shared" ref="AY219:AY224" si="417">SUMIFS(AY$191:AY$197,$B$191:$B$197,$B219)</f>
        <v>2849.5630000000001</v>
      </c>
      <c r="AZ219" s="79">
        <f t="shared" ref="AZ219:BB224" si="418">SUMIFS(AZ$191:AZ$197,$B$191:$B$197,$B219)-SUMIFS(BA$191:BA$197,$B$191:$B$197,$B219)</f>
        <v>2108.6940000000004</v>
      </c>
      <c r="BA219" s="79">
        <f t="shared" si="418"/>
        <v>1513.248</v>
      </c>
      <c r="BB219" s="79">
        <f t="shared" si="418"/>
        <v>1462.277</v>
      </c>
      <c r="BC219" s="79">
        <f t="shared" ref="BC219:BC224" si="419">SUMIFS(BC$191:BC$197,$B$191:$B$197,$B219)</f>
        <v>1171.8589999999999</v>
      </c>
      <c r="BD219" s="79">
        <f t="shared" ref="BD219:BF224" si="420">SUMIFS(BD$191:BD$197,$B$191:$B$197,$B219)-SUMIFS(BE$191:BE$197,$B$191:$B$197,$B219)</f>
        <v>1060.134</v>
      </c>
      <c r="BE219" s="79">
        <f t="shared" si="420"/>
        <v>988.71900000000005</v>
      </c>
      <c r="BF219" s="79">
        <f t="shared" si="420"/>
        <v>831.90700000000004</v>
      </c>
      <c r="BG219" s="79">
        <f t="shared" ref="BG219:BG224" si="421">SUMIFS(BG$191:BG$197,$B$191:$B$197,$B219)</f>
        <v>689.08</v>
      </c>
      <c r="BH219" s="79">
        <f t="shared" ref="BH219:BJ224" si="422">SUMIFS(BH$191:BH$197,$B$191:$B$197,$B219)-SUMIFS(BI$191:BI$197,$B$191:$B$197,$B219)</f>
        <v>796.05799999999999</v>
      </c>
      <c r="BI219" s="79">
        <f t="shared" si="422"/>
        <v>668.54899999999998</v>
      </c>
      <c r="BJ219" s="79">
        <f t="shared" si="422"/>
        <v>684.42699999999991</v>
      </c>
      <c r="BK219" s="79">
        <f t="shared" ref="BK219:BK224" si="423">SUMIFS(BK$191:BK$197,$B$191:$B$197,$B219)</f>
        <v>357.72899999999998</v>
      </c>
      <c r="BL219" s="79">
        <f t="shared" ref="BL219:BN224" si="424">SUMIFS(BL$191:BL$197,$B$191:$B$197,$B219)-SUMIFS(BM$191:BM$197,$B$191:$B$197,$B219)</f>
        <v>371.012</v>
      </c>
      <c r="BM219" s="79">
        <f t="shared" si="424"/>
        <v>173.09799999999998</v>
      </c>
      <c r="BN219" s="79">
        <f t="shared" si="424"/>
        <v>171.661</v>
      </c>
      <c r="BO219" s="79">
        <f t="shared" ref="BO219:BO224" si="425">SUMIFS(BO$191:BO$197,$B$191:$B$197,$B219)</f>
        <v>70.22</v>
      </c>
      <c r="BP219" s="79">
        <f t="shared" ref="BP219:BR224" si="426">SUMIFS(BP$191:BP$197,$B$191:$B$197,$B219)-SUMIFS(BQ$191:BQ$197,$B$191:$B$197,$B219)</f>
        <v>68.7349999999999</v>
      </c>
      <c r="BQ219" s="79">
        <f t="shared" si="426"/>
        <v>216.67500000000007</v>
      </c>
      <c r="BR219" s="79">
        <f t="shared" si="426"/>
        <v>28.235000000000014</v>
      </c>
      <c r="BS219" s="79">
        <f t="shared" ref="BS219:BS224" si="427">SUMIFS(BS$191:BS$197,$B$191:$B$197,$B219)</f>
        <v>299.25599999999997</v>
      </c>
    </row>
    <row r="220" spans="1:71" x14ac:dyDescent="0.25">
      <c r="A220" s="74">
        <v>220</v>
      </c>
      <c r="B220" s="138" t="s">
        <v>196</v>
      </c>
      <c r="C220" s="93">
        <f ca="1">OFFSET($E$7,$A220-$A$7,1,1,1)/OFFSET($E$7,$A220-$A$7,2,1,1)-1</f>
        <v>-6.8378976016329363E-2</v>
      </c>
      <c r="D220" s="88"/>
      <c r="E220" s="94">
        <f ca="1">OFFSET($E$7,$A220-$A$7,1,1,1)/OFFSET($E$7,$A220-$A$7,5,1,1)-1</f>
        <v>-0.19503233392122277</v>
      </c>
      <c r="F220" s="79">
        <f t="shared" si="400"/>
        <v>5477</v>
      </c>
      <c r="G220" s="330">
        <f t="shared" si="401"/>
        <v>5879</v>
      </c>
      <c r="H220" s="79">
        <f t="shared" si="400"/>
        <v>6184</v>
      </c>
      <c r="I220" s="79">
        <f t="shared" si="400"/>
        <v>6355</v>
      </c>
      <c r="J220" s="79">
        <f t="shared" si="400"/>
        <v>6804</v>
      </c>
      <c r="K220" s="79">
        <f t="shared" si="402"/>
        <v>7201</v>
      </c>
      <c r="L220" s="79">
        <f t="shared" si="400"/>
        <v>5843</v>
      </c>
      <c r="M220" s="79">
        <f t="shared" si="400"/>
        <v>4052</v>
      </c>
      <c r="N220" s="79">
        <f t="shared" si="400"/>
        <v>3472</v>
      </c>
      <c r="O220" s="79">
        <f t="shared" si="403"/>
        <v>3415</v>
      </c>
      <c r="P220" s="79">
        <f t="shared" si="400"/>
        <v>2739</v>
      </c>
      <c r="Q220" s="79">
        <f t="shared" si="400"/>
        <v>1437</v>
      </c>
      <c r="R220" s="79">
        <f t="shared" si="400"/>
        <v>1506</v>
      </c>
      <c r="S220" s="79">
        <f t="shared" si="404"/>
        <v>1504</v>
      </c>
      <c r="T220" s="404"/>
      <c r="U220" s="404"/>
      <c r="V220" s="404"/>
      <c r="W220" s="404"/>
      <c r="X220" s="79">
        <f t="shared" si="400"/>
        <v>1140</v>
      </c>
      <c r="Y220" s="79">
        <f t="shared" si="400"/>
        <v>1068</v>
      </c>
      <c r="Z220" s="79">
        <f t="shared" si="400"/>
        <v>966</v>
      </c>
      <c r="AA220" s="79">
        <f t="shared" si="405"/>
        <v>744</v>
      </c>
      <c r="AB220" s="79">
        <f t="shared" si="406"/>
        <v>715.53900000000021</v>
      </c>
      <c r="AC220" s="79">
        <f t="shared" si="406"/>
        <v>735.78800000000001</v>
      </c>
      <c r="AD220" s="79">
        <f t="shared" si="406"/>
        <v>1073.9049999999997</v>
      </c>
      <c r="AE220" s="79">
        <f t="shared" si="407"/>
        <v>1005.768</v>
      </c>
      <c r="AF220" s="79">
        <f t="shared" si="408"/>
        <v>1164.806</v>
      </c>
      <c r="AG220" s="79">
        <f t="shared" si="408"/>
        <v>1171.0950000000003</v>
      </c>
      <c r="AH220" s="79">
        <f t="shared" si="408"/>
        <v>1319.8909999999998</v>
      </c>
      <c r="AI220" s="79">
        <f t="shared" si="409"/>
        <v>1321.2850000000001</v>
      </c>
      <c r="AJ220" s="79">
        <f t="shared" si="410"/>
        <v>1159.1329999999998</v>
      </c>
      <c r="AK220" s="79">
        <f t="shared" si="410"/>
        <v>1147.982</v>
      </c>
      <c r="AL220" s="79">
        <f t="shared" si="410"/>
        <v>1072.2890000000002</v>
      </c>
      <c r="AM220" s="79">
        <f t="shared" si="411"/>
        <v>1291.636</v>
      </c>
      <c r="AN220" s="79">
        <f t="shared" si="412"/>
        <v>1243.0680000000002</v>
      </c>
      <c r="AO220" s="79">
        <f t="shared" si="412"/>
        <v>1202.4569999999999</v>
      </c>
      <c r="AP220" s="79">
        <f t="shared" si="412"/>
        <v>1265.9139999999998</v>
      </c>
      <c r="AQ220" s="79">
        <f t="shared" si="413"/>
        <v>1852.498</v>
      </c>
      <c r="AR220" s="79">
        <f t="shared" si="414"/>
        <v>1473.2640000000001</v>
      </c>
      <c r="AS220" s="79">
        <f t="shared" si="414"/>
        <v>1579.0720000000001</v>
      </c>
      <c r="AT220" s="79">
        <f t="shared" si="414"/>
        <v>1712.0819999999999</v>
      </c>
      <c r="AU220" s="79">
        <f t="shared" si="415"/>
        <v>1750.7170000000001</v>
      </c>
      <c r="AV220" s="79">
        <f t="shared" si="416"/>
        <v>2056.4109999999991</v>
      </c>
      <c r="AW220" s="79">
        <f t="shared" si="416"/>
        <v>2122.9340000000002</v>
      </c>
      <c r="AX220" s="79">
        <f t="shared" si="416"/>
        <v>2292.4389999999999</v>
      </c>
      <c r="AY220" s="79">
        <f t="shared" si="417"/>
        <v>2164.5430000000001</v>
      </c>
      <c r="AZ220" s="79">
        <f t="shared" si="418"/>
        <v>1334.1469999999995</v>
      </c>
      <c r="BA220" s="79">
        <f t="shared" si="418"/>
        <v>1268.4960000000001</v>
      </c>
      <c r="BB220" s="79">
        <f t="shared" si="418"/>
        <v>1155.865</v>
      </c>
      <c r="BC220" s="79">
        <f t="shared" si="419"/>
        <v>1141.1690000000001</v>
      </c>
      <c r="BD220" s="79">
        <f t="shared" si="420"/>
        <v>1234.0259999999998</v>
      </c>
      <c r="BE220" s="79">
        <f t="shared" si="420"/>
        <v>1276.9010000000003</v>
      </c>
      <c r="BF220" s="79">
        <f t="shared" si="420"/>
        <v>1367.32</v>
      </c>
      <c r="BG220" s="79">
        <f t="shared" si="421"/>
        <v>1286.2349999999999</v>
      </c>
      <c r="BH220" s="79">
        <f t="shared" si="422"/>
        <v>1239.123</v>
      </c>
      <c r="BI220" s="79">
        <f t="shared" si="422"/>
        <v>1313.1280000000002</v>
      </c>
      <c r="BJ220" s="79">
        <f t="shared" si="422"/>
        <v>1298.9549999999999</v>
      </c>
      <c r="BK220" s="79">
        <f t="shared" si="423"/>
        <v>1400.5450000000001</v>
      </c>
      <c r="BL220" s="79">
        <f t="shared" si="424"/>
        <v>1211.4659999999999</v>
      </c>
      <c r="BM220" s="79">
        <f t="shared" si="424"/>
        <v>1126.7820000000002</v>
      </c>
      <c r="BN220" s="79">
        <f t="shared" si="424"/>
        <v>1155.1180000000002</v>
      </c>
      <c r="BO220" s="79">
        <f t="shared" si="425"/>
        <v>1093.9469999999999</v>
      </c>
      <c r="BP220" s="79">
        <f t="shared" si="426"/>
        <v>1128.1499999999996</v>
      </c>
      <c r="BQ220" s="79">
        <f t="shared" si="426"/>
        <v>866.75900000000001</v>
      </c>
      <c r="BR220" s="79">
        <f t="shared" si="426"/>
        <v>1307.9360000000001</v>
      </c>
      <c r="BS220" s="79">
        <f t="shared" si="427"/>
        <v>1464.078</v>
      </c>
    </row>
    <row r="221" spans="1:71" x14ac:dyDescent="0.25">
      <c r="A221" s="74">
        <v>221</v>
      </c>
      <c r="B221" s="62" t="s">
        <v>197</v>
      </c>
      <c r="C221" s="93">
        <f ca="1">OFFSET($E$7,$A221-$A$7,1,1,1)/OFFSET($E$7,$A221-$A$7,2,1,1)-1</f>
        <v>-5.0962708467539919E-2</v>
      </c>
      <c r="D221" s="88"/>
      <c r="E221" s="94">
        <f ca="1">OFFSET($E$7,$A221-$A$7,1,1,1)/OFFSET($E$7,$A221-$A$7,5,1,1)-1</f>
        <v>-0.13010103660936889</v>
      </c>
      <c r="F221" s="79">
        <f t="shared" si="400"/>
        <v>13259</v>
      </c>
      <c r="G221" s="330">
        <f t="shared" si="401"/>
        <v>13971</v>
      </c>
      <c r="H221" s="79">
        <f t="shared" si="400"/>
        <v>14648</v>
      </c>
      <c r="I221" s="79">
        <f t="shared" si="400"/>
        <v>15320</v>
      </c>
      <c r="J221" s="79">
        <f t="shared" si="400"/>
        <v>15242</v>
      </c>
      <c r="K221" s="79">
        <f t="shared" si="402"/>
        <v>13930</v>
      </c>
      <c r="L221" s="79">
        <f t="shared" si="400"/>
        <v>10659</v>
      </c>
      <c r="M221" s="79">
        <f t="shared" si="400"/>
        <v>7871</v>
      </c>
      <c r="N221" s="79">
        <f t="shared" si="400"/>
        <v>6770</v>
      </c>
      <c r="O221" s="79">
        <f t="shared" si="403"/>
        <v>6092</v>
      </c>
      <c r="P221" s="79">
        <f t="shared" si="400"/>
        <v>4615</v>
      </c>
      <c r="Q221" s="79">
        <f t="shared" si="400"/>
        <v>3259</v>
      </c>
      <c r="R221" s="79">
        <f t="shared" si="400"/>
        <v>2828</v>
      </c>
      <c r="S221" s="79">
        <f t="shared" si="404"/>
        <v>2697</v>
      </c>
      <c r="T221" s="404"/>
      <c r="U221" s="404"/>
      <c r="V221" s="404"/>
      <c r="W221" s="404"/>
      <c r="X221" s="79">
        <f t="shared" si="400"/>
        <v>1739</v>
      </c>
      <c r="Y221" s="79">
        <f t="shared" si="400"/>
        <v>1615</v>
      </c>
      <c r="Z221" s="79">
        <f t="shared" si="400"/>
        <v>1527</v>
      </c>
      <c r="AA221" s="79">
        <f t="shared" si="405"/>
        <v>1546</v>
      </c>
      <c r="AB221" s="79">
        <f t="shared" si="406"/>
        <v>1686.8209999999999</v>
      </c>
      <c r="AC221" s="79">
        <f t="shared" si="406"/>
        <v>1821.9100000000003</v>
      </c>
      <c r="AD221" s="79">
        <f t="shared" si="406"/>
        <v>1923.2709999999997</v>
      </c>
      <c r="AE221" s="79">
        <f t="shared" si="407"/>
        <v>2107.998</v>
      </c>
      <c r="AF221" s="79">
        <f t="shared" si="408"/>
        <v>2155.8569999999991</v>
      </c>
      <c r="AG221" s="79">
        <f t="shared" si="408"/>
        <v>2520.5720000000001</v>
      </c>
      <c r="AH221" s="79">
        <f t="shared" si="408"/>
        <v>2541.3900000000003</v>
      </c>
      <c r="AI221" s="79">
        <f t="shared" si="409"/>
        <v>2451.4989999999998</v>
      </c>
      <c r="AJ221" s="79">
        <f t="shared" si="410"/>
        <v>2191.4479999999994</v>
      </c>
      <c r="AK221" s="79">
        <f t="shared" si="410"/>
        <v>2089.2580000000007</v>
      </c>
      <c r="AL221" s="79">
        <f t="shared" si="410"/>
        <v>2073.9729999999995</v>
      </c>
      <c r="AM221" s="79">
        <f t="shared" si="411"/>
        <v>2105.0070000000001</v>
      </c>
      <c r="AN221" s="79">
        <f t="shared" si="412"/>
        <v>2117.1229999999996</v>
      </c>
      <c r="AO221" s="79">
        <f t="shared" si="412"/>
        <v>2158.5450000000001</v>
      </c>
      <c r="AP221" s="79">
        <f t="shared" si="412"/>
        <v>2198.4499999999998</v>
      </c>
      <c r="AQ221" s="79">
        <f t="shared" si="413"/>
        <v>2181.8879999999999</v>
      </c>
      <c r="AR221" s="79">
        <f t="shared" si="414"/>
        <v>2186.1960000000008</v>
      </c>
      <c r="AS221" s="79">
        <f t="shared" si="414"/>
        <v>2333.585</v>
      </c>
      <c r="AT221" s="79">
        <f t="shared" si="414"/>
        <v>2352.0999999999995</v>
      </c>
      <c r="AU221" s="79">
        <f t="shared" si="415"/>
        <v>2499.1840000000002</v>
      </c>
      <c r="AV221" s="79">
        <f t="shared" si="416"/>
        <v>2679.4300000000003</v>
      </c>
      <c r="AW221" s="79">
        <f t="shared" si="416"/>
        <v>2715.8190000000004</v>
      </c>
      <c r="AX221" s="79">
        <f t="shared" si="416"/>
        <v>2573.0329999999999</v>
      </c>
      <c r="AY221" s="79">
        <f t="shared" si="417"/>
        <v>2214.5070000000001</v>
      </c>
      <c r="AZ221" s="79">
        <f t="shared" si="418"/>
        <v>1316.7860000000001</v>
      </c>
      <c r="BA221" s="79">
        <f t="shared" si="418"/>
        <v>1593.7429999999999</v>
      </c>
      <c r="BB221" s="79">
        <f t="shared" si="418"/>
        <v>1489.634</v>
      </c>
      <c r="BC221" s="79">
        <f t="shared" si="419"/>
        <v>1526.7249999999999</v>
      </c>
      <c r="BD221" s="79">
        <f t="shared" si="420"/>
        <v>1469.3400000000001</v>
      </c>
      <c r="BE221" s="79">
        <f t="shared" si="420"/>
        <v>1537.2569999999996</v>
      </c>
      <c r="BF221" s="79">
        <f t="shared" si="420"/>
        <v>1460.097</v>
      </c>
      <c r="BG221" s="79">
        <f t="shared" si="421"/>
        <v>1342.403</v>
      </c>
      <c r="BH221" s="79">
        <f t="shared" si="422"/>
        <v>1253.5459999999998</v>
      </c>
      <c r="BI221" s="79">
        <f t="shared" si="422"/>
        <v>1244.4479999999999</v>
      </c>
      <c r="BJ221" s="79">
        <f t="shared" si="422"/>
        <v>1213.6500000000001</v>
      </c>
      <c r="BK221" s="79">
        <f t="shared" si="423"/>
        <v>1101.0340000000001</v>
      </c>
      <c r="BL221" s="79">
        <f t="shared" si="424"/>
        <v>980.41100000000006</v>
      </c>
      <c r="BM221" s="79">
        <f t="shared" si="424"/>
        <v>940.55899999999997</v>
      </c>
      <c r="BN221" s="79">
        <f t="shared" si="424"/>
        <v>890.827</v>
      </c>
      <c r="BO221" s="79">
        <f t="shared" si="425"/>
        <v>933.34799999999996</v>
      </c>
      <c r="BP221" s="79">
        <f t="shared" si="426"/>
        <v>1019.694</v>
      </c>
      <c r="BQ221" s="79">
        <f t="shared" si="426"/>
        <v>1067.8580000000002</v>
      </c>
      <c r="BR221" s="79">
        <f t="shared" si="426"/>
        <v>1174.5940000000001</v>
      </c>
      <c r="BS221" s="79">
        <f t="shared" si="427"/>
        <v>1207.587</v>
      </c>
    </row>
    <row r="222" spans="1:71" x14ac:dyDescent="0.25">
      <c r="A222" s="74">
        <v>222</v>
      </c>
      <c r="B222" s="62" t="s">
        <v>278</v>
      </c>
      <c r="C222" s="93">
        <f ca="1">OFFSET($E$7,$A222-$A$7,1,1,1)/OFFSET($E$7,$A222-$A$7,2,1,1)-1</f>
        <v>6.5573770491803351E-2</v>
      </c>
      <c r="D222" s="88"/>
      <c r="E222" s="94">
        <f ca="1">OFFSET($E$7,$A222-$A$7,1,1,1)/OFFSET($E$7,$A222-$A$7,5,1,1)-1</f>
        <v>-0.26136363636363635</v>
      </c>
      <c r="F222" s="79">
        <f t="shared" si="400"/>
        <v>65</v>
      </c>
      <c r="G222" s="330">
        <f t="shared" si="401"/>
        <v>61</v>
      </c>
      <c r="H222" s="79">
        <f t="shared" si="400"/>
        <v>57</v>
      </c>
      <c r="I222" s="79">
        <f t="shared" si="400"/>
        <v>64</v>
      </c>
      <c r="J222" s="79">
        <f t="shared" si="400"/>
        <v>88</v>
      </c>
      <c r="K222" s="79">
        <f t="shared" si="402"/>
        <v>164</v>
      </c>
      <c r="L222" s="79">
        <f t="shared" si="400"/>
        <v>58</v>
      </c>
      <c r="M222" s="79">
        <f t="shared" si="400"/>
        <v>47</v>
      </c>
      <c r="N222" s="79">
        <f t="shared" si="400"/>
        <v>47</v>
      </c>
      <c r="O222" s="79">
        <f t="shared" si="403"/>
        <v>49</v>
      </c>
      <c r="P222" s="79">
        <f t="shared" si="400"/>
        <v>50</v>
      </c>
      <c r="Q222" s="79">
        <f t="shared" si="400"/>
        <v>44</v>
      </c>
      <c r="R222" s="79">
        <f t="shared" si="400"/>
        <v>29</v>
      </c>
      <c r="S222" s="79">
        <f t="shared" si="404"/>
        <v>35</v>
      </c>
      <c r="T222" s="404"/>
      <c r="U222" s="404"/>
      <c r="V222" s="404"/>
      <c r="W222" s="404"/>
      <c r="X222" s="79">
        <f t="shared" si="400"/>
        <v>79</v>
      </c>
      <c r="Y222" s="79">
        <f t="shared" si="400"/>
        <v>32</v>
      </c>
      <c r="Z222" s="79">
        <f t="shared" si="400"/>
        <v>42</v>
      </c>
      <c r="AA222" s="79">
        <f t="shared" si="405"/>
        <v>47</v>
      </c>
      <c r="AB222" s="79">
        <f t="shared" si="406"/>
        <v>54.60499999999999</v>
      </c>
      <c r="AC222" s="79">
        <f t="shared" si="406"/>
        <v>82.975000000000023</v>
      </c>
      <c r="AD222" s="79">
        <f t="shared" si="406"/>
        <v>83.802999999999983</v>
      </c>
      <c r="AE222" s="79">
        <f t="shared" si="407"/>
        <v>75.617000000000004</v>
      </c>
      <c r="AF222" s="79">
        <f t="shared" si="408"/>
        <v>72.34899999999999</v>
      </c>
      <c r="AG222" s="79">
        <f t="shared" si="408"/>
        <v>71.365000000000009</v>
      </c>
      <c r="AH222" s="79">
        <f t="shared" si="408"/>
        <v>70.385999999999981</v>
      </c>
      <c r="AI222" s="79">
        <f t="shared" si="409"/>
        <v>74.117000000000004</v>
      </c>
      <c r="AJ222" s="79">
        <f t="shared" si="410"/>
        <v>82.61699999999999</v>
      </c>
      <c r="AK222" s="79">
        <f t="shared" si="410"/>
        <v>72.080000000000013</v>
      </c>
      <c r="AL222" s="79">
        <f t="shared" si="410"/>
        <v>78.254999999999995</v>
      </c>
      <c r="AM222" s="79">
        <f t="shared" si="411"/>
        <v>78.581999999999994</v>
      </c>
      <c r="AN222" s="79">
        <f t="shared" si="412"/>
        <v>81.895999999999987</v>
      </c>
      <c r="AO222" s="79">
        <f t="shared" si="412"/>
        <v>71.013999999999982</v>
      </c>
      <c r="AP222" s="79">
        <f t="shared" si="412"/>
        <v>76.478000000000009</v>
      </c>
      <c r="AQ222" s="79">
        <f t="shared" si="413"/>
        <v>76.625</v>
      </c>
      <c r="AR222" s="79">
        <f t="shared" si="414"/>
        <v>82.963000000000022</v>
      </c>
      <c r="AS222" s="79">
        <f t="shared" si="414"/>
        <v>78.005999999999972</v>
      </c>
      <c r="AT222" s="79">
        <f t="shared" si="414"/>
        <v>112.506</v>
      </c>
      <c r="AU222" s="79">
        <f t="shared" si="415"/>
        <v>169.04400000000001</v>
      </c>
      <c r="AV222" s="79">
        <f t="shared" si="416"/>
        <v>175.41599999999994</v>
      </c>
      <c r="AW222" s="79">
        <f t="shared" si="416"/>
        <v>158.56300000000005</v>
      </c>
      <c r="AX222" s="79">
        <f t="shared" si="416"/>
        <v>130.68499999999997</v>
      </c>
      <c r="AY222" s="79">
        <f t="shared" si="417"/>
        <v>160.477</v>
      </c>
      <c r="AZ222" s="79">
        <f t="shared" si="418"/>
        <v>148.52500000000003</v>
      </c>
      <c r="BA222" s="79">
        <f t="shared" si="418"/>
        <v>102.48699999999999</v>
      </c>
      <c r="BB222" s="79">
        <f t="shared" si="418"/>
        <v>100.02199999999999</v>
      </c>
      <c r="BC222" s="79">
        <f t="shared" si="419"/>
        <v>96.344999999999999</v>
      </c>
      <c r="BD222" s="79">
        <f t="shared" si="420"/>
        <v>112.762</v>
      </c>
      <c r="BE222" s="79">
        <f t="shared" si="420"/>
        <v>86.646000000000001</v>
      </c>
      <c r="BF222" s="79">
        <f t="shared" si="420"/>
        <v>70.551000000000016</v>
      </c>
      <c r="BG222" s="79">
        <f t="shared" si="421"/>
        <v>48.482999999999997</v>
      </c>
      <c r="BH222" s="79">
        <f t="shared" si="422"/>
        <v>62.110000000000014</v>
      </c>
      <c r="BI222" s="79">
        <f t="shared" si="422"/>
        <v>79.024999999999977</v>
      </c>
      <c r="BJ222" s="79">
        <f t="shared" si="422"/>
        <v>104.66</v>
      </c>
      <c r="BK222" s="79">
        <f t="shared" si="423"/>
        <v>106.66200000000001</v>
      </c>
      <c r="BL222" s="79">
        <f t="shared" si="424"/>
        <v>146.77199999999993</v>
      </c>
      <c r="BM222" s="79">
        <f t="shared" si="424"/>
        <v>155.93200000000002</v>
      </c>
      <c r="BN222" s="79">
        <f t="shared" si="424"/>
        <v>134.04</v>
      </c>
      <c r="BO222" s="79">
        <f t="shared" si="425"/>
        <v>153.60400000000001</v>
      </c>
      <c r="BP222" s="79">
        <f t="shared" si="426"/>
        <v>144.09200000000004</v>
      </c>
      <c r="BQ222" s="79">
        <f t="shared" si="426"/>
        <v>159.81</v>
      </c>
      <c r="BR222" s="79">
        <f t="shared" si="426"/>
        <v>155.547</v>
      </c>
      <c r="BS222" s="79">
        <f t="shared" si="427"/>
        <v>96.381</v>
      </c>
    </row>
    <row r="223" spans="1:71" x14ac:dyDescent="0.25">
      <c r="A223" s="74">
        <v>223</v>
      </c>
      <c r="B223" s="62" t="s">
        <v>52</v>
      </c>
      <c r="C223" s="93">
        <f ca="1">OFFSET($E$7,$A223-$A$7,1,1,1)/OFFSET($E$7,$A223-$A$7,2,1,1)-1</f>
        <v>-0.27610619469026554</v>
      </c>
      <c r="D223" s="88"/>
      <c r="E223" s="94">
        <f ca="1">OFFSET($E$7,$A223-$A$7,1,1,1)/OFFSET($E$7,$A223-$A$7,5,1,1)-1</f>
        <v>-0.49192546583850927</v>
      </c>
      <c r="F223" s="79">
        <f t="shared" si="400"/>
        <v>409</v>
      </c>
      <c r="G223" s="330">
        <f t="shared" si="401"/>
        <v>565</v>
      </c>
      <c r="H223" s="79">
        <f t="shared" si="400"/>
        <v>465</v>
      </c>
      <c r="I223" s="79">
        <f t="shared" si="400"/>
        <v>532</v>
      </c>
      <c r="J223" s="79">
        <f t="shared" si="400"/>
        <v>805</v>
      </c>
      <c r="K223" s="79">
        <f t="shared" si="402"/>
        <v>560</v>
      </c>
      <c r="L223" s="79">
        <f t="shared" si="400"/>
        <v>570</v>
      </c>
      <c r="M223" s="79">
        <f t="shared" si="400"/>
        <v>450</v>
      </c>
      <c r="N223" s="79">
        <f t="shared" si="400"/>
        <v>323</v>
      </c>
      <c r="O223" s="79">
        <f t="shared" si="403"/>
        <v>324</v>
      </c>
      <c r="P223" s="79">
        <f t="shared" si="400"/>
        <v>284</v>
      </c>
      <c r="Q223" s="79">
        <f t="shared" si="400"/>
        <v>187</v>
      </c>
      <c r="R223" s="79">
        <f t="shared" si="400"/>
        <v>96</v>
      </c>
      <c r="S223" s="79">
        <f t="shared" si="404"/>
        <v>80</v>
      </c>
      <c r="T223" s="404"/>
      <c r="U223" s="404"/>
      <c r="V223" s="404"/>
      <c r="W223" s="404"/>
      <c r="X223" s="79">
        <f t="shared" si="400"/>
        <v>49</v>
      </c>
      <c r="Y223" s="79">
        <f t="shared" si="400"/>
        <v>77</v>
      </c>
      <c r="Z223" s="79">
        <f t="shared" si="400"/>
        <v>76</v>
      </c>
      <c r="AA223" s="79">
        <f t="shared" si="405"/>
        <v>64</v>
      </c>
      <c r="AB223" s="79">
        <f t="shared" si="406"/>
        <v>51.34899999999999</v>
      </c>
      <c r="AC223" s="79">
        <f t="shared" si="406"/>
        <v>50.063000000000017</v>
      </c>
      <c r="AD223" s="79">
        <f t="shared" si="406"/>
        <v>43.485999999999997</v>
      </c>
      <c r="AE223" s="79">
        <f t="shared" si="407"/>
        <v>47.101999999999997</v>
      </c>
      <c r="AF223" s="79">
        <f t="shared" si="408"/>
        <v>63.853999999999999</v>
      </c>
      <c r="AG223" s="79">
        <f t="shared" si="408"/>
        <v>49.573999999999998</v>
      </c>
      <c r="AH223" s="79">
        <f t="shared" si="408"/>
        <v>35.351999999999997</v>
      </c>
      <c r="AI223" s="79">
        <f t="shared" si="409"/>
        <v>34.6</v>
      </c>
      <c r="AJ223" s="79">
        <f t="shared" si="410"/>
        <v>38.376999999999995</v>
      </c>
      <c r="AK223" s="79">
        <f t="shared" si="410"/>
        <v>3.9590000000000032</v>
      </c>
      <c r="AL223" s="79">
        <f t="shared" si="410"/>
        <v>52.298000000000002</v>
      </c>
      <c r="AM223" s="79">
        <f t="shared" si="411"/>
        <v>52.116</v>
      </c>
      <c r="AN223" s="79">
        <f t="shared" si="412"/>
        <v>48.923000000000002</v>
      </c>
      <c r="AO223" s="79">
        <f t="shared" si="412"/>
        <v>47.628999999999962</v>
      </c>
      <c r="AP223" s="79">
        <f t="shared" si="412"/>
        <v>117.51000000000002</v>
      </c>
      <c r="AQ223" s="79">
        <f t="shared" si="413"/>
        <v>190.89099999999999</v>
      </c>
      <c r="AR223" s="79">
        <f t="shared" si="414"/>
        <v>268.28699999999998</v>
      </c>
      <c r="AS223" s="79">
        <f t="shared" si="414"/>
        <v>248.69300000000001</v>
      </c>
      <c r="AT223" s="79">
        <f t="shared" si="414"/>
        <v>118.70000000000002</v>
      </c>
      <c r="AU223" s="79">
        <f t="shared" si="415"/>
        <v>90.617999999999995</v>
      </c>
      <c r="AV223" s="79">
        <f t="shared" si="416"/>
        <v>62.594999999999999</v>
      </c>
      <c r="AW223" s="79">
        <f t="shared" si="416"/>
        <v>55.544000000000011</v>
      </c>
      <c r="AX223" s="79">
        <f t="shared" si="416"/>
        <v>55.803999999999988</v>
      </c>
      <c r="AY223" s="79">
        <f t="shared" si="417"/>
        <v>74.396000000000001</v>
      </c>
      <c r="AZ223" s="79">
        <f t="shared" si="418"/>
        <v>58.772999999999996</v>
      </c>
      <c r="BA223" s="79">
        <f t="shared" si="418"/>
        <v>50.540000000000006</v>
      </c>
      <c r="BB223" s="79">
        <f t="shared" si="418"/>
        <v>61.542999999999999</v>
      </c>
      <c r="BC223" s="79">
        <f t="shared" si="419"/>
        <v>50.079000000000001</v>
      </c>
      <c r="BD223" s="79">
        <f t="shared" si="420"/>
        <v>62.819000000000003</v>
      </c>
      <c r="BE223" s="79">
        <f t="shared" si="420"/>
        <v>35.070999999999998</v>
      </c>
      <c r="BF223" s="79">
        <f t="shared" si="420"/>
        <v>34.651000000000003</v>
      </c>
      <c r="BG223" s="79">
        <f t="shared" si="421"/>
        <v>49.220999999999997</v>
      </c>
      <c r="BH223" s="79">
        <f t="shared" si="422"/>
        <v>67.180000000000007</v>
      </c>
      <c r="BI223" s="79">
        <f t="shared" si="422"/>
        <v>66.784999999999997</v>
      </c>
      <c r="BJ223" s="79">
        <f t="shared" si="422"/>
        <v>133.779</v>
      </c>
      <c r="BK223" s="79">
        <f t="shared" si="423"/>
        <v>70.355000000000004</v>
      </c>
      <c r="BL223" s="79">
        <f t="shared" si="424"/>
        <v>37.850999999999985</v>
      </c>
      <c r="BM223" s="79">
        <f t="shared" si="424"/>
        <v>37.347000000000008</v>
      </c>
      <c r="BN223" s="79">
        <f t="shared" si="424"/>
        <v>40.150999999999996</v>
      </c>
      <c r="BO223" s="79">
        <f t="shared" si="425"/>
        <v>27.071000000000002</v>
      </c>
      <c r="BP223" s="79">
        <f t="shared" si="426"/>
        <v>27.500999999999991</v>
      </c>
      <c r="BQ223" s="79">
        <f t="shared" si="426"/>
        <v>45.400999999999996</v>
      </c>
      <c r="BR223" s="79">
        <f t="shared" si="426"/>
        <v>21.896000000000001</v>
      </c>
      <c r="BS223" s="79">
        <f t="shared" si="427"/>
        <v>49.17</v>
      </c>
    </row>
    <row r="224" spans="1:71" x14ac:dyDescent="0.25">
      <c r="A224" s="74">
        <v>224</v>
      </c>
      <c r="B224" s="62" t="s">
        <v>34</v>
      </c>
      <c r="C224" s="93"/>
      <c r="D224" s="88"/>
      <c r="E224" s="94"/>
      <c r="F224" s="79">
        <f t="shared" si="400"/>
        <v>0</v>
      </c>
      <c r="G224" s="330">
        <f t="shared" si="401"/>
        <v>0</v>
      </c>
      <c r="H224" s="79">
        <f t="shared" si="400"/>
        <v>0</v>
      </c>
      <c r="I224" s="79">
        <f t="shared" si="400"/>
        <v>0</v>
      </c>
      <c r="J224" s="79">
        <f t="shared" si="400"/>
        <v>0</v>
      </c>
      <c r="K224" s="79">
        <f t="shared" si="402"/>
        <v>0</v>
      </c>
      <c r="L224" s="79">
        <f t="shared" si="400"/>
        <v>0</v>
      </c>
      <c r="M224" s="79">
        <f t="shared" si="400"/>
        <v>0</v>
      </c>
      <c r="N224" s="79">
        <f t="shared" si="400"/>
        <v>0</v>
      </c>
      <c r="O224" s="79">
        <f t="shared" si="403"/>
        <v>0</v>
      </c>
      <c r="P224" s="79">
        <f t="shared" si="400"/>
        <v>0</v>
      </c>
      <c r="Q224" s="79">
        <f t="shared" si="400"/>
        <v>0</v>
      </c>
      <c r="R224" s="79">
        <f t="shared" si="400"/>
        <v>12</v>
      </c>
      <c r="S224" s="79">
        <f t="shared" si="404"/>
        <v>18</v>
      </c>
      <c r="T224" s="404"/>
      <c r="U224" s="404"/>
      <c r="V224" s="404"/>
      <c r="W224" s="404"/>
      <c r="X224" s="79">
        <f t="shared" si="400"/>
        <v>38</v>
      </c>
      <c r="Y224" s="79">
        <f t="shared" si="400"/>
        <v>43</v>
      </c>
      <c r="Z224" s="79">
        <f t="shared" si="400"/>
        <v>51</v>
      </c>
      <c r="AA224" s="79">
        <f t="shared" si="405"/>
        <v>60</v>
      </c>
      <c r="AB224" s="79">
        <f t="shared" si="406"/>
        <v>73.420999999999992</v>
      </c>
      <c r="AC224" s="79">
        <f t="shared" si="406"/>
        <v>84.753000000000014</v>
      </c>
      <c r="AD224" s="79">
        <f t="shared" si="406"/>
        <v>96.3</v>
      </c>
      <c r="AE224" s="79">
        <f t="shared" si="407"/>
        <v>108.526</v>
      </c>
      <c r="AF224" s="79">
        <f t="shared" si="408"/>
        <v>96.426000000000045</v>
      </c>
      <c r="AG224" s="79">
        <f t="shared" si="408"/>
        <v>140.375</v>
      </c>
      <c r="AH224" s="79">
        <f t="shared" si="408"/>
        <v>195.22399999999999</v>
      </c>
      <c r="AI224" s="79">
        <f t="shared" si="409"/>
        <v>341.11700000000002</v>
      </c>
      <c r="AJ224" s="79">
        <f t="shared" si="410"/>
        <v>261.52699999999993</v>
      </c>
      <c r="AK224" s="79">
        <f t="shared" si="410"/>
        <v>207.92100000000005</v>
      </c>
      <c r="AL224" s="79">
        <f t="shared" si="410"/>
        <v>187.16399999999999</v>
      </c>
      <c r="AM224" s="79">
        <f t="shared" si="411"/>
        <v>176.43299999999999</v>
      </c>
      <c r="AN224" s="79">
        <f t="shared" si="412"/>
        <v>372.81600000000003</v>
      </c>
      <c r="AO224" s="79">
        <f t="shared" si="412"/>
        <v>205.68700000000001</v>
      </c>
      <c r="AP224" s="79">
        <f t="shared" si="412"/>
        <v>257.125</v>
      </c>
      <c r="AQ224" s="79">
        <f t="shared" si="413"/>
        <v>361.65899999999999</v>
      </c>
      <c r="AR224" s="79">
        <f t="shared" si="414"/>
        <v>393.30600000000004</v>
      </c>
      <c r="AS224" s="79">
        <f t="shared" si="414"/>
        <v>408.58799999999997</v>
      </c>
      <c r="AT224" s="79">
        <f t="shared" si="414"/>
        <v>431.82</v>
      </c>
      <c r="AU224" s="79">
        <f t="shared" si="415"/>
        <v>510.815</v>
      </c>
      <c r="AV224" s="79">
        <f t="shared" si="416"/>
        <v>523.58999999999992</v>
      </c>
      <c r="AW224" s="79">
        <f t="shared" si="416"/>
        <v>614.61200000000008</v>
      </c>
      <c r="AX224" s="79">
        <f t="shared" si="416"/>
        <v>428.6629999999999</v>
      </c>
      <c r="AY224" s="79">
        <f t="shared" si="417"/>
        <v>624.78399999999999</v>
      </c>
      <c r="AZ224" s="79">
        <f t="shared" si="418"/>
        <v>557.54500000000007</v>
      </c>
      <c r="BA224" s="79">
        <f t="shared" si="418"/>
        <v>519.08399999999995</v>
      </c>
      <c r="BB224" s="79">
        <f t="shared" si="418"/>
        <v>468.75299999999999</v>
      </c>
      <c r="BC224" s="79">
        <f t="shared" si="419"/>
        <v>487.791</v>
      </c>
      <c r="BD224" s="79">
        <f t="shared" si="420"/>
        <v>448.31099999999992</v>
      </c>
      <c r="BE224" s="79">
        <f t="shared" si="420"/>
        <v>419.95000000000016</v>
      </c>
      <c r="BF224" s="79">
        <f t="shared" si="420"/>
        <v>398.42099999999994</v>
      </c>
      <c r="BG224" s="79">
        <f t="shared" si="421"/>
        <v>393.48</v>
      </c>
      <c r="BH224" s="79">
        <f t="shared" si="422"/>
        <v>406.60200000000009</v>
      </c>
      <c r="BI224" s="79">
        <f t="shared" si="422"/>
        <v>256.02499999999998</v>
      </c>
      <c r="BJ224" s="79">
        <f t="shared" si="422"/>
        <v>272.524</v>
      </c>
      <c r="BK224" s="79">
        <f t="shared" si="423"/>
        <v>246.21199999999999</v>
      </c>
      <c r="BL224" s="79">
        <f t="shared" si="424"/>
        <v>269.16999999999996</v>
      </c>
      <c r="BM224" s="79">
        <f t="shared" si="424"/>
        <v>343.61400000000003</v>
      </c>
      <c r="BN224" s="79">
        <f t="shared" si="424"/>
        <v>336.74900000000002</v>
      </c>
      <c r="BO224" s="79">
        <f t="shared" si="425"/>
        <v>335.27499999999998</v>
      </c>
      <c r="BP224" s="79">
        <f t="shared" si="426"/>
        <v>292.48499999999996</v>
      </c>
      <c r="BQ224" s="79">
        <f t="shared" si="426"/>
        <v>187.86699999999999</v>
      </c>
      <c r="BR224" s="79">
        <f t="shared" si="426"/>
        <v>172.697</v>
      </c>
      <c r="BS224" s="79">
        <f t="shared" si="427"/>
        <v>76.381</v>
      </c>
    </row>
    <row r="225" spans="1:72" x14ac:dyDescent="0.25">
      <c r="A225" s="74">
        <v>225</v>
      </c>
      <c r="B225" s="62" t="s">
        <v>35</v>
      </c>
      <c r="C225" s="93"/>
      <c r="D225" s="88"/>
      <c r="E225" s="94"/>
      <c r="F225" s="79">
        <f t="shared" ref="F225:AD225" si="428">SUMIFS(F$191:F$197,$B$191:$B$197,$B225)-SUMIFS(G$191:G$197,$B$191:$B$197,$B225)</f>
        <v>0</v>
      </c>
      <c r="G225" s="330">
        <f t="shared" si="401"/>
        <v>0</v>
      </c>
      <c r="H225" s="79">
        <f t="shared" si="428"/>
        <v>0</v>
      </c>
      <c r="I225" s="79">
        <f t="shared" si="428"/>
        <v>0</v>
      </c>
      <c r="J225" s="79">
        <f t="shared" si="428"/>
        <v>0</v>
      </c>
      <c r="K225" s="79">
        <f t="shared" si="402"/>
        <v>0</v>
      </c>
      <c r="L225" s="79">
        <f t="shared" si="428"/>
        <v>0</v>
      </c>
      <c r="M225" s="79">
        <f t="shared" si="428"/>
        <v>0</v>
      </c>
      <c r="N225" s="79">
        <f t="shared" si="428"/>
        <v>0</v>
      </c>
      <c r="O225" s="79">
        <f t="shared" si="403"/>
        <v>0</v>
      </c>
      <c r="P225" s="79">
        <f t="shared" si="428"/>
        <v>0</v>
      </c>
      <c r="Q225" s="79">
        <f t="shared" si="428"/>
        <v>0</v>
      </c>
      <c r="R225" s="79">
        <f t="shared" si="428"/>
        <v>0</v>
      </c>
      <c r="S225" s="79">
        <f t="shared" si="404"/>
        <v>0</v>
      </c>
      <c r="T225" s="404"/>
      <c r="U225" s="404"/>
      <c r="V225" s="404"/>
      <c r="W225" s="404"/>
      <c r="X225" s="79">
        <f t="shared" si="428"/>
        <v>0</v>
      </c>
      <c r="Y225" s="79">
        <f t="shared" si="428"/>
        <v>0</v>
      </c>
      <c r="Z225" s="79">
        <f t="shared" si="428"/>
        <v>0</v>
      </c>
      <c r="AA225" s="79">
        <f>SUMIFS(AA$191:AA$197,$B$191:$B$197,$B225)</f>
        <v>0</v>
      </c>
      <c r="AB225" s="79">
        <f t="shared" si="428"/>
        <v>0</v>
      </c>
      <c r="AC225" s="79">
        <f t="shared" si="428"/>
        <v>0</v>
      </c>
      <c r="AD225" s="79">
        <f t="shared" si="428"/>
        <v>0</v>
      </c>
      <c r="AE225" s="79">
        <f>SUMIFS(AE$191:AE$197,$B$191:$B$197,$B225)</f>
        <v>0</v>
      </c>
      <c r="AF225" s="79">
        <f>SUMIFS(AF$191:AF$197,$B$191:$B$197,$B225)-SUMIFS(AG$191:AG$197,$B$191:$B$197,$B225)</f>
        <v>23.076999999999998</v>
      </c>
      <c r="AG225" s="79">
        <f>SUMIFS(AG$191:AG$197,$B$191:$B$197,$B225)-SUMIFS(AH$191:AH$197,$B$191:$B$197,$B225)</f>
        <v>24.141999999999996</v>
      </c>
      <c r="AH225" s="79">
        <f>SUMIFS(AH$191:AH$197,$B$191:$B$197,$B225)-SUMIFS(AI$191:AI$197,$B$191:$B$197,$B225)</f>
        <v>23.868000000000002</v>
      </c>
      <c r="AI225" s="79">
        <f>SUMIFS(AI$191:AI$197,$B$191:$B$197,$B225)</f>
        <v>23.594000000000001</v>
      </c>
      <c r="AJ225" s="79">
        <f>SUMIFS(AJ$191:AJ$197,$B$191:$B$197,$B225)-SUMIFS(AK$191:AK$197,$B$191:$B$197,$B225)</f>
        <v>24.13900000000001</v>
      </c>
      <c r="AK225" s="79">
        <f>SUMIFS(AK$191:AK$197,$B$191:$B$197,$B225)-SUMIFS(AL$191:AL$197,$B$191:$B$197,$B225)</f>
        <v>24.126999999999995</v>
      </c>
      <c r="AL225" s="79">
        <f>SUMIFS(AL$191:AL$197,$B$191:$B$197,$B225)-SUMIFS(AM$191:AM$197,$B$191:$B$197,$B225)</f>
        <v>23.938000000000002</v>
      </c>
      <c r="AM225" s="79">
        <f>SUMIFS(AM$191:AM$197,$B$191:$B$197,$B225)</f>
        <v>26.207999999999998</v>
      </c>
      <c r="AN225" s="79">
        <f>SUMIFS(AN$191:AN$197,$B$191:$B$197,$B225)-SUMIFS(AO$191:AO$197,$B$191:$B$197,$B225)</f>
        <v>28.210000000000008</v>
      </c>
      <c r="AO225" s="79">
        <f>SUMIFS(AO$191:AO$197,$B$191:$B$197,$B225)-SUMIFS(AP$191:AP$197,$B$191:$B$197,$B225)</f>
        <v>29.648999999999994</v>
      </c>
      <c r="AP225" s="79">
        <f>SUMIFS(AP$191:AP$197,$B$191:$B$197,$B225)-SUMIFS(AQ$191:AQ$197,$B$191:$B$197,$B225)</f>
        <v>21.736000000000004</v>
      </c>
      <c r="AQ225" s="79">
        <f>SUMIFS(AQ$191:AQ$197,$B$191:$B$197,$B225)</f>
        <v>37.405999999999999</v>
      </c>
      <c r="AR225" s="79">
        <f>SUMIFS(AR$191:AR$197,$B$191:$B$197,$B225)-SUMIFS(AS$191:AS$197,$B$191:$B$197,$B225)</f>
        <v>35.777000000000001</v>
      </c>
      <c r="AS225" s="79">
        <f>SUMIFS(AS$191:AS$197,$B$191:$B$197,$B225)-SUMIFS(AT$191:AT$197,$B$191:$B$197,$B225)</f>
        <v>31.343000000000004</v>
      </c>
      <c r="AT225" s="79">
        <f>SUMIFS(AT$191:AT$197,$B$191:$B$197,$B225)-SUMIFS(AU$191:AU$197,$B$191:$B$197,$B225)</f>
        <v>30.638999999999996</v>
      </c>
      <c r="AU225" s="79">
        <f>SUMIFS(AU$191:AU$197,$B$191:$B$197,$B225)</f>
        <v>30.914000000000001</v>
      </c>
      <c r="AV225" s="79">
        <f>SUMIFS(AV$191:AV$197,$B$191:$B$197,$B225)-SUMIFS(AW$191:AW$197,$B$191:$B$197,$B225)</f>
        <v>31.653999999999996</v>
      </c>
      <c r="AW225" s="79">
        <f>SUMIFS(AW$191:AW$197,$B$191:$B$197,$B225)-SUMIFS(AX$191:AX$197,$B$191:$B$197,$B225)</f>
        <v>61.117999999999995</v>
      </c>
      <c r="AX225" s="79">
        <f>SUMIFS(AX$191:AX$197,$B$191:$B$197,$B225)-SUMIFS(AY$191:AY$197,$B$191:$B$197,$B225)</f>
        <v>61.376000000000005</v>
      </c>
      <c r="AY225" s="79">
        <f>SUMIFS(AY$191:AY$197,$B$191:$B$197,$B225)</f>
        <v>67.94</v>
      </c>
      <c r="AZ225" s="79">
        <f>SUMIFS(AZ$191:AZ$197,$B$191:$B$197,$B225)-SUMIFS(BA$191:BA$197,$B$191:$B$197,$B225)</f>
        <v>73.346000000000004</v>
      </c>
      <c r="BA225" s="79">
        <f>SUMIFS(BA$191:BA$197,$B$191:$B$197,$B225)-SUMIFS(BB$191:BB$197,$B$191:$B$197,$B225)</f>
        <v>100.30799999999999</v>
      </c>
      <c r="BB225" s="79">
        <f>SUMIFS(BB$191:BB$197,$B$191:$B$197,$B225)-SUMIFS(BC$191:BC$197,$B$191:$B$197,$B225)</f>
        <v>133.64099999999999</v>
      </c>
      <c r="BC225" s="79">
        <f>SUMIFS(BC$191:BC$197,$B$191:$B$197,$B225)</f>
        <v>157.97900000000001</v>
      </c>
      <c r="BD225" s="79">
        <f>SUMIFS(BD$191:BD$197,$B$191:$B$197,$B225)-SUMIFS(BE$191:BE$197,$B$191:$B$197,$B225)</f>
        <v>145.56299999999999</v>
      </c>
      <c r="BE225" s="79">
        <f>SUMIFS(BE$191:BE$197,$B$191:$B$197,$B225)-SUMIFS(BF$191:BF$197,$B$191:$B$197,$B225)</f>
        <v>188.33899999999994</v>
      </c>
      <c r="BF225" s="79">
        <f>SUMIFS(BF$191:BF$197,$B$191:$B$197,$B225)-SUMIFS(BG$191:BG$197,$B$191:$B$197,$B225)</f>
        <v>212.96400000000003</v>
      </c>
      <c r="BG225" s="79">
        <f>SUMIFS(BG$191:BG$197,$B$191:$B$197,$B225)</f>
        <v>208.881</v>
      </c>
      <c r="BH225" s="79">
        <f>SUMIFS(BH$191:BH$197,$B$191:$B$197,$B225)-SUMIFS(BI$191:BI$197,$B$191:$B$197,$B225)</f>
        <v>229.42499999999995</v>
      </c>
      <c r="BI225" s="79">
        <f>SUMIFS(BI$191:BI$197,$B$191:$B$197,$B225)-SUMIFS(BJ$191:BJ$197,$B$191:$B$197,$B225)</f>
        <v>238.577</v>
      </c>
      <c r="BJ225" s="79">
        <f>SUMIFS(BJ$191:BJ$197,$B$191:$B$197,$B225)-SUMIFS(BK$191:BK$197,$B$191:$B$197,$B225)</f>
        <v>251.06400000000002</v>
      </c>
      <c r="BK225" s="79">
        <f>SUMIFS(BK$191:BK$197,$B$191:$B$197,$B225)</f>
        <v>216.84399999999999</v>
      </c>
      <c r="BL225" s="79">
        <f>SUMIFS(BL$191:BL$197,$B$191:$B$197,$B225)-SUMIFS(BM$191:BM$197,$B$191:$B$197,$B225)</f>
        <v>276.79399999999998</v>
      </c>
      <c r="BM225" s="79">
        <f>SUMIFS(BM$191:BM$197,$B$191:$B$197,$B225)-SUMIFS(BN$191:BN$197,$B$191:$B$197,$B225)</f>
        <v>261.77800000000002</v>
      </c>
      <c r="BN225" s="79">
        <f>SUMIFS(BN$191:BN$197,$B$191:$B$197,$B225)-SUMIFS(BO$191:BO$197,$B$191:$B$197,$B225)</f>
        <v>242.63200000000001</v>
      </c>
      <c r="BO225" s="79">
        <f>SUMIFS(BO$191:BO$197,$B$191:$B$197,$B225)</f>
        <v>239.94900000000001</v>
      </c>
      <c r="BP225" s="79">
        <f>SUMIFS(BP$191:BP$197,$B$191:$B$197,$B225)-SUMIFS(BQ$191:BQ$197,$B$191:$B$197,$B225)</f>
        <v>245.75099999999998</v>
      </c>
      <c r="BQ225" s="79">
        <f>SUMIFS(BQ$191:BQ$197,$B$191:$B$197,$B225)-SUMIFS(BR$191:BR$197,$B$191:$B$197,$B225)</f>
        <v>233.161</v>
      </c>
      <c r="BR225" s="79">
        <f>SUMIFS(BR$191:BR$197,$B$191:$B$197,$B225)-SUMIFS(BS$191:BS$197,$B$191:$B$197,$B225)</f>
        <v>258.399</v>
      </c>
      <c r="BS225" s="79">
        <f>SUMIFS(BS$191:BS$197,$B$191:$B$197,$B225)</f>
        <v>219.24299999999999</v>
      </c>
    </row>
    <row r="226" spans="1:72" s="77" customFormat="1" ht="18.75" customHeight="1" x14ac:dyDescent="0.25">
      <c r="A226" s="74">
        <v>226</v>
      </c>
      <c r="B226" s="75" t="s">
        <v>198</v>
      </c>
      <c r="C226" s="96">
        <f ca="1">OFFSET($E$7,$A226-$A$7,1,1,1)/OFFSET($E$7,$A226-$A$7,2,1,1)-1</f>
        <v>-8.4180134238254101E-2</v>
      </c>
      <c r="D226" s="96"/>
      <c r="E226" s="96">
        <f ca="1">OFFSET($E$7,$A226-$A$7,1,1,1)/OFFSET($E$7,$A226-$A$7,5,1,1)-1</f>
        <v>-0.20709021848521247</v>
      </c>
      <c r="F226" s="126">
        <f t="shared" ref="F226" si="429">SUM(F219:F225)</f>
        <v>24424</v>
      </c>
      <c r="G226" s="331">
        <f t="shared" ref="G226" si="430">SUM(G219:G225)</f>
        <v>26669</v>
      </c>
      <c r="H226" s="126">
        <f t="shared" ref="H226" si="431">SUM(H219:H225)</f>
        <v>28976</v>
      </c>
      <c r="I226" s="126">
        <f t="shared" ref="I226" si="432">SUM(I219:I225)</f>
        <v>34232</v>
      </c>
      <c r="J226" s="126">
        <f t="shared" ref="J226" si="433">SUM(J219:J225)</f>
        <v>30803</v>
      </c>
      <c r="K226" s="126">
        <f t="shared" ref="K226" si="434">SUM(K219:K225)</f>
        <v>28915</v>
      </c>
      <c r="L226" s="126">
        <f t="shared" ref="L226:Z226" si="435">SUM(L219:L225)</f>
        <v>26978</v>
      </c>
      <c r="M226" s="126">
        <f t="shared" si="435"/>
        <v>20513</v>
      </c>
      <c r="N226" s="126">
        <f t="shared" si="435"/>
        <v>17635</v>
      </c>
      <c r="O226" s="126">
        <f t="shared" si="435"/>
        <v>16186</v>
      </c>
      <c r="P226" s="126">
        <f t="shared" si="435"/>
        <v>13516</v>
      </c>
      <c r="Q226" s="126">
        <f t="shared" si="435"/>
        <v>7207</v>
      </c>
      <c r="R226" s="126">
        <f t="shared" si="435"/>
        <v>5960</v>
      </c>
      <c r="S226" s="126">
        <f t="shared" si="435"/>
        <v>5030</v>
      </c>
      <c r="T226" s="436"/>
      <c r="U226" s="436"/>
      <c r="V226" s="436"/>
      <c r="W226" s="436"/>
      <c r="X226" s="126">
        <f t="shared" si="435"/>
        <v>4891</v>
      </c>
      <c r="Y226" s="126">
        <f t="shared" si="435"/>
        <v>3584</v>
      </c>
      <c r="Z226" s="126">
        <f t="shared" si="435"/>
        <v>3613</v>
      </c>
      <c r="AA226" s="126">
        <f>AA198</f>
        <v>3276</v>
      </c>
      <c r="AB226" s="126">
        <f>SUM(AB219:AB225)</f>
        <v>3557.9459999999999</v>
      </c>
      <c r="AC226" s="126">
        <f>SUM(AC219:AC225)</f>
        <v>4012.3320000000008</v>
      </c>
      <c r="AD226" s="126">
        <f>SUM(AD219:AD225)</f>
        <v>4515.8679999999995</v>
      </c>
      <c r="AE226" s="126">
        <f>AE198</f>
        <v>4577.8540000000003</v>
      </c>
      <c r="AF226" s="126">
        <f>SUM(AF219:AF225)</f>
        <v>5194.027000000001</v>
      </c>
      <c r="AG226" s="126">
        <f t="shared" ref="AG226:BS226" si="436">SUM(AG219:AG225)</f>
        <v>5768.9479999999994</v>
      </c>
      <c r="AH226" s="126">
        <f t="shared" si="436"/>
        <v>5813.0500000000011</v>
      </c>
      <c r="AI226" s="126">
        <f t="shared" si="436"/>
        <v>6668.5690000000004</v>
      </c>
      <c r="AJ226" s="126">
        <f t="shared" si="436"/>
        <v>5932.4520000000002</v>
      </c>
      <c r="AK226" s="126">
        <f t="shared" si="436"/>
        <v>5573.8950000000013</v>
      </c>
      <c r="AL226" s="126">
        <f t="shared" si="436"/>
        <v>5771.6639999999998</v>
      </c>
      <c r="AM226" s="126">
        <f t="shared" si="436"/>
        <v>5614.9850000000006</v>
      </c>
      <c r="AN226" s="126">
        <f t="shared" si="436"/>
        <v>5901.431999999998</v>
      </c>
      <c r="AO226" s="126">
        <f t="shared" si="436"/>
        <v>6159.7940000000008</v>
      </c>
      <c r="AP226" s="126">
        <f t="shared" si="436"/>
        <v>7113.299</v>
      </c>
      <c r="AQ226" s="126">
        <f t="shared" si="436"/>
        <v>7447.427999999999</v>
      </c>
      <c r="AR226" s="126">
        <f t="shared" si="436"/>
        <v>6777.9610000000011</v>
      </c>
      <c r="AS226" s="126">
        <f t="shared" si="436"/>
        <v>7308.68</v>
      </c>
      <c r="AT226" s="126">
        <f t="shared" si="436"/>
        <v>7791.1519999999991</v>
      </c>
      <c r="AU226" s="126">
        <f t="shared" si="436"/>
        <v>7829.1279999999997</v>
      </c>
      <c r="AV226" s="126">
        <f t="shared" si="436"/>
        <v>8001.0119999999988</v>
      </c>
      <c r="AW226" s="126">
        <f t="shared" si="436"/>
        <v>8666.6950000000015</v>
      </c>
      <c r="AX226" s="126">
        <f t="shared" si="436"/>
        <v>8492.0759999999991</v>
      </c>
      <c r="AY226" s="126">
        <f t="shared" si="436"/>
        <v>8156.2099999999982</v>
      </c>
      <c r="AZ226" s="126">
        <f t="shared" si="436"/>
        <v>5597.8160000000007</v>
      </c>
      <c r="BA226" s="126">
        <f t="shared" si="436"/>
        <v>5147.9059999999999</v>
      </c>
      <c r="BB226" s="126">
        <f t="shared" si="436"/>
        <v>4871.7349999999988</v>
      </c>
      <c r="BC226" s="126">
        <f t="shared" si="436"/>
        <v>4631.9470000000001</v>
      </c>
      <c r="BD226" s="126">
        <f t="shared" si="436"/>
        <v>4532.9549999999999</v>
      </c>
      <c r="BE226" s="126">
        <f t="shared" si="436"/>
        <v>4532.8829999999998</v>
      </c>
      <c r="BF226" s="126">
        <f t="shared" si="436"/>
        <v>4375.9109999999991</v>
      </c>
      <c r="BG226" s="126">
        <f t="shared" si="436"/>
        <v>4017.7829999999999</v>
      </c>
      <c r="BH226" s="126">
        <f t="shared" si="436"/>
        <v>4054.0439999999999</v>
      </c>
      <c r="BI226" s="126">
        <f t="shared" si="436"/>
        <v>3866.5370000000003</v>
      </c>
      <c r="BJ226" s="126">
        <f t="shared" si="436"/>
        <v>3959.0589999999997</v>
      </c>
      <c r="BK226" s="126">
        <f t="shared" si="436"/>
        <v>3499.3809999999999</v>
      </c>
      <c r="BL226" s="126">
        <f t="shared" si="436"/>
        <v>3293.4760000000001</v>
      </c>
      <c r="BM226" s="126">
        <f t="shared" si="436"/>
        <v>3039.1100000000006</v>
      </c>
      <c r="BN226" s="126">
        <f t="shared" si="436"/>
        <v>2971.1780000000003</v>
      </c>
      <c r="BO226" s="126">
        <f t="shared" si="436"/>
        <v>2853.4139999999998</v>
      </c>
      <c r="BP226" s="126">
        <f t="shared" si="436"/>
        <v>2926.4080000000004</v>
      </c>
      <c r="BQ226" s="126">
        <f t="shared" si="436"/>
        <v>2777.5310000000004</v>
      </c>
      <c r="BR226" s="126">
        <f t="shared" si="436"/>
        <v>3119.3040000000005</v>
      </c>
      <c r="BS226" s="126">
        <f t="shared" si="436"/>
        <v>3412.0959999999995</v>
      </c>
    </row>
    <row r="227" spans="1:72" s="77" customFormat="1" ht="18.75" customHeight="1" x14ac:dyDescent="0.25">
      <c r="A227" s="74">
        <v>227</v>
      </c>
      <c r="B227" s="248" t="s">
        <v>356</v>
      </c>
      <c r="C227" s="96">
        <f ca="1">OFFSET($E$7,$A227-$A$7,1,1,1)/OFFSET($E$7,$A227-$A$7,2,1,1)-1</f>
        <v>2.5710419485791558E-2</v>
      </c>
      <c r="D227" s="96"/>
      <c r="E227" s="96">
        <f ca="1">OFFSET($E$7,$A227-$A$7,1,1,1)/OFFSET($E$7,$A227-$A$7,5,1,1)-1</f>
        <v>0.17884914463452573</v>
      </c>
      <c r="F227" s="126">
        <f>F199-G199</f>
        <v>758</v>
      </c>
      <c r="G227" s="331">
        <f>G199</f>
        <v>739</v>
      </c>
      <c r="H227" s="126">
        <f>H199-I199</f>
        <v>708</v>
      </c>
      <c r="I227" s="126">
        <f>I199-J199</f>
        <v>680</v>
      </c>
      <c r="J227" s="126">
        <f>J199-K199</f>
        <v>643</v>
      </c>
      <c r="K227" s="126">
        <f>K199</f>
        <v>631</v>
      </c>
      <c r="L227" s="126">
        <f>L199-M199</f>
        <v>586</v>
      </c>
      <c r="M227" s="126">
        <f>M199-N199</f>
        <v>572</v>
      </c>
      <c r="N227" s="126">
        <f>N199-O199</f>
        <v>584</v>
      </c>
      <c r="O227" s="126">
        <f>O199</f>
        <v>577</v>
      </c>
      <c r="P227" s="126">
        <f>P199-Q199</f>
        <v>546</v>
      </c>
      <c r="Q227" s="126">
        <f>Q199-R199</f>
        <v>519</v>
      </c>
      <c r="R227" s="126">
        <f>R199-S199</f>
        <v>520</v>
      </c>
      <c r="S227" s="126">
        <f>S199</f>
        <v>529</v>
      </c>
      <c r="T227" s="436"/>
      <c r="U227" s="436"/>
      <c r="V227" s="436"/>
      <c r="W227" s="436"/>
      <c r="X227" s="126">
        <f>X199-Y199</f>
        <v>426</v>
      </c>
      <c r="Y227" s="126">
        <f>Y199-Z199</f>
        <v>419</v>
      </c>
      <c r="Z227" s="126">
        <f>Z199-AA199</f>
        <v>338</v>
      </c>
      <c r="AA227" s="126">
        <f>AA199</f>
        <v>338</v>
      </c>
      <c r="AB227" s="226">
        <f>AB199-AC199</f>
        <v>330.29499999999996</v>
      </c>
      <c r="AC227" s="226">
        <f>AC199-AD199</f>
        <v>321.73</v>
      </c>
      <c r="AD227" s="126">
        <f>AD199-AE199</f>
        <v>137.54000000000002</v>
      </c>
      <c r="AE227" s="126">
        <f>AE199</f>
        <v>452.435</v>
      </c>
      <c r="AF227" s="226">
        <f>AF199-AG199</f>
        <v>443.95900000000006</v>
      </c>
      <c r="AG227" s="226">
        <f>AG199-AH199</f>
        <v>442.14899999999989</v>
      </c>
      <c r="AH227" s="226">
        <f>AH199-AI199</f>
        <v>439.58300000000003</v>
      </c>
      <c r="AI227" s="226">
        <f>AI199</f>
        <v>441.8</v>
      </c>
      <c r="AJ227" s="226">
        <f>AJ199-AK199</f>
        <v>332.38699999999994</v>
      </c>
      <c r="AK227" s="226">
        <f>AK199-AL199</f>
        <v>319.024</v>
      </c>
      <c r="AL227" s="226">
        <f>AL199-AM199</f>
        <v>304.87299999999999</v>
      </c>
      <c r="AM227" s="226">
        <f>AM199</f>
        <v>294.02699999999999</v>
      </c>
      <c r="AN227" s="226">
        <f>AN199-AO199</f>
        <v>226.702</v>
      </c>
      <c r="AO227" s="226">
        <f>AO199-AP199</f>
        <v>226.96999999999997</v>
      </c>
      <c r="AP227" s="226">
        <f>AP199-AQ199</f>
        <v>221.5</v>
      </c>
      <c r="AQ227" s="226">
        <f>AQ199</f>
        <v>215.27199999999999</v>
      </c>
      <c r="AR227" s="226">
        <f>AR199-AS199</f>
        <v>215.70500000000004</v>
      </c>
      <c r="AS227" s="226">
        <f>AS199-AT199</f>
        <v>217.37799999999999</v>
      </c>
      <c r="AT227" s="226">
        <f>AT199-AU199</f>
        <v>176.01</v>
      </c>
      <c r="AU227" s="226">
        <f>AU199</f>
        <v>178.214</v>
      </c>
      <c r="AV227" s="226">
        <f>AV199-AW199</f>
        <v>163.17199999999991</v>
      </c>
      <c r="AW227" s="226">
        <f>AW199-AX199</f>
        <v>157.63300000000004</v>
      </c>
      <c r="AX227" s="226">
        <f>AX199-AY199</f>
        <v>142.501</v>
      </c>
      <c r="AY227" s="226">
        <f>AY199</f>
        <v>144.42699999999999</v>
      </c>
      <c r="AZ227" s="226">
        <f>AZ199-BA199</f>
        <v>139.71600000000001</v>
      </c>
      <c r="BA227" s="226">
        <f>BA199-BB199</f>
        <v>127.61600000000001</v>
      </c>
      <c r="BB227" s="226">
        <f>BB199-BC199</f>
        <v>121.997</v>
      </c>
      <c r="BC227" s="226">
        <f>BC199</f>
        <v>121.867</v>
      </c>
      <c r="BD227" s="226">
        <f>BD199-BE199</f>
        <v>113.32900000000001</v>
      </c>
      <c r="BE227" s="226">
        <f>BE199-BF199</f>
        <v>111.905</v>
      </c>
      <c r="BF227" s="226">
        <f>BF199-BG199</f>
        <v>107.01900000000001</v>
      </c>
      <c r="BG227" s="226">
        <f>BG199</f>
        <v>96.717999999999989</v>
      </c>
      <c r="BH227" s="226">
        <f>BH199-BI199</f>
        <v>87.545999999999935</v>
      </c>
      <c r="BI227" s="226">
        <f>BI199-BJ199</f>
        <v>97.788000000000011</v>
      </c>
      <c r="BJ227" s="226">
        <f>BJ199-BK199</f>
        <v>89.008999999999986</v>
      </c>
      <c r="BK227" s="226">
        <f>BK199</f>
        <v>83.703000000000003</v>
      </c>
      <c r="BL227" s="226">
        <f>BL199-BM199</f>
        <v>79.331999999999994</v>
      </c>
      <c r="BM227" s="226">
        <f>BM199-BN199</f>
        <v>76.099000000000018</v>
      </c>
      <c r="BN227" s="226">
        <f>BN199-BO199</f>
        <v>141.93199999999999</v>
      </c>
      <c r="BO227" s="226">
        <f>BO199</f>
        <v>0</v>
      </c>
      <c r="BP227" s="226">
        <f>BP199-BQ199</f>
        <v>67.200000000000017</v>
      </c>
      <c r="BQ227" s="226">
        <f>BQ199-BR199</f>
        <v>-69.992000000000019</v>
      </c>
      <c r="BR227" s="226">
        <f>BR199-BS199</f>
        <v>197.21600000000001</v>
      </c>
      <c r="BS227" s="226">
        <f>BS199</f>
        <v>60.643999999999998</v>
      </c>
    </row>
    <row r="228" spans="1:72" s="77" customFormat="1" ht="18.75" customHeight="1" x14ac:dyDescent="0.25">
      <c r="A228" s="74">
        <v>228</v>
      </c>
      <c r="B228" s="75" t="s">
        <v>129</v>
      </c>
      <c r="C228" s="96">
        <f ca="1">OFFSET($E$7,$A228-$A$7,1,1,1)/OFFSET($E$7,$A228-$A$7,2,1,1)-1</f>
        <v>-7.8401480916862054E-3</v>
      </c>
      <c r="D228" s="96"/>
      <c r="E228" s="96">
        <f ca="1">OFFSET($E$7,$A228-$A$7,1,1,1)/OFFSET($E$7,$A228-$A$7,5,1,1)-1</f>
        <v>-6.558301712644854E-2</v>
      </c>
      <c r="F228" s="126">
        <f t="shared" ref="F228" si="437">F217-F226-F227</f>
        <v>18223</v>
      </c>
      <c r="G228" s="331">
        <f t="shared" ref="G228" si="438">G217-G226-G227</f>
        <v>18367</v>
      </c>
      <c r="H228" s="126">
        <f t="shared" ref="H228" si="439">H217-H226-H227</f>
        <v>18686</v>
      </c>
      <c r="I228" s="126">
        <f t="shared" ref="I228" si="440">I217-I226-I227</f>
        <v>19642</v>
      </c>
      <c r="J228" s="126">
        <f t="shared" ref="J228" si="441">J217-J226-J227</f>
        <v>19502</v>
      </c>
      <c r="K228" s="126">
        <f t="shared" ref="K228" si="442">K217-K226-K227</f>
        <v>19928</v>
      </c>
      <c r="L228" s="126">
        <f t="shared" ref="L228:Z228" si="443">L217-L226-L227</f>
        <v>19347</v>
      </c>
      <c r="M228" s="126">
        <f t="shared" si="443"/>
        <v>17344</v>
      </c>
      <c r="N228" s="126">
        <f t="shared" si="443"/>
        <v>16664</v>
      </c>
      <c r="O228" s="126">
        <f t="shared" si="443"/>
        <v>17202</v>
      </c>
      <c r="P228" s="126">
        <f t="shared" si="443"/>
        <v>16077</v>
      </c>
      <c r="Q228" s="126">
        <f t="shared" si="443"/>
        <v>12660</v>
      </c>
      <c r="R228" s="126">
        <f t="shared" si="443"/>
        <v>10886</v>
      </c>
      <c r="S228" s="126">
        <f t="shared" si="443"/>
        <v>11209</v>
      </c>
      <c r="T228" s="436"/>
      <c r="U228" s="436"/>
      <c r="V228" s="436"/>
      <c r="W228" s="436"/>
      <c r="X228" s="126">
        <f t="shared" si="443"/>
        <v>7952.6830000000045</v>
      </c>
      <c r="Y228" s="126">
        <f t="shared" si="443"/>
        <v>7059</v>
      </c>
      <c r="Z228" s="126">
        <f t="shared" si="443"/>
        <v>6630</v>
      </c>
      <c r="AA228" s="126">
        <f>AA201</f>
        <v>6466</v>
      </c>
      <c r="AB228" s="126">
        <f>AB217-AB226-AB227</f>
        <v>7190.4130000000005</v>
      </c>
      <c r="AC228" s="126">
        <f>AC217-AC226-AC227</f>
        <v>6040.4239999999991</v>
      </c>
      <c r="AD228" s="126">
        <f>AD217-AD226-AD227</f>
        <v>6057.5580000000027</v>
      </c>
      <c r="AE228" s="126">
        <f>AE201</f>
        <v>6235.6049999999996</v>
      </c>
      <c r="AF228" s="126">
        <f>AF217-AF226-AF227</f>
        <v>6367.3349999999955</v>
      </c>
      <c r="AG228" s="126">
        <f t="shared" ref="AG228:BS228" si="444">AG217-AG226-AG227</f>
        <v>5856.373000000005</v>
      </c>
      <c r="AH228" s="126">
        <f t="shared" si="444"/>
        <v>5321.4199999999992</v>
      </c>
      <c r="AI228" s="126">
        <f t="shared" si="444"/>
        <v>5736.3409999999985</v>
      </c>
      <c r="AJ228" s="126">
        <f t="shared" si="444"/>
        <v>6065.8020000000015</v>
      </c>
      <c r="AK228" s="126">
        <f t="shared" si="444"/>
        <v>5519.4490000000005</v>
      </c>
      <c r="AL228" s="126">
        <f t="shared" si="444"/>
        <v>5256.1719999999978</v>
      </c>
      <c r="AM228" s="126">
        <f t="shared" si="444"/>
        <v>5053.8420000000006</v>
      </c>
      <c r="AN228" s="126">
        <f t="shared" si="444"/>
        <v>5715.9689999999973</v>
      </c>
      <c r="AO228" s="126">
        <f t="shared" si="444"/>
        <v>5148.3000000000011</v>
      </c>
      <c r="AP228" s="126">
        <f t="shared" si="444"/>
        <v>4339.6530000000012</v>
      </c>
      <c r="AQ228" s="126">
        <f t="shared" si="444"/>
        <v>4453.5990000000002</v>
      </c>
      <c r="AR228" s="126">
        <f t="shared" si="444"/>
        <v>5850.6119999999992</v>
      </c>
      <c r="AS228" s="126">
        <f t="shared" si="444"/>
        <v>5480.3540000000003</v>
      </c>
      <c r="AT228" s="126">
        <f t="shared" si="444"/>
        <v>5136.9630000000006</v>
      </c>
      <c r="AU228" s="126">
        <f t="shared" si="444"/>
        <v>4889.6529999999993</v>
      </c>
      <c r="AV228" s="126">
        <f t="shared" si="444"/>
        <v>4991.7460000000056</v>
      </c>
      <c r="AW228" s="126">
        <f t="shared" si="444"/>
        <v>3925.011999999997</v>
      </c>
      <c r="AX228" s="126">
        <f t="shared" si="444"/>
        <v>3975.2970000000005</v>
      </c>
      <c r="AY228" s="126">
        <f t="shared" si="444"/>
        <v>3977.6940000000018</v>
      </c>
      <c r="AZ228" s="126">
        <f t="shared" si="444"/>
        <v>5396.8909999999978</v>
      </c>
      <c r="BA228" s="126">
        <f t="shared" si="444"/>
        <v>4343.174</v>
      </c>
      <c r="BB228" s="126">
        <f t="shared" si="444"/>
        <v>4291.7420000000011</v>
      </c>
      <c r="BC228" s="126">
        <f t="shared" si="444"/>
        <v>3967.893</v>
      </c>
      <c r="BD228" s="126">
        <f t="shared" si="444"/>
        <v>3704.6209999999987</v>
      </c>
      <c r="BE228" s="126">
        <f t="shared" si="444"/>
        <v>3293.0640000000017</v>
      </c>
      <c r="BF228" s="126">
        <f t="shared" si="444"/>
        <v>3054.6970000000001</v>
      </c>
      <c r="BG228" s="126">
        <f t="shared" si="444"/>
        <v>2890.6400000000008</v>
      </c>
      <c r="BH228" s="126">
        <f t="shared" si="444"/>
        <v>3013.8680000000008</v>
      </c>
      <c r="BI228" s="126">
        <f t="shared" si="444"/>
        <v>2821.4440000000009</v>
      </c>
      <c r="BJ228" s="126">
        <f t="shared" si="444"/>
        <v>2949.175999999999</v>
      </c>
      <c r="BK228" s="126">
        <f t="shared" si="444"/>
        <v>2839.6120000000001</v>
      </c>
      <c r="BL228" s="126">
        <f t="shared" si="444"/>
        <v>3204.7299999999968</v>
      </c>
      <c r="BM228" s="126">
        <f t="shared" si="444"/>
        <v>3471.9550000000017</v>
      </c>
      <c r="BN228" s="126">
        <f t="shared" si="444"/>
        <v>3378.1079999999997</v>
      </c>
      <c r="BO228" s="126">
        <f t="shared" si="444"/>
        <v>3267.7709999999997</v>
      </c>
      <c r="BP228" s="126">
        <f t="shared" si="444"/>
        <v>2910.3939999999984</v>
      </c>
      <c r="BQ228" s="126">
        <f t="shared" si="444"/>
        <v>3038.5910000000008</v>
      </c>
      <c r="BR228" s="126">
        <f t="shared" si="444"/>
        <v>2795.8570000000009</v>
      </c>
      <c r="BS228" s="126">
        <f t="shared" si="444"/>
        <v>3024.5180000000005</v>
      </c>
    </row>
    <row r="229" spans="1:72" x14ac:dyDescent="0.25">
      <c r="A229" s="74">
        <v>229</v>
      </c>
      <c r="E229" s="56"/>
      <c r="F229" s="56"/>
      <c r="G229" s="330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265"/>
      <c r="AH229" s="265"/>
      <c r="AI229" s="265"/>
      <c r="AJ229" s="265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</row>
    <row r="230" spans="1:72" x14ac:dyDescent="0.25">
      <c r="A230" s="74">
        <v>230</v>
      </c>
      <c r="G230" s="301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</row>
    <row r="231" spans="1:72" x14ac:dyDescent="0.25">
      <c r="A231" s="74">
        <v>231</v>
      </c>
      <c r="G231" s="301"/>
    </row>
    <row r="232" spans="1:72" x14ac:dyDescent="0.25">
      <c r="A232" s="74">
        <v>232</v>
      </c>
      <c r="B232" s="453" t="s">
        <v>390</v>
      </c>
      <c r="C232" s="470"/>
      <c r="D232" s="222"/>
      <c r="E232" s="468" t="s">
        <v>202</v>
      </c>
      <c r="F232" s="446" t="s">
        <v>474</v>
      </c>
      <c r="G232" s="479" t="s">
        <v>472</v>
      </c>
      <c r="H232" s="446" t="s">
        <v>470</v>
      </c>
      <c r="I232" s="446" t="s">
        <v>467</v>
      </c>
      <c r="J232" s="446" t="s">
        <v>465</v>
      </c>
      <c r="K232" s="446" t="s">
        <v>462</v>
      </c>
      <c r="L232" s="446" t="s">
        <v>458</v>
      </c>
      <c r="M232" s="446" t="s">
        <v>456</v>
      </c>
      <c r="N232" s="446" t="s">
        <v>453</v>
      </c>
      <c r="O232" s="446" t="s">
        <v>452</v>
      </c>
      <c r="P232" s="446" t="s">
        <v>450</v>
      </c>
      <c r="Q232" s="446" t="s">
        <v>448</v>
      </c>
      <c r="R232" s="446" t="s">
        <v>446</v>
      </c>
      <c r="S232" s="446" t="s">
        <v>438</v>
      </c>
      <c r="T232" s="446" t="s">
        <v>436</v>
      </c>
      <c r="U232" s="446" t="s">
        <v>433</v>
      </c>
      <c r="V232" s="446" t="s">
        <v>431</v>
      </c>
      <c r="W232" s="446" t="s">
        <v>429</v>
      </c>
      <c r="X232" s="446" t="s">
        <v>423</v>
      </c>
      <c r="Y232" s="446" t="s">
        <v>420</v>
      </c>
      <c r="Z232" s="446" t="s">
        <v>418</v>
      </c>
      <c r="AA232" s="446" t="s">
        <v>415</v>
      </c>
      <c r="AB232" s="446" t="s">
        <v>409</v>
      </c>
      <c r="AC232" s="446" t="s">
        <v>407</v>
      </c>
      <c r="AD232" s="446" t="s">
        <v>405</v>
      </c>
      <c r="AE232" s="446" t="s">
        <v>402</v>
      </c>
      <c r="AF232" s="446" t="s">
        <v>392</v>
      </c>
      <c r="AG232" s="446" t="s">
        <v>386</v>
      </c>
      <c r="AH232" s="446" t="s">
        <v>383</v>
      </c>
      <c r="AI232" s="446" t="s">
        <v>381</v>
      </c>
      <c r="AJ232" s="446" t="s">
        <v>375</v>
      </c>
      <c r="AK232" s="446" t="s">
        <v>372</v>
      </c>
      <c r="AL232" s="446" t="s">
        <v>346</v>
      </c>
      <c r="AM232" s="446" t="s">
        <v>311</v>
      </c>
      <c r="AN232" s="446" t="s">
        <v>308</v>
      </c>
      <c r="AO232" s="446" t="s">
        <v>306</v>
      </c>
      <c r="AP232" s="446" t="s">
        <v>291</v>
      </c>
      <c r="AQ232" s="446" t="s">
        <v>286</v>
      </c>
      <c r="AR232" s="446" t="s">
        <v>273</v>
      </c>
      <c r="AS232" s="446" t="s">
        <v>272</v>
      </c>
      <c r="AT232" s="446" t="s">
        <v>270</v>
      </c>
      <c r="AU232" s="446" t="s">
        <v>266</v>
      </c>
      <c r="AV232" s="446" t="s">
        <v>265</v>
      </c>
      <c r="AW232" s="446" t="s">
        <v>263</v>
      </c>
      <c r="AX232" s="446" t="s">
        <v>255</v>
      </c>
      <c r="AY232" s="446" t="s">
        <v>253</v>
      </c>
      <c r="AZ232" s="446" t="s">
        <v>244</v>
      </c>
      <c r="BA232" s="446" t="s">
        <v>242</v>
      </c>
      <c r="BB232" s="446" t="s">
        <v>239</v>
      </c>
      <c r="BC232" s="446" t="s">
        <v>231</v>
      </c>
      <c r="BD232" s="446" t="s">
        <v>226</v>
      </c>
      <c r="BE232" s="446" t="s">
        <v>221</v>
      </c>
      <c r="BF232" s="446" t="s">
        <v>204</v>
      </c>
      <c r="BG232" s="446" t="s">
        <v>203</v>
      </c>
      <c r="BH232" s="446" t="s">
        <v>199</v>
      </c>
      <c r="BI232" s="446" t="s">
        <v>163</v>
      </c>
      <c r="BJ232" s="446" t="s">
        <v>164</v>
      </c>
      <c r="BK232" s="446" t="s">
        <v>4</v>
      </c>
      <c r="BL232" s="446" t="s">
        <v>165</v>
      </c>
      <c r="BM232" s="446" t="s">
        <v>168</v>
      </c>
      <c r="BN232" s="446" t="s">
        <v>169</v>
      </c>
      <c r="BO232" s="446" t="s">
        <v>5</v>
      </c>
      <c r="BP232" s="446" t="s">
        <v>170</v>
      </c>
      <c r="BQ232" s="446" t="s">
        <v>171</v>
      </c>
      <c r="BR232" s="446" t="s">
        <v>172</v>
      </c>
      <c r="BS232" s="446" t="s">
        <v>6</v>
      </c>
      <c r="BT232" s="488"/>
    </row>
    <row r="233" spans="1:72" x14ac:dyDescent="0.25">
      <c r="A233" s="74">
        <v>233</v>
      </c>
      <c r="B233" s="454"/>
      <c r="C233" s="471"/>
      <c r="D233" s="274"/>
      <c r="E233" s="478"/>
      <c r="F233" s="447"/>
      <c r="G233" s="493"/>
      <c r="H233" s="448"/>
      <c r="I233" s="447"/>
      <c r="J233" s="447"/>
      <c r="K233" s="447"/>
      <c r="L233" s="448"/>
      <c r="M233" s="447"/>
      <c r="N233" s="447"/>
      <c r="O233" s="447"/>
      <c r="P233" s="448"/>
      <c r="Q233" s="447"/>
      <c r="R233" s="447"/>
      <c r="S233" s="447"/>
      <c r="T233" s="448"/>
      <c r="U233" s="447"/>
      <c r="V233" s="447"/>
      <c r="W233" s="447"/>
      <c r="X233" s="448"/>
      <c r="Y233" s="448"/>
      <c r="Z233" s="447"/>
      <c r="AA233" s="447"/>
      <c r="AB233" s="448"/>
      <c r="AC233" s="448"/>
      <c r="AD233" s="448"/>
      <c r="AE233" s="447"/>
      <c r="AF233" s="447"/>
      <c r="AG233" s="448"/>
      <c r="AH233" s="448"/>
      <c r="AI233" s="447"/>
      <c r="AJ233" s="447"/>
      <c r="AK233" s="447"/>
      <c r="AL233" s="447"/>
      <c r="AM233" s="447"/>
      <c r="AN233" s="448"/>
      <c r="AO233" s="447"/>
      <c r="AP233" s="447"/>
      <c r="AQ233" s="447"/>
      <c r="AR233" s="448"/>
      <c r="AS233" s="447"/>
      <c r="AT233" s="447"/>
      <c r="AU233" s="447"/>
      <c r="AV233" s="448"/>
      <c r="AW233" s="448"/>
      <c r="AX233" s="448"/>
      <c r="AY233" s="447"/>
      <c r="AZ233" s="447"/>
      <c r="BA233" s="447"/>
      <c r="BB233" s="447"/>
      <c r="BC233" s="447"/>
      <c r="BD233" s="447"/>
      <c r="BE233" s="447"/>
      <c r="BF233" s="447"/>
      <c r="BG233" s="447"/>
      <c r="BH233" s="447"/>
      <c r="BI233" s="447"/>
      <c r="BJ233" s="447"/>
      <c r="BK233" s="447"/>
      <c r="BL233" s="447"/>
      <c r="BM233" s="447"/>
      <c r="BN233" s="447"/>
      <c r="BO233" s="447"/>
      <c r="BP233" s="447"/>
      <c r="BQ233" s="447"/>
      <c r="BR233" s="447"/>
      <c r="BS233" s="447"/>
      <c r="BT233" s="500"/>
    </row>
    <row r="234" spans="1:72" ht="8.1" customHeight="1" x14ac:dyDescent="0.25">
      <c r="A234" s="74">
        <v>234</v>
      </c>
      <c r="B234" s="8" t="s">
        <v>8</v>
      </c>
      <c r="C234" s="89"/>
      <c r="D234" s="57"/>
      <c r="E234" s="90"/>
      <c r="F234" s="57"/>
      <c r="G234" s="303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8"/>
      <c r="BT234" s="39"/>
    </row>
    <row r="235" spans="1:72" x14ac:dyDescent="0.25">
      <c r="A235" s="74">
        <v>235</v>
      </c>
      <c r="B235" s="75" t="s">
        <v>132</v>
      </c>
      <c r="C235" s="93"/>
      <c r="D235" s="88"/>
      <c r="E235" s="94"/>
      <c r="F235" s="88"/>
      <c r="G235" s="291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75"/>
      <c r="BI235" s="56"/>
      <c r="BJ235" s="56"/>
      <c r="BK235" s="56"/>
      <c r="BL235" s="56"/>
      <c r="BM235" s="56"/>
      <c r="BN235" s="56"/>
      <c r="BO235" s="56"/>
      <c r="BP235" s="56"/>
      <c r="BQ235" s="56"/>
      <c r="BR235" s="56"/>
      <c r="BS235" s="56"/>
    </row>
    <row r="236" spans="1:72" ht="18.75" customHeight="1" x14ac:dyDescent="0.25">
      <c r="A236" s="74">
        <v>236</v>
      </c>
      <c r="B236" s="76" t="s">
        <v>206</v>
      </c>
      <c r="C236" s="93"/>
      <c r="D236" s="88"/>
      <c r="E236" s="94">
        <f t="shared" ref="E236:E243" ca="1" si="445">OFFSET($E$7,$A236-$A$7,1,1,1)/OFFSET($E$7,$A236-$A$7,5,1,1)-1</f>
        <v>-0.11163374098463463</v>
      </c>
      <c r="F236" s="330">
        <v>2833</v>
      </c>
      <c r="G236" s="330">
        <v>1333</v>
      </c>
      <c r="H236" s="330">
        <v>6419</v>
      </c>
      <c r="I236" s="330">
        <v>4769</v>
      </c>
      <c r="J236" s="330">
        <v>3189</v>
      </c>
      <c r="K236" s="330">
        <v>1520</v>
      </c>
      <c r="L236" s="79">
        <v>6647</v>
      </c>
      <c r="M236" s="79">
        <v>4773</v>
      </c>
      <c r="N236" s="79">
        <v>2886</v>
      </c>
      <c r="O236" s="79">
        <v>1383</v>
      </c>
      <c r="P236" s="79">
        <v>7487</v>
      </c>
      <c r="Q236" s="79">
        <v>5689</v>
      </c>
      <c r="R236" s="79">
        <v>3999</v>
      </c>
      <c r="S236" s="79">
        <v>2345</v>
      </c>
      <c r="T236" s="404"/>
      <c r="U236" s="404"/>
      <c r="V236" s="404"/>
      <c r="W236" s="404"/>
      <c r="X236" s="79">
        <v>4638</v>
      </c>
      <c r="Y236" s="79">
        <v>3219</v>
      </c>
      <c r="Z236" s="79">
        <v>2043</v>
      </c>
      <c r="AA236" s="79">
        <v>980</v>
      </c>
      <c r="AB236" s="79">
        <v>3707</v>
      </c>
      <c r="AC236" s="79">
        <v>2549.654</v>
      </c>
      <c r="AD236" s="79">
        <v>1623.3989999999999</v>
      </c>
      <c r="AE236" s="79">
        <v>844.87699999999995</v>
      </c>
      <c r="AF236" s="79">
        <v>3216.904</v>
      </c>
      <c r="AG236" s="79">
        <v>2254.7730000000001</v>
      </c>
      <c r="AH236" s="79">
        <v>1442.5050000000001</v>
      </c>
      <c r="AI236" s="79">
        <v>677.52800000000002</v>
      </c>
      <c r="AJ236" s="79">
        <v>2809.1019999999999</v>
      </c>
      <c r="AK236" s="79">
        <v>1974.94</v>
      </c>
      <c r="AL236" s="79">
        <v>1258.6130000000001</v>
      </c>
      <c r="AM236" s="79">
        <v>628.34</v>
      </c>
      <c r="AN236" s="79">
        <v>2414.9050000000002</v>
      </c>
      <c r="AO236" s="79">
        <v>1742.21</v>
      </c>
      <c r="AP236" s="79">
        <v>1126.462</v>
      </c>
      <c r="AQ236" s="79">
        <v>534.83500000000004</v>
      </c>
      <c r="AR236" s="79">
        <v>2188.5880000000002</v>
      </c>
      <c r="AS236" s="79">
        <v>1578.79</v>
      </c>
      <c r="AT236" s="79">
        <v>1045.873</v>
      </c>
      <c r="AU236" s="79">
        <v>494.51299999999998</v>
      </c>
      <c r="AV236" s="79">
        <v>2043.3389999999999</v>
      </c>
      <c r="AW236" s="79">
        <v>1472.857</v>
      </c>
      <c r="AX236" s="79">
        <v>896.81799999999998</v>
      </c>
      <c r="AY236" s="79">
        <v>458.85</v>
      </c>
      <c r="AZ236" s="79">
        <v>1640.9380000000001</v>
      </c>
      <c r="BA236" s="79">
        <v>1115.5519999999999</v>
      </c>
      <c r="BB236" s="79">
        <v>712.29399999999998</v>
      </c>
      <c r="BC236" s="79">
        <v>318.11799999999999</v>
      </c>
      <c r="BD236" s="79">
        <v>1071.6959999999999</v>
      </c>
      <c r="BE236" s="79">
        <v>757.88300000000004</v>
      </c>
      <c r="BF236" s="79">
        <v>487.43099999999998</v>
      </c>
      <c r="BG236" s="79">
        <v>242.96</v>
      </c>
      <c r="BH236" s="56">
        <v>953.05399999999997</v>
      </c>
      <c r="BI236" s="56">
        <v>692.21299999999997</v>
      </c>
      <c r="BJ236" s="56">
        <v>444.79300000000001</v>
      </c>
      <c r="BK236" s="56">
        <v>206.84899999999999</v>
      </c>
      <c r="BL236" s="56">
        <v>822.28200000000004</v>
      </c>
      <c r="BM236" s="56">
        <v>588.01499999999999</v>
      </c>
      <c r="BN236" s="56">
        <v>379.03100000000001</v>
      </c>
      <c r="BO236" s="56">
        <v>178.09200000000001</v>
      </c>
      <c r="BP236" s="56">
        <v>793.87400000000002</v>
      </c>
      <c r="BQ236" s="56">
        <v>574.05899999999997</v>
      </c>
      <c r="BR236" s="56">
        <v>377.81400000000002</v>
      </c>
      <c r="BS236" s="56">
        <v>176.66399999999999</v>
      </c>
    </row>
    <row r="237" spans="1:72" x14ac:dyDescent="0.25">
      <c r="A237" s="74">
        <v>237</v>
      </c>
      <c r="B237" s="76" t="s">
        <v>395</v>
      </c>
      <c r="C237" s="93"/>
      <c r="D237" s="88"/>
      <c r="E237" s="94">
        <f t="shared" ca="1" si="445"/>
        <v>-4.8878665899942497E-2</v>
      </c>
      <c r="F237" s="330">
        <v>1654</v>
      </c>
      <c r="G237" s="330">
        <v>784</v>
      </c>
      <c r="H237" s="330">
        <v>3536</v>
      </c>
      <c r="I237" s="330">
        <v>2656</v>
      </c>
      <c r="J237" s="330">
        <v>1739</v>
      </c>
      <c r="K237" s="330">
        <v>852</v>
      </c>
      <c r="L237" s="79">
        <v>3855</v>
      </c>
      <c r="M237" s="79">
        <v>2962</v>
      </c>
      <c r="N237" s="79">
        <v>2040</v>
      </c>
      <c r="O237" s="79">
        <v>1021</v>
      </c>
      <c r="P237" s="79">
        <v>4274</v>
      </c>
      <c r="Q237" s="79">
        <v>3204</v>
      </c>
      <c r="R237" s="79">
        <v>2110</v>
      </c>
      <c r="S237" s="79">
        <v>1053</v>
      </c>
      <c r="T237" s="404"/>
      <c r="U237" s="404"/>
      <c r="V237" s="404"/>
      <c r="W237" s="404"/>
      <c r="X237" s="79">
        <f>3753-628</f>
        <v>3125</v>
      </c>
      <c r="Y237" s="79">
        <v>2358</v>
      </c>
      <c r="Z237" s="79">
        <v>1620</v>
      </c>
      <c r="AA237" s="79">
        <f>910-145</f>
        <v>765</v>
      </c>
      <c r="AB237" s="79">
        <v>3146</v>
      </c>
      <c r="AC237" s="79">
        <f>2591.598-294.781-89.273</f>
        <v>2207.5439999999999</v>
      </c>
      <c r="AD237" s="79">
        <f>1645.459-194.96-52.093</f>
        <v>1398.4059999999999</v>
      </c>
      <c r="AE237" s="79">
        <f>864.452-116.58-14.33</f>
        <v>733.54199999999992</v>
      </c>
      <c r="AF237" s="79">
        <v>3456.0619999999999</v>
      </c>
      <c r="AG237" s="79">
        <v>2535.2550000000001</v>
      </c>
      <c r="AH237" s="79">
        <v>1667.596</v>
      </c>
      <c r="AI237" s="79">
        <v>755.33900000000006</v>
      </c>
      <c r="AJ237" s="79">
        <v>3041.68</v>
      </c>
      <c r="AK237" s="79">
        <v>2254.2289999999998</v>
      </c>
      <c r="AL237" s="79">
        <v>1480.45</v>
      </c>
      <c r="AM237" s="79">
        <v>723.85199999999998</v>
      </c>
      <c r="AN237" s="79">
        <v>2680.7689999999998</v>
      </c>
      <c r="AO237" s="79">
        <v>1906.3679999999999</v>
      </c>
      <c r="AP237" s="79">
        <v>1224.7249999999999</v>
      </c>
      <c r="AQ237" s="79">
        <v>576.16499999999996</v>
      </c>
      <c r="AR237" s="79">
        <v>2022.11</v>
      </c>
      <c r="AS237" s="79">
        <v>1438.9179999999999</v>
      </c>
      <c r="AT237" s="79">
        <v>900.11</v>
      </c>
      <c r="AU237" s="79">
        <v>424.72</v>
      </c>
      <c r="AV237" s="79">
        <v>1320.886</v>
      </c>
      <c r="AW237" s="79">
        <v>934.13099999999997</v>
      </c>
      <c r="AX237" s="79">
        <v>616.649</v>
      </c>
      <c r="AY237" s="79">
        <v>290.20100000000002</v>
      </c>
      <c r="AZ237" s="79">
        <v>1182.8869999999999</v>
      </c>
      <c r="BA237" s="79">
        <v>833.29200000000003</v>
      </c>
      <c r="BB237" s="79">
        <v>542.06399999999996</v>
      </c>
      <c r="BC237" s="79">
        <v>252.71100000000001</v>
      </c>
      <c r="BD237" s="79">
        <v>839.23099999999999</v>
      </c>
      <c r="BE237" s="79">
        <v>599.678</v>
      </c>
      <c r="BF237" s="79">
        <v>391.245</v>
      </c>
      <c r="BG237" s="79">
        <v>181.042</v>
      </c>
      <c r="BH237" s="56">
        <v>700.29399999999998</v>
      </c>
      <c r="BI237" s="56">
        <v>487.41</v>
      </c>
      <c r="BJ237" s="56">
        <v>304.22199999999998</v>
      </c>
      <c r="BK237" s="56">
        <v>146.93299999999999</v>
      </c>
      <c r="BL237" s="56">
        <v>597.09400000000005</v>
      </c>
      <c r="BM237" s="56">
        <v>428.64699999999999</v>
      </c>
      <c r="BN237" s="56">
        <v>274.07799999999997</v>
      </c>
      <c r="BO237" s="56">
        <v>126.678</v>
      </c>
      <c r="BP237" s="56">
        <v>489.89699999999999</v>
      </c>
      <c r="BQ237" s="56">
        <v>349.40600000000001</v>
      </c>
      <c r="BR237" s="56">
        <v>224.55</v>
      </c>
      <c r="BS237" s="56">
        <v>104.197</v>
      </c>
    </row>
    <row r="238" spans="1:72" x14ac:dyDescent="0.25">
      <c r="A238" s="74">
        <v>238</v>
      </c>
      <c r="B238" s="76" t="s">
        <v>207</v>
      </c>
      <c r="C238" s="93"/>
      <c r="D238" s="88"/>
      <c r="E238" s="94">
        <f t="shared" ca="1" si="445"/>
        <v>0.20620043258832021</v>
      </c>
      <c r="F238" s="330">
        <v>1673</v>
      </c>
      <c r="G238" s="330">
        <v>810</v>
      </c>
      <c r="H238" s="330">
        <v>2951</v>
      </c>
      <c r="I238" s="330">
        <v>2110</v>
      </c>
      <c r="J238" s="330">
        <v>1387</v>
      </c>
      <c r="K238" s="330">
        <v>717</v>
      </c>
      <c r="L238" s="79">
        <v>1967</v>
      </c>
      <c r="M238" s="79">
        <v>1432</v>
      </c>
      <c r="N238" s="79">
        <v>939</v>
      </c>
      <c r="O238" s="79">
        <v>483</v>
      </c>
      <c r="P238" s="79">
        <v>1648</v>
      </c>
      <c r="Q238" s="79">
        <v>1211</v>
      </c>
      <c r="R238" s="79">
        <v>772</v>
      </c>
      <c r="S238" s="79">
        <v>396</v>
      </c>
      <c r="T238" s="404"/>
      <c r="U238" s="404"/>
      <c r="V238" s="404"/>
      <c r="W238" s="404"/>
      <c r="X238" s="79">
        <v>1793</v>
      </c>
      <c r="Y238" s="79">
        <v>1285</v>
      </c>
      <c r="Z238" s="79">
        <v>816</v>
      </c>
      <c r="AA238" s="79">
        <v>397</v>
      </c>
      <c r="AB238" s="79">
        <v>1526</v>
      </c>
      <c r="AC238" s="79">
        <v>1082.306</v>
      </c>
      <c r="AD238" s="79">
        <v>677.32899999999995</v>
      </c>
      <c r="AE238" s="79">
        <v>312.66199999999998</v>
      </c>
      <c r="AF238" s="79">
        <v>1024.51</v>
      </c>
      <c r="AG238" s="79">
        <v>671.69299999999998</v>
      </c>
      <c r="AH238" s="79">
        <v>421.81200000000001</v>
      </c>
      <c r="AI238" s="79">
        <v>108.464</v>
      </c>
      <c r="AJ238" s="79">
        <v>801.43600000000004</v>
      </c>
      <c r="AK238" s="79">
        <v>573.36</v>
      </c>
      <c r="AL238" s="79">
        <v>363.75200000000001</v>
      </c>
      <c r="AM238" s="79">
        <v>192.82300000000001</v>
      </c>
      <c r="AN238" s="79">
        <v>870.65099999999995</v>
      </c>
      <c r="AO238" s="79">
        <v>663.26199999999994</v>
      </c>
      <c r="AP238" s="79">
        <v>451.43099999999998</v>
      </c>
      <c r="AQ238" s="79">
        <v>238.83799999999999</v>
      </c>
      <c r="AR238" s="79">
        <v>976.95600000000002</v>
      </c>
      <c r="AS238" s="79">
        <v>757.58900000000006</v>
      </c>
      <c r="AT238" s="79">
        <v>503.30399999999997</v>
      </c>
      <c r="AU238" s="79">
        <v>273.375</v>
      </c>
      <c r="AV238" s="79">
        <v>863.81500000000005</v>
      </c>
      <c r="AW238" s="79">
        <v>628.92999999999995</v>
      </c>
      <c r="AX238" s="79">
        <v>406.68599999999998</v>
      </c>
      <c r="AY238" s="79">
        <v>125.601</v>
      </c>
      <c r="AZ238" s="79">
        <v>912.17399999999998</v>
      </c>
      <c r="BA238" s="79">
        <v>641.28099999999995</v>
      </c>
      <c r="BB238" s="79">
        <v>399.72</v>
      </c>
      <c r="BC238" s="79">
        <v>192.428</v>
      </c>
      <c r="BD238" s="79">
        <v>844.23199999999997</v>
      </c>
      <c r="BE238" s="79">
        <v>592.08199999999999</v>
      </c>
      <c r="BF238" s="79">
        <v>364.30399999999997</v>
      </c>
      <c r="BG238" s="79">
        <v>169.196</v>
      </c>
      <c r="BH238" s="56">
        <v>726.298</v>
      </c>
      <c r="BI238" s="56">
        <v>483.89800000000002</v>
      </c>
      <c r="BJ238" s="56">
        <v>305.43599999999998</v>
      </c>
      <c r="BK238" s="56">
        <v>126.102</v>
      </c>
      <c r="BL238" s="56">
        <v>645.35</v>
      </c>
      <c r="BM238" s="56">
        <v>423.10300000000001</v>
      </c>
      <c r="BN238" s="56">
        <v>274.584</v>
      </c>
      <c r="BO238" s="56">
        <v>117.17400000000001</v>
      </c>
      <c r="BP238" s="56">
        <v>371.40499999999997</v>
      </c>
      <c r="BQ238" s="56">
        <v>198.24600000000001</v>
      </c>
      <c r="BR238" s="56">
        <v>139.28</v>
      </c>
      <c r="BS238" s="56">
        <v>42.325000000000003</v>
      </c>
    </row>
    <row r="239" spans="1:72" x14ac:dyDescent="0.25">
      <c r="A239" s="74">
        <v>239</v>
      </c>
      <c r="B239" s="76" t="s">
        <v>400</v>
      </c>
      <c r="C239" s="93"/>
      <c r="D239" s="88"/>
      <c r="E239" s="94">
        <f t="shared" ca="1" si="445"/>
        <v>1.4216867469879517</v>
      </c>
      <c r="F239" s="330">
        <v>1005</v>
      </c>
      <c r="G239" s="330">
        <v>427</v>
      </c>
      <c r="H239" s="330">
        <v>1145</v>
      </c>
      <c r="I239" s="330">
        <v>712</v>
      </c>
      <c r="J239" s="330">
        <v>415</v>
      </c>
      <c r="K239" s="330">
        <v>163</v>
      </c>
      <c r="L239" s="79">
        <v>1163</v>
      </c>
      <c r="M239" s="79">
        <v>904</v>
      </c>
      <c r="N239" s="79">
        <v>523</v>
      </c>
      <c r="O239" s="79">
        <v>243</v>
      </c>
      <c r="P239" s="79">
        <v>1239</v>
      </c>
      <c r="Q239" s="79">
        <v>858</v>
      </c>
      <c r="R239" s="79">
        <v>547</v>
      </c>
      <c r="S239" s="79">
        <v>223</v>
      </c>
      <c r="T239" s="404"/>
      <c r="U239" s="404"/>
      <c r="V239" s="404"/>
      <c r="W239" s="404"/>
      <c r="X239" s="79">
        <v>1124</v>
      </c>
      <c r="Y239" s="79">
        <v>817</v>
      </c>
      <c r="Z239" s="79">
        <v>530</v>
      </c>
      <c r="AA239" s="79">
        <v>154</v>
      </c>
      <c r="AB239" s="79">
        <v>419</v>
      </c>
      <c r="AC239" s="79">
        <v>323.85899999999998</v>
      </c>
      <c r="AD239" s="79">
        <v>212.38800000000001</v>
      </c>
      <c r="AE239" s="79">
        <v>107.95</v>
      </c>
      <c r="AF239" s="79">
        <v>584.45100000000002</v>
      </c>
      <c r="AG239" s="79">
        <v>438.33088401999998</v>
      </c>
      <c r="AH239" s="79">
        <v>238.79043106999998</v>
      </c>
      <c r="AI239" s="79">
        <v>130.02376204999999</v>
      </c>
      <c r="AJ239" s="79">
        <v>62.895000000000003</v>
      </c>
      <c r="AK239" s="79">
        <v>16.246500490000003</v>
      </c>
      <c r="AL239" s="79">
        <v>9.507763370000001</v>
      </c>
      <c r="AM239" s="79">
        <v>3.9716092400000003</v>
      </c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  <c r="BR239" s="56"/>
      <c r="BS239" s="56"/>
    </row>
    <row r="240" spans="1:72" x14ac:dyDescent="0.25">
      <c r="A240" s="74">
        <v>240</v>
      </c>
      <c r="B240" s="76" t="s">
        <v>208</v>
      </c>
      <c r="C240" s="93"/>
      <c r="D240" s="88"/>
      <c r="E240" s="94">
        <f t="shared" ca="1" si="445"/>
        <v>-0.14736842105263159</v>
      </c>
      <c r="F240" s="330">
        <v>81</v>
      </c>
      <c r="G240" s="330">
        <v>39</v>
      </c>
      <c r="H240" s="330">
        <v>208</v>
      </c>
      <c r="I240" s="330">
        <v>156</v>
      </c>
      <c r="J240" s="330">
        <v>95</v>
      </c>
      <c r="K240" s="330">
        <v>47</v>
      </c>
      <c r="L240" s="79">
        <v>268</v>
      </c>
      <c r="M240" s="79">
        <v>208</v>
      </c>
      <c r="N240" s="79">
        <v>155</v>
      </c>
      <c r="O240" s="79">
        <v>78</v>
      </c>
      <c r="P240" s="79">
        <v>236</v>
      </c>
      <c r="Q240" s="79">
        <v>173</v>
      </c>
      <c r="R240" s="79">
        <v>107</v>
      </c>
      <c r="S240" s="79">
        <v>55</v>
      </c>
      <c r="T240" s="404"/>
      <c r="U240" s="404"/>
      <c r="V240" s="404"/>
      <c r="W240" s="404"/>
      <c r="X240" s="79">
        <v>197</v>
      </c>
      <c r="Y240" s="79">
        <v>142</v>
      </c>
      <c r="Z240" s="79">
        <v>97</v>
      </c>
      <c r="AA240" s="79">
        <v>44</v>
      </c>
      <c r="AB240" s="79">
        <v>218</v>
      </c>
      <c r="AC240" s="79">
        <v>145.51</v>
      </c>
      <c r="AD240" s="79">
        <v>94.486999999999995</v>
      </c>
      <c r="AE240" s="79">
        <v>53.37</v>
      </c>
      <c r="AF240" s="79">
        <v>244.76499999999999</v>
      </c>
      <c r="AG240" s="79">
        <v>171.15700000000001</v>
      </c>
      <c r="AH240" s="79">
        <v>92.79</v>
      </c>
      <c r="AI240" s="79">
        <v>46.741</v>
      </c>
      <c r="AJ240" s="79">
        <v>259.24</v>
      </c>
      <c r="AK240" s="79">
        <v>187.435</v>
      </c>
      <c r="AL240" s="79">
        <v>124.938</v>
      </c>
      <c r="AM240" s="79">
        <v>59.231000000000002</v>
      </c>
      <c r="AN240" s="79">
        <v>269.33600000000001</v>
      </c>
      <c r="AO240" s="79">
        <v>192.31100000000001</v>
      </c>
      <c r="AP240" s="79">
        <v>126.69799999999999</v>
      </c>
      <c r="AQ240" s="79">
        <v>60.965000000000003</v>
      </c>
      <c r="AR240" s="79">
        <v>314.29700000000003</v>
      </c>
      <c r="AS240" s="79">
        <v>231.078</v>
      </c>
      <c r="AT240" s="79">
        <v>155.20099999999999</v>
      </c>
      <c r="AU240" s="79">
        <v>73.001999999999995</v>
      </c>
      <c r="AV240" s="79">
        <v>243.01300000000001</v>
      </c>
      <c r="AW240" s="79">
        <v>170.959</v>
      </c>
      <c r="AX240" s="79">
        <v>111.214</v>
      </c>
      <c r="AY240" s="79">
        <v>52.213000000000001</v>
      </c>
      <c r="AZ240" s="79">
        <v>302.76499999999999</v>
      </c>
      <c r="BA240" s="79">
        <v>248.35400000000001</v>
      </c>
      <c r="BB240" s="79">
        <v>159.18199999999999</v>
      </c>
      <c r="BC240" s="79">
        <v>56.3</v>
      </c>
      <c r="BD240" s="79">
        <v>198.71100000000001</v>
      </c>
      <c r="BE240" s="79">
        <v>130.45099999999999</v>
      </c>
      <c r="BF240" s="79">
        <v>82.588999999999999</v>
      </c>
      <c r="BG240" s="79">
        <v>37.252000000000002</v>
      </c>
      <c r="BH240" s="56">
        <v>189.09200000000001</v>
      </c>
      <c r="BI240" s="56">
        <v>136.44399999999999</v>
      </c>
      <c r="BJ240" s="56">
        <v>90.296000000000006</v>
      </c>
      <c r="BK240" s="56">
        <v>41.741</v>
      </c>
      <c r="BL240" s="56">
        <v>195.71299999999999</v>
      </c>
      <c r="BM240" s="56">
        <v>140.32599999999999</v>
      </c>
      <c r="BN240" s="56">
        <v>91.33</v>
      </c>
      <c r="BO240" s="56">
        <v>42.253</v>
      </c>
      <c r="BP240" s="56">
        <v>204.61099999999999</v>
      </c>
      <c r="BQ240" s="56">
        <v>142.904</v>
      </c>
      <c r="BR240" s="56">
        <v>92.084999999999994</v>
      </c>
      <c r="BS240" s="56">
        <v>43.338999999999999</v>
      </c>
    </row>
    <row r="241" spans="1:71" s="301" customFormat="1" x14ac:dyDescent="0.25">
      <c r="A241" s="289">
        <v>241</v>
      </c>
      <c r="B241" s="323" t="s">
        <v>412</v>
      </c>
      <c r="C241" s="365"/>
      <c r="D241" s="291"/>
      <c r="E241" s="286"/>
      <c r="F241" s="330">
        <v>0</v>
      </c>
      <c r="G241" s="330">
        <v>0</v>
      </c>
      <c r="H241" s="330">
        <v>0</v>
      </c>
      <c r="I241" s="330">
        <v>0</v>
      </c>
      <c r="J241" s="330">
        <v>0</v>
      </c>
      <c r="K241" s="330">
        <v>0</v>
      </c>
      <c r="L241" s="330">
        <v>0</v>
      </c>
      <c r="M241" s="330">
        <v>0</v>
      </c>
      <c r="N241" s="330">
        <v>0</v>
      </c>
      <c r="O241" s="330">
        <v>0</v>
      </c>
      <c r="P241" s="330">
        <v>35</v>
      </c>
      <c r="Q241" s="330">
        <v>35</v>
      </c>
      <c r="R241" s="330">
        <v>35</v>
      </c>
      <c r="S241" s="330">
        <v>30</v>
      </c>
      <c r="T241" s="404"/>
      <c r="U241" s="404"/>
      <c r="V241" s="404"/>
      <c r="W241" s="404"/>
      <c r="X241" s="330">
        <v>194</v>
      </c>
      <c r="Y241" s="330">
        <v>147</v>
      </c>
      <c r="Z241" s="330">
        <v>97</v>
      </c>
      <c r="AA241" s="330">
        <v>27</v>
      </c>
      <c r="AB241" s="330">
        <v>106</v>
      </c>
      <c r="AC241" s="330">
        <v>89.135000000000005</v>
      </c>
      <c r="AD241" s="330">
        <v>52.093000000000004</v>
      </c>
      <c r="AE241" s="330">
        <v>14.304</v>
      </c>
      <c r="AF241" s="330">
        <v>62.238</v>
      </c>
      <c r="AG241" s="330">
        <v>32.881999999999998</v>
      </c>
      <c r="AH241" s="330">
        <v>19.074999999999999</v>
      </c>
      <c r="AI241" s="330">
        <v>8.4380000000000006</v>
      </c>
      <c r="AJ241" s="330"/>
      <c r="AK241" s="330"/>
      <c r="AL241" s="330"/>
      <c r="AM241" s="330"/>
      <c r="AN241" s="330"/>
      <c r="AO241" s="330"/>
      <c r="AP241" s="330"/>
      <c r="AQ241" s="330"/>
      <c r="AR241" s="330"/>
      <c r="AS241" s="330"/>
      <c r="AT241" s="330"/>
      <c r="AU241" s="330"/>
      <c r="AV241" s="330"/>
      <c r="AW241" s="330"/>
      <c r="AX241" s="330"/>
      <c r="AY241" s="330"/>
      <c r="AZ241" s="330"/>
      <c r="BA241" s="330"/>
      <c r="BB241" s="330"/>
      <c r="BC241" s="330"/>
      <c r="BD241" s="330"/>
      <c r="BE241" s="330"/>
      <c r="BF241" s="330"/>
      <c r="BG241" s="330"/>
      <c r="BH241" s="330"/>
      <c r="BI241" s="330"/>
      <c r="BJ241" s="330"/>
      <c r="BK241" s="330"/>
      <c r="BL241" s="330"/>
      <c r="BM241" s="330"/>
      <c r="BN241" s="330"/>
      <c r="BO241" s="330"/>
      <c r="BP241" s="330"/>
      <c r="BQ241" s="330"/>
      <c r="BR241" s="330"/>
      <c r="BS241" s="330"/>
    </row>
    <row r="242" spans="1:71" s="301" customFormat="1" x14ac:dyDescent="0.25">
      <c r="A242" s="289">
        <v>242</v>
      </c>
      <c r="B242" s="323" t="s">
        <v>209</v>
      </c>
      <c r="C242" s="365"/>
      <c r="D242" s="291"/>
      <c r="E242" s="286">
        <f t="shared" ca="1" si="445"/>
        <v>7.1428571428571397E-2</v>
      </c>
      <c r="F242" s="330">
        <v>45</v>
      </c>
      <c r="G242" s="330">
        <v>22</v>
      </c>
      <c r="H242" s="330">
        <v>89</v>
      </c>
      <c r="I242" s="330">
        <v>64</v>
      </c>
      <c r="J242" s="330">
        <v>42</v>
      </c>
      <c r="K242" s="330">
        <v>21</v>
      </c>
      <c r="L242" s="330">
        <v>87</v>
      </c>
      <c r="M242" s="330">
        <v>65</v>
      </c>
      <c r="N242" s="330">
        <v>42</v>
      </c>
      <c r="O242" s="330">
        <v>20</v>
      </c>
      <c r="P242" s="330">
        <v>77</v>
      </c>
      <c r="Q242" s="330">
        <v>58</v>
      </c>
      <c r="R242" s="330">
        <v>38</v>
      </c>
      <c r="S242" s="330">
        <v>18</v>
      </c>
      <c r="T242" s="404"/>
      <c r="U242" s="404"/>
      <c r="V242" s="404"/>
      <c r="W242" s="404"/>
      <c r="X242" s="330">
        <v>111</v>
      </c>
      <c r="Y242" s="330">
        <v>85</v>
      </c>
      <c r="Z242" s="330">
        <v>58</v>
      </c>
      <c r="AA242" s="330">
        <v>28</v>
      </c>
      <c r="AB242" s="330">
        <v>114</v>
      </c>
      <c r="AC242" s="330">
        <v>82.396000000000001</v>
      </c>
      <c r="AD242" s="330">
        <v>55.872</v>
      </c>
      <c r="AE242" s="330">
        <v>35.924999999999997</v>
      </c>
      <c r="AF242" s="330">
        <v>176.21199999999999</v>
      </c>
      <c r="AG242" s="330">
        <v>135.01</v>
      </c>
      <c r="AH242" s="330">
        <v>103.11199999999999</v>
      </c>
      <c r="AI242" s="330">
        <v>46.747</v>
      </c>
      <c r="AJ242" s="330">
        <v>196.512</v>
      </c>
      <c r="AK242" s="330">
        <v>145.892</v>
      </c>
      <c r="AL242" s="330">
        <v>93.524000000000001</v>
      </c>
      <c r="AM242" s="330">
        <v>46.015999999999998</v>
      </c>
      <c r="AN242" s="330">
        <v>202.88300000000001</v>
      </c>
      <c r="AO242" s="330">
        <v>153.273</v>
      </c>
      <c r="AP242" s="330">
        <v>105.46</v>
      </c>
      <c r="AQ242" s="330">
        <v>50.957999999999998</v>
      </c>
      <c r="AR242" s="330">
        <v>190.30799999999999</v>
      </c>
      <c r="AS242" s="330">
        <v>139.22</v>
      </c>
      <c r="AT242" s="330">
        <v>88.828000000000003</v>
      </c>
      <c r="AU242" s="330">
        <v>44.048999999999999</v>
      </c>
      <c r="AV242" s="330">
        <v>167.792</v>
      </c>
      <c r="AW242" s="330">
        <v>124.38</v>
      </c>
      <c r="AX242" s="330">
        <v>83.212999999999994</v>
      </c>
      <c r="AY242" s="330">
        <v>40.412999999999997</v>
      </c>
      <c r="AZ242" s="330">
        <v>160.17599999999999</v>
      </c>
      <c r="BA242" s="330">
        <v>118.804</v>
      </c>
      <c r="BB242" s="330">
        <v>80.185000000000002</v>
      </c>
      <c r="BC242" s="330">
        <v>39.247999999999998</v>
      </c>
      <c r="BD242" s="330">
        <v>154.05199999999999</v>
      </c>
      <c r="BE242" s="330">
        <v>115.89100000000001</v>
      </c>
      <c r="BF242" s="330">
        <v>80.209999999999994</v>
      </c>
      <c r="BG242" s="330">
        <v>38.878999999999998</v>
      </c>
      <c r="BH242" s="330">
        <v>134.04599999999999</v>
      </c>
      <c r="BI242" s="330">
        <v>95.962999999999994</v>
      </c>
      <c r="BJ242" s="330">
        <v>61.42</v>
      </c>
      <c r="BK242" s="330">
        <v>28.855</v>
      </c>
      <c r="BL242" s="330">
        <v>112.16200000000001</v>
      </c>
      <c r="BM242" s="330">
        <v>80.701999999999998</v>
      </c>
      <c r="BN242" s="330">
        <v>52.371000000000002</v>
      </c>
      <c r="BO242" s="330">
        <v>24.015000000000001</v>
      </c>
      <c r="BP242" s="330">
        <v>97.816000000000003</v>
      </c>
      <c r="BQ242" s="330">
        <v>71.100999999999999</v>
      </c>
      <c r="BR242" s="330">
        <v>45.651000000000003</v>
      </c>
      <c r="BS242" s="330">
        <v>20.905999999999999</v>
      </c>
    </row>
    <row r="243" spans="1:71" s="301" customFormat="1" x14ac:dyDescent="0.25">
      <c r="A243" s="289">
        <v>243</v>
      </c>
      <c r="B243" s="323" t="s">
        <v>210</v>
      </c>
      <c r="C243" s="365"/>
      <c r="D243" s="291"/>
      <c r="E243" s="286">
        <f t="shared" ca="1" si="445"/>
        <v>-6.25E-2</v>
      </c>
      <c r="F243" s="330">
        <v>30</v>
      </c>
      <c r="G243" s="330">
        <v>15</v>
      </c>
      <c r="H243" s="330">
        <v>63</v>
      </c>
      <c r="I243" s="330">
        <v>48</v>
      </c>
      <c r="J243" s="330">
        <v>32</v>
      </c>
      <c r="K243" s="330">
        <v>16</v>
      </c>
      <c r="L243" s="330">
        <v>69</v>
      </c>
      <c r="M243" s="330">
        <v>53</v>
      </c>
      <c r="N243" s="330">
        <v>35</v>
      </c>
      <c r="O243" s="330">
        <v>17</v>
      </c>
      <c r="P243" s="330">
        <v>69</v>
      </c>
      <c r="Q243" s="330">
        <v>52</v>
      </c>
      <c r="R243" s="330">
        <v>34</v>
      </c>
      <c r="S243" s="330">
        <v>17</v>
      </c>
      <c r="T243" s="404"/>
      <c r="U243" s="404"/>
      <c r="V243" s="404"/>
      <c r="W243" s="404"/>
      <c r="X243" s="330">
        <v>58</v>
      </c>
      <c r="Y243" s="330">
        <v>44</v>
      </c>
      <c r="Z243" s="330">
        <v>29</v>
      </c>
      <c r="AA243" s="330">
        <v>14</v>
      </c>
      <c r="AB243" s="330">
        <v>58</v>
      </c>
      <c r="AC243" s="330">
        <v>43.301000000000002</v>
      </c>
      <c r="AD243" s="330">
        <v>28.646000000000001</v>
      </c>
      <c r="AE243" s="330">
        <v>14.512</v>
      </c>
      <c r="AF243" s="330">
        <v>57.588000000000001</v>
      </c>
      <c r="AG243" s="330">
        <v>42.932000000000002</v>
      </c>
      <c r="AH243" s="330">
        <v>28.187000000000001</v>
      </c>
      <c r="AI243" s="330">
        <v>13.922000000000001</v>
      </c>
      <c r="AJ243" s="330">
        <v>58.825000000000003</v>
      </c>
      <c r="AK243" s="330">
        <v>44.499000000000002</v>
      </c>
      <c r="AL243" s="330">
        <v>29.673999999999999</v>
      </c>
      <c r="AM243" s="330">
        <v>14.789</v>
      </c>
      <c r="AN243" s="330">
        <v>58.767000000000003</v>
      </c>
      <c r="AO243" s="330">
        <v>42.457999999999998</v>
      </c>
      <c r="AP243" s="330">
        <v>27.411000000000001</v>
      </c>
      <c r="AQ243" s="330">
        <v>12.769</v>
      </c>
      <c r="AR243" s="330">
        <v>42.453000000000003</v>
      </c>
      <c r="AS243" s="330">
        <v>30.859000000000002</v>
      </c>
      <c r="AT243" s="330">
        <v>20.091000000000001</v>
      </c>
      <c r="AU243" s="330">
        <v>9.77</v>
      </c>
      <c r="AV243" s="330">
        <v>33.405000000000001</v>
      </c>
      <c r="AW243" s="330">
        <v>24.167000000000002</v>
      </c>
      <c r="AX243" s="330">
        <v>16.716000000000001</v>
      </c>
      <c r="AY243" s="330">
        <v>7.85</v>
      </c>
      <c r="AZ243" s="330">
        <v>27.097999999999999</v>
      </c>
      <c r="BA243" s="330">
        <v>19.899999999999999</v>
      </c>
      <c r="BB243" s="330">
        <v>13.000999999999999</v>
      </c>
      <c r="BC243" s="330">
        <v>6.2690000000000001</v>
      </c>
      <c r="BD243" s="330">
        <v>24.58</v>
      </c>
      <c r="BE243" s="330">
        <v>18.234000000000002</v>
      </c>
      <c r="BF243" s="330">
        <v>11.991</v>
      </c>
      <c r="BG243" s="330">
        <v>5.851</v>
      </c>
      <c r="BH243" s="330">
        <v>22.997</v>
      </c>
      <c r="BI243" s="330">
        <v>17.097000000000001</v>
      </c>
      <c r="BJ243" s="330">
        <v>11.193</v>
      </c>
      <c r="BK243" s="330">
        <v>5.5780000000000003</v>
      </c>
      <c r="BL243" s="330">
        <v>20.452999999999999</v>
      </c>
      <c r="BM243" s="330">
        <v>14.978999999999999</v>
      </c>
      <c r="BN243" s="330">
        <v>9.6620000000000008</v>
      </c>
      <c r="BO243" s="330">
        <v>4.6959999999999997</v>
      </c>
      <c r="BP243" s="330">
        <v>19.033000000000001</v>
      </c>
      <c r="BQ243" s="330">
        <v>14.196</v>
      </c>
      <c r="BR243" s="330">
        <v>9.3770000000000007</v>
      </c>
      <c r="BS243" s="330">
        <v>4.6470000000000002</v>
      </c>
    </row>
    <row r="244" spans="1:71" s="301" customFormat="1" x14ac:dyDescent="0.25">
      <c r="A244" s="289">
        <v>244</v>
      </c>
      <c r="B244" s="323" t="s">
        <v>212</v>
      </c>
      <c r="C244" s="365"/>
      <c r="D244" s="291"/>
      <c r="E244" s="286"/>
      <c r="F244" s="330">
        <v>0</v>
      </c>
      <c r="G244" s="330">
        <v>0</v>
      </c>
      <c r="H244" s="330">
        <v>0</v>
      </c>
      <c r="I244" s="330">
        <v>0</v>
      </c>
      <c r="J244" s="330">
        <v>0</v>
      </c>
      <c r="K244" s="330">
        <v>0</v>
      </c>
      <c r="L244" s="330">
        <v>0</v>
      </c>
      <c r="M244" s="330">
        <v>0</v>
      </c>
      <c r="N244" s="330">
        <v>0</v>
      </c>
      <c r="O244" s="330">
        <v>0</v>
      </c>
      <c r="P244" s="330">
        <v>0</v>
      </c>
      <c r="Q244" s="330">
        <v>0</v>
      </c>
      <c r="R244" s="330">
        <v>0</v>
      </c>
      <c r="S244" s="330">
        <v>0</v>
      </c>
      <c r="T244" s="404"/>
      <c r="U244" s="404"/>
      <c r="V244" s="404"/>
      <c r="W244" s="404"/>
      <c r="X244" s="330">
        <v>0</v>
      </c>
      <c r="Y244" s="330">
        <v>0</v>
      </c>
      <c r="Z244" s="330">
        <v>0</v>
      </c>
      <c r="AA244" s="330">
        <v>0</v>
      </c>
      <c r="AB244" s="330">
        <v>0</v>
      </c>
      <c r="AC244" s="330">
        <v>0.20699999999999999</v>
      </c>
      <c r="AD244" s="330">
        <v>0.13800000000000001</v>
      </c>
      <c r="AE244" s="330">
        <v>2.5999999999999999E-2</v>
      </c>
      <c r="AF244" s="330">
        <v>2.4710000000000001</v>
      </c>
      <c r="AG244" s="330">
        <v>1.917</v>
      </c>
      <c r="AH244" s="330">
        <v>1.159</v>
      </c>
      <c r="AI244" s="330">
        <v>0.50600000000000001</v>
      </c>
      <c r="AJ244" s="330">
        <v>2.911</v>
      </c>
      <c r="AK244" s="330">
        <v>2.2440000000000002</v>
      </c>
      <c r="AL244" s="330">
        <v>1.4279999999999999</v>
      </c>
      <c r="AM244" s="330">
        <v>0.747</v>
      </c>
      <c r="AN244" s="330">
        <v>4.0810000000000004</v>
      </c>
      <c r="AO244" s="330">
        <v>3.09</v>
      </c>
      <c r="AP244" s="330">
        <v>1.8080000000000001</v>
      </c>
      <c r="AQ244" s="330">
        <v>0.77400000000000002</v>
      </c>
      <c r="AR244" s="330">
        <v>4.226</v>
      </c>
      <c r="AS244" s="330">
        <v>3.2130000000000001</v>
      </c>
      <c r="AT244" s="330">
        <v>2.056</v>
      </c>
      <c r="AU244" s="330">
        <v>0.98099999999999998</v>
      </c>
      <c r="AV244" s="330">
        <v>36.945999999999998</v>
      </c>
      <c r="AW244" s="330">
        <v>35.692999999999998</v>
      </c>
      <c r="AX244" s="330">
        <v>34.436</v>
      </c>
      <c r="AY244" s="330">
        <v>24.347000000000001</v>
      </c>
      <c r="AZ244" s="330">
        <v>121.15900000000001</v>
      </c>
      <c r="BA244" s="330">
        <v>84.438999999999993</v>
      </c>
      <c r="BB244" s="330">
        <v>53.482999999999997</v>
      </c>
      <c r="BC244" s="330">
        <v>50.631</v>
      </c>
      <c r="BD244" s="330">
        <v>10.326000000000001</v>
      </c>
      <c r="BE244" s="330">
        <v>8.5329999999999995</v>
      </c>
      <c r="BF244" s="330">
        <v>5.976</v>
      </c>
      <c r="BG244" s="330">
        <v>3.5960000000000001</v>
      </c>
      <c r="BH244" s="330">
        <v>13.225</v>
      </c>
      <c r="BI244" s="330">
        <v>9.8059999999999992</v>
      </c>
      <c r="BJ244" s="330">
        <v>5.8070000000000004</v>
      </c>
      <c r="BK244" s="330">
        <v>2.456</v>
      </c>
      <c r="BL244" s="330">
        <v>30.140999999999998</v>
      </c>
      <c r="BM244" s="330">
        <v>23.137</v>
      </c>
      <c r="BN244" s="330">
        <v>13.965</v>
      </c>
      <c r="BO244" s="330">
        <v>4.8570000000000002</v>
      </c>
      <c r="BP244" s="330">
        <v>22.704000000000001</v>
      </c>
      <c r="BQ244" s="330">
        <v>16.044</v>
      </c>
      <c r="BR244" s="330">
        <v>9.6790000000000003</v>
      </c>
      <c r="BS244" s="330">
        <v>4.1710000000000003</v>
      </c>
    </row>
    <row r="245" spans="1:71" s="301" customFormat="1" x14ac:dyDescent="0.25">
      <c r="A245" s="289">
        <v>245</v>
      </c>
      <c r="B245" s="323" t="s">
        <v>60</v>
      </c>
      <c r="C245" s="365"/>
      <c r="D245" s="291"/>
      <c r="E245" s="286">
        <f ca="1">OFFSET($E$7,$A245-$A$7,1,1,1)/OFFSET($E$7,$A245-$A$7,5,1,1)-1</f>
        <v>0.98</v>
      </c>
      <c r="F245" s="330">
        <f>297</f>
        <v>297</v>
      </c>
      <c r="G245" s="330">
        <v>140</v>
      </c>
      <c r="H245" s="330">
        <v>429</v>
      </c>
      <c r="I245" s="330">
        <v>249</v>
      </c>
      <c r="J245" s="330">
        <v>150</v>
      </c>
      <c r="K245" s="330">
        <v>98</v>
      </c>
      <c r="L245" s="330">
        <v>349</v>
      </c>
      <c r="M245" s="330">
        <v>289</v>
      </c>
      <c r="N245" s="330">
        <v>209</v>
      </c>
      <c r="O245" s="330">
        <v>102</v>
      </c>
      <c r="P245" s="330">
        <v>220</v>
      </c>
      <c r="Q245" s="330">
        <v>160</v>
      </c>
      <c r="R245" s="330">
        <v>108</v>
      </c>
      <c r="S245" s="330">
        <v>56</v>
      </c>
      <c r="T245" s="404"/>
      <c r="U245" s="404"/>
      <c r="V245" s="404"/>
      <c r="W245" s="404"/>
      <c r="X245" s="330">
        <v>192</v>
      </c>
      <c r="Y245" s="330">
        <v>140</v>
      </c>
      <c r="Z245" s="330">
        <v>107</v>
      </c>
      <c r="AA245" s="330">
        <v>57</v>
      </c>
      <c r="AB245" s="330">
        <v>233</v>
      </c>
      <c r="AC245" s="330">
        <v>123.976</v>
      </c>
      <c r="AD245" s="330">
        <v>80.384</v>
      </c>
      <c r="AE245" s="330">
        <v>42.344000000000001</v>
      </c>
      <c r="AF245" s="330">
        <v>152.68600000000001</v>
      </c>
      <c r="AG245" s="330">
        <v>105.56911597999999</v>
      </c>
      <c r="AH245" s="330">
        <v>66.822568930000017</v>
      </c>
      <c r="AI245" s="330">
        <v>22.830237950000026</v>
      </c>
      <c r="AJ245" s="330">
        <v>93.036000000000001</v>
      </c>
      <c r="AK245" s="330">
        <v>71.903499510000003</v>
      </c>
      <c r="AL245" s="330">
        <v>45.677236630000003</v>
      </c>
      <c r="AM245" s="330">
        <v>22.46139076</v>
      </c>
      <c r="AN245" s="330">
        <v>105.687</v>
      </c>
      <c r="AO245" s="330">
        <v>72.643000000000001</v>
      </c>
      <c r="AP245" s="330">
        <v>41.238</v>
      </c>
      <c r="AQ245" s="330">
        <v>18.021999999999998</v>
      </c>
      <c r="AR245" s="330">
        <v>91.519000000000005</v>
      </c>
      <c r="AS245" s="330">
        <v>72.117999999999995</v>
      </c>
      <c r="AT245" s="330">
        <v>53.162999999999997</v>
      </c>
      <c r="AU245" s="330">
        <v>25.398</v>
      </c>
      <c r="AV245" s="330">
        <v>63.142000000000003</v>
      </c>
      <c r="AW245" s="330">
        <v>42.936999999999998</v>
      </c>
      <c r="AX245" s="330">
        <v>25.460999999999999</v>
      </c>
      <c r="AY245" s="330">
        <v>12.76</v>
      </c>
      <c r="AZ245" s="330">
        <v>73.39</v>
      </c>
      <c r="BA245" s="330">
        <v>46.402999999999999</v>
      </c>
      <c r="BB245" s="330">
        <v>21.562000000000001</v>
      </c>
      <c r="BC245" s="330">
        <v>13.010999999999999</v>
      </c>
      <c r="BD245" s="330">
        <v>29.628</v>
      </c>
      <c r="BE245" s="330">
        <v>16.100000000000001</v>
      </c>
      <c r="BF245" s="330">
        <v>9.4770000000000003</v>
      </c>
      <c r="BG245" s="330">
        <v>4.68</v>
      </c>
      <c r="BH245" s="330">
        <v>14.198</v>
      </c>
      <c r="BI245" s="330">
        <v>8.3000000000000007</v>
      </c>
      <c r="BJ245" s="330">
        <v>2.5129999999999999</v>
      </c>
      <c r="BK245" s="330">
        <v>0.77200000000000002</v>
      </c>
      <c r="BL245" s="330">
        <v>8.827</v>
      </c>
      <c r="BM245" s="330">
        <v>6.1619999999999999</v>
      </c>
      <c r="BN245" s="330">
        <v>3.472</v>
      </c>
      <c r="BO245" s="330">
        <v>0.91</v>
      </c>
      <c r="BP245" s="330">
        <v>7.8449999999999998</v>
      </c>
      <c r="BQ245" s="330">
        <v>7.0490000000000004</v>
      </c>
      <c r="BR245" s="330">
        <v>4.7939999999999996</v>
      </c>
      <c r="BS245" s="330">
        <v>20.113</v>
      </c>
    </row>
    <row r="246" spans="1:71" s="77" customFormat="1" ht="18.75" customHeight="1" x14ac:dyDescent="0.25">
      <c r="A246" s="74">
        <v>246</v>
      </c>
      <c r="B246" s="75" t="s">
        <v>258</v>
      </c>
      <c r="C246" s="93"/>
      <c r="D246" s="88"/>
      <c r="E246" s="96">
        <f ca="1">OFFSET($E$7,$A246-$A$7,1,1,1)/OFFSET($E$7,$A246-$A$7,5,1,1)-1</f>
        <v>8.072066959852453E-2</v>
      </c>
      <c r="F246" s="331">
        <f t="shared" ref="F246" si="446">SUM(F236:F245)</f>
        <v>7618</v>
      </c>
      <c r="G246" s="331">
        <f t="shared" ref="G246" si="447">SUM(G236:G245)</f>
        <v>3570</v>
      </c>
      <c r="H246" s="331">
        <f t="shared" ref="H246" si="448">SUM(H236:H245)</f>
        <v>14840</v>
      </c>
      <c r="I246" s="331">
        <f t="shared" ref="I246" si="449">SUM(I236:I245)</f>
        <v>10764</v>
      </c>
      <c r="J246" s="331">
        <f t="shared" ref="J246" si="450">SUM(J236:J245)</f>
        <v>7049</v>
      </c>
      <c r="K246" s="331">
        <f t="shared" ref="K246" si="451">SUM(K236:K245)</f>
        <v>3434</v>
      </c>
      <c r="L246" s="126">
        <f t="shared" ref="L246:X246" si="452">SUM(L236:L245)</f>
        <v>14405</v>
      </c>
      <c r="M246" s="126">
        <f t="shared" si="452"/>
        <v>10686</v>
      </c>
      <c r="N246" s="126">
        <f t="shared" si="452"/>
        <v>6829</v>
      </c>
      <c r="O246" s="126">
        <f t="shared" si="452"/>
        <v>3347</v>
      </c>
      <c r="P246" s="126">
        <f t="shared" si="452"/>
        <v>15285</v>
      </c>
      <c r="Q246" s="126">
        <f t="shared" si="452"/>
        <v>11440</v>
      </c>
      <c r="R246" s="126">
        <f t="shared" si="452"/>
        <v>7750</v>
      </c>
      <c r="S246" s="126">
        <f t="shared" si="452"/>
        <v>4193</v>
      </c>
      <c r="T246" s="436"/>
      <c r="U246" s="436"/>
      <c r="V246" s="436"/>
      <c r="W246" s="436"/>
      <c r="X246" s="126">
        <f t="shared" si="452"/>
        <v>11432</v>
      </c>
      <c r="Y246" s="126">
        <f t="shared" ref="Y246:AE246" si="453">SUM(Y236:Y245)</f>
        <v>8237</v>
      </c>
      <c r="Z246" s="126">
        <f t="shared" si="453"/>
        <v>5397</v>
      </c>
      <c r="AA246" s="126">
        <f t="shared" si="453"/>
        <v>2466</v>
      </c>
      <c r="AB246" s="126">
        <f t="shared" si="453"/>
        <v>9527</v>
      </c>
      <c r="AC246" s="126">
        <f t="shared" si="453"/>
        <v>6647.8880000000017</v>
      </c>
      <c r="AD246" s="126">
        <f t="shared" si="453"/>
        <v>4223.1419999999998</v>
      </c>
      <c r="AE246" s="126">
        <f t="shared" si="453"/>
        <v>2159.5120000000002</v>
      </c>
      <c r="AF246" s="126">
        <f t="shared" ref="AF246:AU246" si="454">SUM(AF236:AF245)</f>
        <v>8977.886999999997</v>
      </c>
      <c r="AG246" s="126">
        <f t="shared" si="454"/>
        <v>6389.5190000000002</v>
      </c>
      <c r="AH246" s="126">
        <f t="shared" si="454"/>
        <v>4081.8490000000002</v>
      </c>
      <c r="AI246" s="126">
        <f t="shared" si="454"/>
        <v>1810.5390000000004</v>
      </c>
      <c r="AJ246" s="126">
        <f t="shared" si="454"/>
        <v>7325.6369999999988</v>
      </c>
      <c r="AK246" s="126">
        <f t="shared" si="454"/>
        <v>5270.7489999999989</v>
      </c>
      <c r="AL246" s="126">
        <f t="shared" si="454"/>
        <v>3407.5639999999999</v>
      </c>
      <c r="AM246" s="126">
        <f t="shared" si="454"/>
        <v>1692.2310000000002</v>
      </c>
      <c r="AN246" s="126">
        <f t="shared" si="454"/>
        <v>6607.0789999999997</v>
      </c>
      <c r="AO246" s="126">
        <f t="shared" si="454"/>
        <v>4775.6149999999998</v>
      </c>
      <c r="AP246" s="126">
        <f t="shared" si="454"/>
        <v>3105.2329999999997</v>
      </c>
      <c r="AQ246" s="126">
        <f t="shared" si="454"/>
        <v>1493.3259999999998</v>
      </c>
      <c r="AR246" s="126">
        <f t="shared" si="454"/>
        <v>5830.4570000000012</v>
      </c>
      <c r="AS246" s="126">
        <f t="shared" si="454"/>
        <v>4251.7849999999999</v>
      </c>
      <c r="AT246" s="126">
        <f t="shared" si="454"/>
        <v>2768.6260000000002</v>
      </c>
      <c r="AU246" s="126">
        <f t="shared" si="454"/>
        <v>1345.8079999999998</v>
      </c>
      <c r="AV246" s="126">
        <f t="shared" ref="AV246:BA246" si="455">SUM(AV236:AV245)</f>
        <v>4772.3379999999997</v>
      </c>
      <c r="AW246" s="126">
        <f t="shared" si="455"/>
        <v>3434.0539999999996</v>
      </c>
      <c r="AX246" s="126">
        <f t="shared" si="455"/>
        <v>2191.1929999999998</v>
      </c>
      <c r="AY246" s="126">
        <f t="shared" si="455"/>
        <v>1012.235</v>
      </c>
      <c r="AZ246" s="126">
        <f t="shared" si="455"/>
        <v>4420.5869999999995</v>
      </c>
      <c r="BA246" s="126">
        <f t="shared" si="455"/>
        <v>3108.0249999999996</v>
      </c>
      <c r="BB246" s="126">
        <f>SUM(BB236:BB245)</f>
        <v>1981.4909999999998</v>
      </c>
      <c r="BC246" s="126">
        <f t="shared" ref="BC246:BS246" si="456">SUM(BC236:BC245)</f>
        <v>928.71599999999989</v>
      </c>
      <c r="BD246" s="126">
        <f t="shared" si="456"/>
        <v>3172.4560000000001</v>
      </c>
      <c r="BE246" s="126">
        <f t="shared" si="456"/>
        <v>2238.8519999999999</v>
      </c>
      <c r="BF246" s="126">
        <f t="shared" si="456"/>
        <v>1433.2230000000002</v>
      </c>
      <c r="BG246" s="126">
        <f t="shared" si="456"/>
        <v>683.4559999999999</v>
      </c>
      <c r="BH246" s="126">
        <f t="shared" si="456"/>
        <v>2753.2039999999993</v>
      </c>
      <c r="BI246" s="126">
        <f t="shared" si="456"/>
        <v>1931.1310000000001</v>
      </c>
      <c r="BJ246" s="126">
        <f t="shared" si="456"/>
        <v>1225.68</v>
      </c>
      <c r="BK246" s="126">
        <f t="shared" si="456"/>
        <v>559.28600000000006</v>
      </c>
      <c r="BL246" s="126">
        <f t="shared" si="456"/>
        <v>2432.0220000000004</v>
      </c>
      <c r="BM246" s="126">
        <f t="shared" si="456"/>
        <v>1705.0710000000001</v>
      </c>
      <c r="BN246" s="126">
        <f t="shared" si="456"/>
        <v>1098.4929999999999</v>
      </c>
      <c r="BO246" s="126">
        <f t="shared" si="456"/>
        <v>498.67500000000001</v>
      </c>
      <c r="BP246" s="126">
        <f t="shared" si="456"/>
        <v>2007.1849999999997</v>
      </c>
      <c r="BQ246" s="126">
        <f t="shared" si="456"/>
        <v>1373.0049999999999</v>
      </c>
      <c r="BR246" s="126">
        <f t="shared" si="456"/>
        <v>903.2299999999999</v>
      </c>
      <c r="BS246" s="126">
        <f t="shared" si="456"/>
        <v>416.36199999999997</v>
      </c>
    </row>
    <row r="247" spans="1:71" ht="18.75" customHeight="1" x14ac:dyDescent="0.25">
      <c r="A247" s="74">
        <v>247</v>
      </c>
      <c r="B247" s="75" t="s">
        <v>133</v>
      </c>
      <c r="C247" s="93"/>
      <c r="D247" s="88"/>
      <c r="E247" s="94"/>
      <c r="F247" s="394"/>
      <c r="G247" s="394"/>
      <c r="H247" s="394"/>
      <c r="I247" s="394"/>
      <c r="J247" s="394"/>
      <c r="K247" s="394"/>
      <c r="L247" s="147"/>
      <c r="M247" s="147"/>
      <c r="N247" s="147"/>
      <c r="O247" s="147"/>
      <c r="P247" s="147"/>
      <c r="Q247" s="147"/>
      <c r="R247" s="147"/>
      <c r="S247" s="147"/>
      <c r="T247" s="439"/>
      <c r="U247" s="439"/>
      <c r="V247" s="439"/>
      <c r="W247" s="439"/>
      <c r="X247" s="147"/>
      <c r="Y247" s="147"/>
      <c r="Z247" s="147"/>
      <c r="AA247" s="147"/>
      <c r="AB247" s="88"/>
      <c r="AC247" s="88"/>
      <c r="AD247" s="88"/>
      <c r="AE247" s="88"/>
      <c r="AF247" s="267"/>
      <c r="AG247" s="267"/>
      <c r="AH247" s="267"/>
      <c r="AI247" s="267"/>
      <c r="AJ247" s="267"/>
      <c r="AK247" s="154"/>
      <c r="AL247" s="154"/>
      <c r="AM247" s="154"/>
      <c r="AN247" s="266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60"/>
      <c r="BC247" s="146"/>
      <c r="BD247" s="88"/>
      <c r="BE247" s="156"/>
      <c r="BF247" s="88"/>
      <c r="BG247" s="79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  <c r="BR247" s="56"/>
      <c r="BS247" s="56"/>
    </row>
    <row r="248" spans="1:71" x14ac:dyDescent="0.25">
      <c r="A248" s="74">
        <v>248</v>
      </c>
      <c r="B248" s="76" t="s">
        <v>395</v>
      </c>
      <c r="C248" s="93"/>
      <c r="D248" s="88"/>
      <c r="E248" s="94">
        <f t="shared" ref="E248:E257" ca="1" si="457">OFFSET($E$7,$A248-$A$7,1,1,1)/OFFSET($E$7,$A248-$A$7,5,1,1)-1</f>
        <v>0.1964071856287426</v>
      </c>
      <c r="F248" s="330">
        <v>999</v>
      </c>
      <c r="G248" s="330">
        <v>447</v>
      </c>
      <c r="H248" s="330">
        <v>1777</v>
      </c>
      <c r="I248" s="330">
        <v>1321</v>
      </c>
      <c r="J248" s="330">
        <v>835</v>
      </c>
      <c r="K248" s="330">
        <v>394</v>
      </c>
      <c r="L248" s="79">
        <v>1824</v>
      </c>
      <c r="M248" s="79">
        <v>1417</v>
      </c>
      <c r="N248" s="79">
        <v>936</v>
      </c>
      <c r="O248" s="79">
        <v>454</v>
      </c>
      <c r="P248" s="79">
        <v>1861</v>
      </c>
      <c r="Q248" s="79">
        <v>1381</v>
      </c>
      <c r="R248" s="79">
        <v>881</v>
      </c>
      <c r="S248" s="79">
        <v>419</v>
      </c>
      <c r="T248" s="404"/>
      <c r="U248" s="404"/>
      <c r="V248" s="404"/>
      <c r="W248" s="404"/>
      <c r="X248" s="79">
        <v>1476</v>
      </c>
      <c r="Y248" s="79">
        <v>1114</v>
      </c>
      <c r="Z248" s="79">
        <v>726</v>
      </c>
      <c r="AA248" s="79">
        <v>353</v>
      </c>
      <c r="AB248" s="79">
        <v>1214</v>
      </c>
      <c r="AC248" s="79">
        <v>871.43299999999999</v>
      </c>
      <c r="AD248" s="79">
        <v>548.09799999999996</v>
      </c>
      <c r="AE248" s="79">
        <v>310.59399999999999</v>
      </c>
      <c r="AF248" s="79">
        <v>1046.886</v>
      </c>
      <c r="AG248" s="79">
        <v>756.524</v>
      </c>
      <c r="AH248" s="79">
        <v>485.22</v>
      </c>
      <c r="AI248" s="79">
        <v>235.02</v>
      </c>
      <c r="AJ248" s="79">
        <v>966.82299999999998</v>
      </c>
      <c r="AK248" s="79">
        <v>707.57500000000005</v>
      </c>
      <c r="AL248" s="79">
        <v>449.44299999999998</v>
      </c>
      <c r="AM248" s="79">
        <v>207.37</v>
      </c>
      <c r="AN248" s="79">
        <v>784.61800000000005</v>
      </c>
      <c r="AO248" s="79">
        <v>561.024</v>
      </c>
      <c r="AP248" s="79">
        <v>355.55599999999998</v>
      </c>
      <c r="AQ248" s="79">
        <v>166.166</v>
      </c>
      <c r="AR248" s="79">
        <v>600.13400000000001</v>
      </c>
      <c r="AS248" s="79">
        <v>426.72</v>
      </c>
      <c r="AT248" s="79">
        <v>262.37400000000002</v>
      </c>
      <c r="AU248" s="79">
        <v>123.489</v>
      </c>
      <c r="AV248" s="79">
        <v>449.24700000000001</v>
      </c>
      <c r="AW248" s="79">
        <v>335.22399999999999</v>
      </c>
      <c r="AX248" s="79">
        <v>211.976</v>
      </c>
      <c r="AY248" s="79">
        <v>111.2</v>
      </c>
      <c r="AZ248" s="79">
        <v>403.07</v>
      </c>
      <c r="BA248" s="79">
        <v>275.89699999999999</v>
      </c>
      <c r="BB248" s="79">
        <v>179.00899999999999</v>
      </c>
      <c r="BC248" s="79">
        <v>83.668000000000006</v>
      </c>
      <c r="BD248" s="79">
        <v>267.85500000000002</v>
      </c>
      <c r="BE248" s="79">
        <v>197.90100000000001</v>
      </c>
      <c r="BF248" s="79">
        <v>106.758</v>
      </c>
      <c r="BG248" s="79">
        <v>50.573</v>
      </c>
      <c r="BH248" s="56">
        <v>181.68899999999999</v>
      </c>
      <c r="BI248" s="56">
        <v>129.893</v>
      </c>
      <c r="BJ248" s="56">
        <v>86.54</v>
      </c>
      <c r="BK248" s="56">
        <v>41.122999999999998</v>
      </c>
      <c r="BL248" s="56">
        <v>165.31800000000001</v>
      </c>
      <c r="BM248" s="56">
        <v>113.49299999999999</v>
      </c>
      <c r="BN248" s="56">
        <v>68.850999999999999</v>
      </c>
      <c r="BO248" s="56">
        <v>29.166</v>
      </c>
      <c r="BP248" s="56">
        <v>94.459000000000003</v>
      </c>
      <c r="BQ248" s="56">
        <v>64.665999999999997</v>
      </c>
      <c r="BR248" s="56">
        <v>40.445999999999998</v>
      </c>
      <c r="BS248" s="56">
        <v>19.613</v>
      </c>
    </row>
    <row r="249" spans="1:71" x14ac:dyDescent="0.25">
      <c r="A249" s="74">
        <v>249</v>
      </c>
      <c r="B249" s="76" t="s">
        <v>401</v>
      </c>
      <c r="C249" s="93"/>
      <c r="D249" s="88"/>
      <c r="E249" s="94">
        <f t="shared" ca="1" si="457"/>
        <v>-9.1205211726384405E-2</v>
      </c>
      <c r="F249" s="330">
        <v>279</v>
      </c>
      <c r="G249" s="330">
        <v>130</v>
      </c>
      <c r="H249" s="330">
        <v>607</v>
      </c>
      <c r="I249" s="330">
        <v>473</v>
      </c>
      <c r="J249" s="330">
        <v>307</v>
      </c>
      <c r="K249" s="330">
        <v>145</v>
      </c>
      <c r="L249" s="79">
        <v>285</v>
      </c>
      <c r="M249" s="79">
        <v>242</v>
      </c>
      <c r="N249" s="79">
        <v>175</v>
      </c>
      <c r="O249" s="79">
        <v>111</v>
      </c>
      <c r="P249" s="79">
        <v>390</v>
      </c>
      <c r="Q249" s="79">
        <v>260</v>
      </c>
      <c r="R249" s="79">
        <v>166</v>
      </c>
      <c r="S249" s="79">
        <v>72</v>
      </c>
      <c r="T249" s="404"/>
      <c r="U249" s="404"/>
      <c r="V249" s="404"/>
      <c r="W249" s="404"/>
      <c r="X249" s="79">
        <v>301</v>
      </c>
      <c r="Y249" s="79">
        <v>267</v>
      </c>
      <c r="Z249" s="79">
        <v>159</v>
      </c>
      <c r="AA249" s="79">
        <f>214-145</f>
        <v>69</v>
      </c>
      <c r="AB249" s="79">
        <v>177</v>
      </c>
      <c r="AC249" s="79">
        <f>411.67-294.781</f>
        <v>116.88900000000001</v>
      </c>
      <c r="AD249" s="79">
        <f>268.125-194.96</f>
        <v>73.164999999999992</v>
      </c>
      <c r="AE249" s="79">
        <f>144.733-116.58</f>
        <v>28.153000000000006</v>
      </c>
      <c r="AF249" s="79">
        <v>546.91300000000001</v>
      </c>
      <c r="AG249" s="79">
        <v>391.27699999999999</v>
      </c>
      <c r="AH249" s="79">
        <v>275.11099999999999</v>
      </c>
      <c r="AI249" s="79">
        <v>156.33099999999999</v>
      </c>
      <c r="AJ249" s="79">
        <v>610.12199999999996</v>
      </c>
      <c r="AK249" s="79">
        <v>457.5915</v>
      </c>
      <c r="AL249" s="79">
        <v>305.06099999999998</v>
      </c>
      <c r="AM249" s="79">
        <v>152.53049999999999</v>
      </c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E249" s="79"/>
      <c r="BF249" s="79"/>
      <c r="BG249" s="79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  <c r="BR249" s="56"/>
      <c r="BS249" s="56"/>
    </row>
    <row r="250" spans="1:71" x14ac:dyDescent="0.25">
      <c r="A250" s="74">
        <v>250</v>
      </c>
      <c r="B250" s="76" t="s">
        <v>206</v>
      </c>
      <c r="C250" s="93"/>
      <c r="D250" s="88"/>
      <c r="E250" s="94">
        <f t="shared" ca="1" si="457"/>
        <v>1.3571428571428572</v>
      </c>
      <c r="F250" s="330">
        <v>165</v>
      </c>
      <c r="G250" s="330">
        <v>71</v>
      </c>
      <c r="H250" s="330">
        <v>151</v>
      </c>
      <c r="I250" s="79">
        <v>108</v>
      </c>
      <c r="J250" s="79">
        <v>70</v>
      </c>
      <c r="K250" s="79">
        <v>31</v>
      </c>
      <c r="L250" s="79">
        <v>163</v>
      </c>
      <c r="M250" s="79">
        <v>123</v>
      </c>
      <c r="N250" s="79">
        <v>85</v>
      </c>
      <c r="O250" s="79">
        <v>35</v>
      </c>
      <c r="P250" s="79">
        <v>181</v>
      </c>
      <c r="Q250" s="79">
        <v>145</v>
      </c>
      <c r="R250" s="79">
        <v>113</v>
      </c>
      <c r="S250" s="79">
        <v>71</v>
      </c>
      <c r="T250" s="404"/>
      <c r="U250" s="404"/>
      <c r="V250" s="404"/>
      <c r="W250" s="404"/>
      <c r="X250" s="79">
        <v>198</v>
      </c>
      <c r="Y250" s="79">
        <v>140</v>
      </c>
      <c r="Z250" s="79">
        <v>87</v>
      </c>
      <c r="AA250" s="79">
        <v>36</v>
      </c>
      <c r="AB250" s="79">
        <v>181</v>
      </c>
      <c r="AC250" s="79">
        <v>126.495</v>
      </c>
      <c r="AD250" s="79">
        <v>77.873000000000005</v>
      </c>
      <c r="AE250" s="79">
        <v>35.921999999999997</v>
      </c>
      <c r="AF250" s="79">
        <v>179.417</v>
      </c>
      <c r="AG250" s="79">
        <v>128.05099999999999</v>
      </c>
      <c r="AH250" s="79">
        <v>85.54</v>
      </c>
      <c r="AI250" s="79">
        <v>41.243000000000002</v>
      </c>
      <c r="AJ250" s="79">
        <v>164.65199999999999</v>
      </c>
      <c r="AK250" s="79">
        <v>114.444</v>
      </c>
      <c r="AL250" s="79">
        <v>68.884</v>
      </c>
      <c r="AM250" s="79">
        <v>27.341000000000001</v>
      </c>
      <c r="AN250" s="79">
        <v>157.142</v>
      </c>
      <c r="AO250" s="79">
        <v>113.83</v>
      </c>
      <c r="AP250" s="79">
        <v>71.191000000000003</v>
      </c>
      <c r="AQ250" s="79">
        <v>30.768999999999998</v>
      </c>
      <c r="AR250" s="79">
        <v>164.858</v>
      </c>
      <c r="AS250" s="79">
        <v>109.233</v>
      </c>
      <c r="AT250" s="79">
        <v>67.415000000000006</v>
      </c>
      <c r="AU250" s="79">
        <v>28.64</v>
      </c>
      <c r="AV250" s="79">
        <v>136.47</v>
      </c>
      <c r="AW250" s="79">
        <v>92.828999999999994</v>
      </c>
      <c r="AX250" s="79">
        <v>51.15</v>
      </c>
      <c r="AY250" s="79">
        <v>25.332999999999998</v>
      </c>
      <c r="AZ250" s="79">
        <v>112.29300000000001</v>
      </c>
      <c r="BA250" s="79">
        <v>78.183000000000007</v>
      </c>
      <c r="BB250" s="79">
        <v>49.841999999999999</v>
      </c>
      <c r="BC250" s="79">
        <v>20.593</v>
      </c>
      <c r="BD250" s="79">
        <v>74.77</v>
      </c>
      <c r="BE250" s="79">
        <v>49.04</v>
      </c>
      <c r="BF250" s="79">
        <v>29.623000000000001</v>
      </c>
      <c r="BG250" s="79">
        <v>11.67</v>
      </c>
      <c r="BH250" s="56">
        <v>76.177999999999997</v>
      </c>
      <c r="BI250" s="56">
        <v>54.402999999999999</v>
      </c>
      <c r="BJ250" s="56">
        <v>33.408999999999999</v>
      </c>
      <c r="BK250" s="56">
        <v>17.693000000000001</v>
      </c>
      <c r="BL250" s="56">
        <v>80.158000000000001</v>
      </c>
      <c r="BM250" s="56">
        <v>50.89</v>
      </c>
      <c r="BN250" s="56">
        <v>33.273000000000003</v>
      </c>
      <c r="BO250" s="56">
        <v>17.654</v>
      </c>
      <c r="BP250" s="56">
        <v>56.612000000000002</v>
      </c>
      <c r="BQ250" s="56">
        <v>36.622999999999998</v>
      </c>
      <c r="BR250" s="56">
        <v>22.811</v>
      </c>
      <c r="BS250" s="56">
        <v>10.590999999999999</v>
      </c>
    </row>
    <row r="251" spans="1:71" x14ac:dyDescent="0.25">
      <c r="A251" s="74">
        <v>251</v>
      </c>
      <c r="B251" s="62" t="s">
        <v>211</v>
      </c>
      <c r="C251" s="93"/>
      <c r="D251" s="88"/>
      <c r="E251" s="94">
        <f t="shared" ca="1" si="457"/>
        <v>-0.17341040462427748</v>
      </c>
      <c r="F251" s="330">
        <v>143</v>
      </c>
      <c r="G251" s="330">
        <v>79</v>
      </c>
      <c r="H251" s="330">
        <v>388</v>
      </c>
      <c r="I251" s="79">
        <v>293</v>
      </c>
      <c r="J251" s="79">
        <v>173</v>
      </c>
      <c r="K251" s="79">
        <v>73</v>
      </c>
      <c r="L251" s="79">
        <v>349</v>
      </c>
      <c r="M251" s="79">
        <v>223</v>
      </c>
      <c r="N251" s="79">
        <v>138</v>
      </c>
      <c r="O251" s="79">
        <v>52</v>
      </c>
      <c r="P251" s="79">
        <v>214</v>
      </c>
      <c r="Q251" s="79">
        <v>125</v>
      </c>
      <c r="R251" s="79">
        <v>67</v>
      </c>
      <c r="S251" s="79">
        <v>28</v>
      </c>
      <c r="T251" s="404"/>
      <c r="U251" s="404"/>
      <c r="V251" s="404"/>
      <c r="W251" s="404"/>
      <c r="X251" s="79">
        <v>267</v>
      </c>
      <c r="Y251" s="79">
        <v>177</v>
      </c>
      <c r="Z251" s="79">
        <v>118</v>
      </c>
      <c r="AA251" s="79">
        <v>51</v>
      </c>
      <c r="AB251" s="79">
        <v>206</v>
      </c>
      <c r="AC251" s="79">
        <f>53.638+92.762</f>
        <v>146.4</v>
      </c>
      <c r="AD251" s="79">
        <v>88.111999999999995</v>
      </c>
      <c r="AE251" s="79">
        <f>14.787+27.456</f>
        <v>42.243000000000002</v>
      </c>
      <c r="AF251" s="79">
        <v>215.71299999999999</v>
      </c>
      <c r="AG251" s="79">
        <v>152.41</v>
      </c>
      <c r="AH251" s="79">
        <v>105.182</v>
      </c>
      <c r="AI251" s="79">
        <v>55.658999999999999</v>
      </c>
      <c r="AJ251" s="79">
        <v>198.35</v>
      </c>
      <c r="AK251" s="79">
        <v>137.78800000000001</v>
      </c>
      <c r="AL251" s="79">
        <v>91.183999999999997</v>
      </c>
      <c r="AM251" s="79">
        <v>34.182000000000002</v>
      </c>
      <c r="AN251" s="79">
        <v>229.643</v>
      </c>
      <c r="AO251" s="79">
        <v>178.417</v>
      </c>
      <c r="AP251" s="79">
        <v>122.626</v>
      </c>
      <c r="AQ251" s="79">
        <v>59.273000000000003</v>
      </c>
      <c r="AR251" s="79">
        <v>195.02799999999999</v>
      </c>
      <c r="AS251" s="79">
        <v>119.904</v>
      </c>
      <c r="AT251" s="79">
        <v>67.644999999999996</v>
      </c>
      <c r="AU251" s="79">
        <v>28.283000000000001</v>
      </c>
      <c r="AV251" s="79">
        <v>54.097000000000001</v>
      </c>
      <c r="AW251" s="79">
        <v>41.936</v>
      </c>
      <c r="AX251" s="79">
        <v>24.92</v>
      </c>
      <c r="AY251" s="79">
        <v>12.413</v>
      </c>
      <c r="AZ251" s="79">
        <v>44.771000000000001</v>
      </c>
      <c r="BA251" s="79">
        <v>31.673999999999999</v>
      </c>
      <c r="BB251" s="79">
        <v>20.895</v>
      </c>
      <c r="BC251" s="79">
        <v>9.2430000000000003</v>
      </c>
      <c r="BD251" s="79">
        <v>34.378999999999998</v>
      </c>
      <c r="BE251" s="79">
        <v>23.050999999999998</v>
      </c>
      <c r="BF251" s="79">
        <v>13.651999999999999</v>
      </c>
      <c r="BG251" s="79">
        <v>2.452</v>
      </c>
      <c r="BH251" s="56">
        <v>33.463000000000001</v>
      </c>
      <c r="BI251" s="56">
        <v>23.058</v>
      </c>
      <c r="BJ251" s="56">
        <v>14.439</v>
      </c>
      <c r="BK251" s="56">
        <v>4.8460000000000001</v>
      </c>
      <c r="BL251" s="56">
        <v>22.309000000000001</v>
      </c>
      <c r="BM251" s="56">
        <v>13.183</v>
      </c>
      <c r="BN251" s="56">
        <v>8.4149999999999991</v>
      </c>
      <c r="BO251" s="56">
        <v>3.194</v>
      </c>
      <c r="BP251" s="56">
        <v>20.594999999999999</v>
      </c>
      <c r="BQ251" s="56">
        <v>14.285</v>
      </c>
      <c r="BR251" s="56">
        <v>9.8770000000000007</v>
      </c>
      <c r="BS251" s="56">
        <v>3.762</v>
      </c>
    </row>
    <row r="252" spans="1:71" x14ac:dyDescent="0.25">
      <c r="A252" s="74">
        <v>252</v>
      </c>
      <c r="B252" s="76" t="s">
        <v>212</v>
      </c>
      <c r="C252" s="93"/>
      <c r="D252" s="88"/>
      <c r="E252" s="94">
        <f t="shared" ca="1" si="457"/>
        <v>0.5</v>
      </c>
      <c r="F252" s="330">
        <v>24</v>
      </c>
      <c r="G252" s="330">
        <v>11</v>
      </c>
      <c r="H252" s="330">
        <v>37</v>
      </c>
      <c r="I252" s="79">
        <v>24</v>
      </c>
      <c r="J252" s="79">
        <v>16</v>
      </c>
      <c r="K252" s="79">
        <v>7</v>
      </c>
      <c r="L252" s="79">
        <v>54</v>
      </c>
      <c r="M252" s="79">
        <v>46</v>
      </c>
      <c r="N252" s="79">
        <v>34</v>
      </c>
      <c r="O252" s="79">
        <v>19</v>
      </c>
      <c r="P252" s="79">
        <v>63</v>
      </c>
      <c r="Q252" s="79">
        <v>46</v>
      </c>
      <c r="R252" s="79">
        <v>31</v>
      </c>
      <c r="S252" s="79">
        <v>17</v>
      </c>
      <c r="T252" s="404"/>
      <c r="U252" s="404"/>
      <c r="V252" s="404"/>
      <c r="W252" s="404"/>
      <c r="X252" s="79">
        <v>83</v>
      </c>
      <c r="Y252" s="79">
        <v>68</v>
      </c>
      <c r="Z252" s="79">
        <v>55</v>
      </c>
      <c r="AA252" s="79">
        <v>30</v>
      </c>
      <c r="AB252" s="79">
        <v>146</v>
      </c>
      <c r="AC252" s="79">
        <v>117.762</v>
      </c>
      <c r="AD252" s="79">
        <v>78.686999999999998</v>
      </c>
      <c r="AE252" s="79">
        <v>40.738999999999997</v>
      </c>
      <c r="AF252" s="79">
        <v>123.69499999999999</v>
      </c>
      <c r="AG252" s="79">
        <v>96.245000000000005</v>
      </c>
      <c r="AH252" s="79">
        <v>64.406999999999996</v>
      </c>
      <c r="AI252" s="79">
        <v>30.055</v>
      </c>
      <c r="AJ252" s="79">
        <v>90.504999999999995</v>
      </c>
      <c r="AK252" s="79">
        <v>66.465000000000003</v>
      </c>
      <c r="AL252" s="79">
        <v>45.143999999999998</v>
      </c>
      <c r="AM252" s="79">
        <v>19.202999999999999</v>
      </c>
      <c r="AN252" s="79">
        <v>143.92400000000001</v>
      </c>
      <c r="AO252" s="79">
        <v>120.092</v>
      </c>
      <c r="AP252" s="79">
        <v>88.570999999999998</v>
      </c>
      <c r="AQ252" s="79">
        <v>44.459000000000003</v>
      </c>
      <c r="AR252" s="79">
        <v>100.578</v>
      </c>
      <c r="AS252" s="79">
        <v>65.161000000000001</v>
      </c>
      <c r="AT252" s="79">
        <v>41.095999999999997</v>
      </c>
      <c r="AU252" s="79">
        <v>17.442</v>
      </c>
      <c r="AV252" s="79">
        <v>24.23</v>
      </c>
      <c r="AW252" s="79">
        <v>17.161000000000001</v>
      </c>
      <c r="AX252" s="79">
        <v>10.772</v>
      </c>
      <c r="AY252" s="79">
        <v>5.5110000000000001</v>
      </c>
      <c r="AZ252" s="79">
        <v>16.420999999999999</v>
      </c>
      <c r="BA252" s="79">
        <v>9.8420000000000005</v>
      </c>
      <c r="BB252" s="79">
        <v>6.66</v>
      </c>
      <c r="BC252" s="79">
        <v>0.26400000000000001</v>
      </c>
      <c r="BD252" s="79">
        <v>9.4789999999999992</v>
      </c>
      <c r="BE252" s="79">
        <v>6.4589999999999996</v>
      </c>
      <c r="BF252" s="79">
        <v>4.444</v>
      </c>
      <c r="BG252" s="79">
        <v>1.835</v>
      </c>
      <c r="BH252" s="56">
        <v>10.694000000000001</v>
      </c>
      <c r="BI252" s="56">
        <v>6.6479999999999997</v>
      </c>
      <c r="BJ252" s="56">
        <v>3.4420000000000002</v>
      </c>
      <c r="BK252" s="56">
        <v>1.248</v>
      </c>
      <c r="BL252" s="56">
        <v>9.8729999999999993</v>
      </c>
      <c r="BM252" s="56">
        <v>5.069</v>
      </c>
      <c r="BN252" s="56">
        <v>5.069</v>
      </c>
      <c r="BO252" s="56">
        <v>1.635</v>
      </c>
      <c r="BP252" s="56">
        <v>6.548</v>
      </c>
      <c r="BQ252" s="56">
        <v>6.548</v>
      </c>
      <c r="BR252" s="56">
        <v>4.6959999999999997</v>
      </c>
      <c r="BS252" s="56">
        <v>2.1779999999999999</v>
      </c>
    </row>
    <row r="253" spans="1:71" x14ac:dyDescent="0.25">
      <c r="A253" s="74">
        <v>253</v>
      </c>
      <c r="B253" s="62" t="s">
        <v>213</v>
      </c>
      <c r="C253" s="93"/>
      <c r="D253" s="88"/>
      <c r="E253" s="94"/>
      <c r="F253" s="330">
        <v>0</v>
      </c>
      <c r="G253" s="330">
        <v>0</v>
      </c>
      <c r="H253" s="330">
        <v>0</v>
      </c>
      <c r="I253" s="79">
        <v>0</v>
      </c>
      <c r="J253" s="79">
        <v>0</v>
      </c>
      <c r="K253" s="79">
        <v>0</v>
      </c>
      <c r="L253" s="79">
        <v>0</v>
      </c>
      <c r="M253" s="79">
        <v>0</v>
      </c>
      <c r="N253" s="79">
        <v>0</v>
      </c>
      <c r="O253" s="79">
        <v>0</v>
      </c>
      <c r="P253" s="79">
        <v>2</v>
      </c>
      <c r="Q253" s="79">
        <v>1</v>
      </c>
      <c r="R253" s="79">
        <v>0</v>
      </c>
      <c r="S253" s="79">
        <v>0</v>
      </c>
      <c r="T253" s="404"/>
      <c r="U253" s="404"/>
      <c r="V253" s="404"/>
      <c r="W253" s="404"/>
      <c r="X253" s="79">
        <v>15</v>
      </c>
      <c r="Y253" s="79">
        <v>12</v>
      </c>
      <c r="Z253" s="79">
        <v>9</v>
      </c>
      <c r="AA253" s="79">
        <v>8</v>
      </c>
      <c r="AB253" s="79">
        <v>20</v>
      </c>
      <c r="AC253" s="79">
        <v>16.027000000000001</v>
      </c>
      <c r="AD253" s="79">
        <v>13.097</v>
      </c>
      <c r="AE253" s="79">
        <v>7.9530000000000003</v>
      </c>
      <c r="AF253" s="79">
        <v>8.4879999999999995</v>
      </c>
      <c r="AG253" s="79">
        <v>5.5590000000000002</v>
      </c>
      <c r="AH253" s="79">
        <v>3.3519999999999999</v>
      </c>
      <c r="AI253" s="79">
        <v>1.722</v>
      </c>
      <c r="AJ253" s="79">
        <v>10.35</v>
      </c>
      <c r="AK253" s="79">
        <v>6.5609999999999999</v>
      </c>
      <c r="AL253" s="79">
        <v>4.625</v>
      </c>
      <c r="AM253" s="79">
        <v>2.2149999999999999</v>
      </c>
      <c r="AN253" s="79">
        <v>8.9550000000000001</v>
      </c>
      <c r="AO253" s="79">
        <v>7.4080000000000004</v>
      </c>
      <c r="AP253" s="79">
        <v>4.0069999999999997</v>
      </c>
      <c r="AQ253" s="79">
        <v>2.2869999999999999</v>
      </c>
      <c r="AR253" s="79">
        <v>7.7919999999999998</v>
      </c>
      <c r="AS253" s="79">
        <v>6.0529999999999999</v>
      </c>
      <c r="AT253" s="79">
        <v>3.492</v>
      </c>
      <c r="AU253" s="79">
        <v>1.3480000000000001</v>
      </c>
      <c r="AV253" s="79">
        <v>8.3040000000000003</v>
      </c>
      <c r="AW253" s="79">
        <v>6.4489999999999998</v>
      </c>
      <c r="AX253" s="79">
        <v>5.3360000000000003</v>
      </c>
      <c r="AY253" s="79">
        <v>2.6520000000000001</v>
      </c>
      <c r="AZ253" s="79">
        <v>36.164999999999999</v>
      </c>
      <c r="BA253" s="79">
        <v>12.989000000000001</v>
      </c>
      <c r="BB253" s="79">
        <v>8.7750000000000004</v>
      </c>
      <c r="BC253" s="79">
        <v>7.1779999999999999</v>
      </c>
      <c r="BD253" s="79">
        <v>8.1280000000000001</v>
      </c>
      <c r="BE253" s="79">
        <v>5.8479999999999999</v>
      </c>
      <c r="BF253" s="79">
        <v>3.4710000000000001</v>
      </c>
      <c r="BG253" s="79">
        <v>1.4359999999999999</v>
      </c>
      <c r="BH253" s="56">
        <v>7.5780000000000003</v>
      </c>
      <c r="BI253" s="56">
        <v>4.7439999999999998</v>
      </c>
      <c r="BJ253" s="56">
        <v>2.298</v>
      </c>
      <c r="BK253" s="56">
        <v>0.90300000000000002</v>
      </c>
      <c r="BL253" s="56">
        <v>4.2290000000000001</v>
      </c>
      <c r="BM253" s="56">
        <v>2.6960000000000002</v>
      </c>
      <c r="BN253" s="56">
        <v>1.621</v>
      </c>
      <c r="BO253" s="56">
        <v>0.65900000000000003</v>
      </c>
      <c r="BP253" s="56">
        <v>4.9139999999999997</v>
      </c>
      <c r="BQ253" s="56">
        <v>3.423</v>
      </c>
      <c r="BR253" s="56">
        <v>2.6230000000000002</v>
      </c>
      <c r="BS253" s="56">
        <v>1.361</v>
      </c>
    </row>
    <row r="254" spans="1:71" x14ac:dyDescent="0.25">
      <c r="A254" s="74">
        <v>254</v>
      </c>
      <c r="B254" s="76" t="s">
        <v>207</v>
      </c>
      <c r="C254" s="93"/>
      <c r="D254" s="88"/>
      <c r="E254" s="94">
        <f t="shared" ca="1" si="457"/>
        <v>0.12000000000000011</v>
      </c>
      <c r="F254" s="330">
        <v>28</v>
      </c>
      <c r="G254" s="330">
        <v>14</v>
      </c>
      <c r="H254" s="330">
        <v>54</v>
      </c>
      <c r="I254" s="79">
        <v>40</v>
      </c>
      <c r="J254" s="79">
        <v>25</v>
      </c>
      <c r="K254" s="79">
        <v>12</v>
      </c>
      <c r="L254" s="79">
        <v>103</v>
      </c>
      <c r="M254" s="79">
        <v>91</v>
      </c>
      <c r="N254" s="79">
        <v>81</v>
      </c>
      <c r="O254" s="79">
        <v>11</v>
      </c>
      <c r="P254" s="79">
        <v>33</v>
      </c>
      <c r="Q254" s="79">
        <v>22</v>
      </c>
      <c r="R254" s="79">
        <v>11</v>
      </c>
      <c r="S254" s="79">
        <v>6</v>
      </c>
      <c r="T254" s="404"/>
      <c r="U254" s="404"/>
      <c r="V254" s="404"/>
      <c r="W254" s="404"/>
      <c r="X254" s="79">
        <v>28</v>
      </c>
      <c r="Y254" s="79">
        <v>22</v>
      </c>
      <c r="Z254" s="79">
        <v>17</v>
      </c>
      <c r="AA254" s="79">
        <v>11</v>
      </c>
      <c r="AB254" s="79">
        <v>23</v>
      </c>
      <c r="AC254" s="79">
        <v>16.120999999999999</v>
      </c>
      <c r="AD254" s="79">
        <v>10.539</v>
      </c>
      <c r="AE254" s="79">
        <v>7.1509999999999998</v>
      </c>
      <c r="AF254" s="79">
        <v>10.615</v>
      </c>
      <c r="AG254" s="79">
        <v>10.394</v>
      </c>
      <c r="AH254" s="79">
        <v>6.4109999999999996</v>
      </c>
      <c r="AI254" s="79">
        <v>5.367</v>
      </c>
      <c r="AJ254" s="79">
        <v>15.016999999999999</v>
      </c>
      <c r="AK254" s="79">
        <v>14.611000000000001</v>
      </c>
      <c r="AL254" s="79">
        <v>8.15</v>
      </c>
      <c r="AM254" s="79">
        <v>7.0910000000000002</v>
      </c>
      <c r="AN254" s="79">
        <v>26.196999999999999</v>
      </c>
      <c r="AO254" s="79">
        <v>23.375</v>
      </c>
      <c r="AP254" s="79">
        <v>13.292999999999999</v>
      </c>
      <c r="AQ254" s="79">
        <v>9.9209999999999994</v>
      </c>
      <c r="AR254" s="79">
        <v>28.873999999999999</v>
      </c>
      <c r="AS254" s="79">
        <v>27.266999999999999</v>
      </c>
      <c r="AT254" s="79">
        <v>16.181000000000001</v>
      </c>
      <c r="AU254" s="79">
        <v>14.289</v>
      </c>
      <c r="AV254" s="79">
        <v>37.018000000000001</v>
      </c>
      <c r="AW254" s="79">
        <v>34.567</v>
      </c>
      <c r="AX254" s="79">
        <v>19.603999999999999</v>
      </c>
      <c r="AY254" s="79">
        <v>17.007999999999999</v>
      </c>
      <c r="AZ254" s="79">
        <v>56.802999999999997</v>
      </c>
      <c r="BA254" s="79">
        <v>32.823999999999998</v>
      </c>
      <c r="BB254" s="79">
        <v>19.172000000000001</v>
      </c>
      <c r="BC254" s="79">
        <v>9.1349999999999998</v>
      </c>
      <c r="BD254" s="79">
        <v>72.353999999999999</v>
      </c>
      <c r="BE254" s="79">
        <v>56.963000000000001</v>
      </c>
      <c r="BF254" s="79">
        <v>33.518999999999998</v>
      </c>
      <c r="BG254" s="79">
        <v>10.976000000000001</v>
      </c>
      <c r="BH254" s="56">
        <v>73.087999999999994</v>
      </c>
      <c r="BI254" s="56">
        <v>54.816000000000003</v>
      </c>
      <c r="BJ254" s="56">
        <v>40.098999999999997</v>
      </c>
      <c r="BK254" s="56">
        <v>8.9329999999999998</v>
      </c>
      <c r="BL254" s="56">
        <v>81.081999999999994</v>
      </c>
      <c r="BM254" s="56">
        <v>43.378</v>
      </c>
      <c r="BN254" s="56">
        <v>37.414000000000001</v>
      </c>
      <c r="BO254" s="56">
        <v>6.657</v>
      </c>
      <c r="BP254" s="56">
        <v>85.350999999999999</v>
      </c>
      <c r="BQ254" s="56">
        <v>50.543999999999997</v>
      </c>
      <c r="BR254" s="56">
        <v>44.027000000000001</v>
      </c>
      <c r="BS254" s="56">
        <v>9.61</v>
      </c>
    </row>
    <row r="255" spans="1:71" x14ac:dyDescent="0.25">
      <c r="A255" s="74">
        <v>255</v>
      </c>
      <c r="B255" s="62" t="s">
        <v>60</v>
      </c>
      <c r="C255" s="93"/>
      <c r="D255" s="88"/>
      <c r="E255" s="94">
        <f t="shared" ca="1" si="457"/>
        <v>0.85714285714285721</v>
      </c>
      <c r="F255" s="330">
        <v>39</v>
      </c>
      <c r="G255" s="330">
        <v>23</v>
      </c>
      <c r="H255" s="330">
        <v>39</v>
      </c>
      <c r="I255" s="79">
        <v>30</v>
      </c>
      <c r="J255" s="79">
        <v>21</v>
      </c>
      <c r="K255" s="79">
        <v>11</v>
      </c>
      <c r="L255" s="79">
        <v>28</v>
      </c>
      <c r="M255" s="79">
        <v>20</v>
      </c>
      <c r="N255" s="79">
        <v>12</v>
      </c>
      <c r="O255" s="79">
        <v>6</v>
      </c>
      <c r="P255" s="79">
        <v>54</v>
      </c>
      <c r="Q255" s="79">
        <v>30</v>
      </c>
      <c r="R255" s="79">
        <v>23</v>
      </c>
      <c r="S255" s="79">
        <v>14</v>
      </c>
      <c r="T255" s="404"/>
      <c r="U255" s="404"/>
      <c r="V255" s="404"/>
      <c r="W255" s="404"/>
      <c r="X255" s="79">
        <v>55</v>
      </c>
      <c r="Y255" s="79">
        <v>28</v>
      </c>
      <c r="Z255" s="79">
        <v>13</v>
      </c>
      <c r="AA255" s="79">
        <v>3</v>
      </c>
      <c r="AB255" s="79">
        <v>20</v>
      </c>
      <c r="AC255" s="79">
        <v>11.628</v>
      </c>
      <c r="AD255" s="79">
        <v>8.4390000000000782</v>
      </c>
      <c r="AE255" s="79">
        <v>4.5880000000000001</v>
      </c>
      <c r="AF255" s="79">
        <v>27.234000000000002</v>
      </c>
      <c r="AG255" s="79">
        <v>23.411999999999999</v>
      </c>
      <c r="AH255" s="79">
        <v>14.507999999999999</v>
      </c>
      <c r="AI255" s="79">
        <v>6.6870000000000003</v>
      </c>
      <c r="AJ255" s="79">
        <v>26.736000000000001</v>
      </c>
      <c r="AK255" s="79">
        <v>18.760999999999999</v>
      </c>
      <c r="AL255" s="79">
        <v>13.742000000000001</v>
      </c>
      <c r="AM255" s="79">
        <v>7.0350000000000001</v>
      </c>
      <c r="AN255" s="79">
        <v>45.527000000000001</v>
      </c>
      <c r="AO255" s="79">
        <v>25.710999999999999</v>
      </c>
      <c r="AP255" s="79">
        <v>16.254000000000001</v>
      </c>
      <c r="AQ255" s="79">
        <v>9.2469999999999999</v>
      </c>
      <c r="AR255" s="79">
        <v>33.673999999999999</v>
      </c>
      <c r="AS255" s="79">
        <v>23.149000000000001</v>
      </c>
      <c r="AT255" s="79">
        <v>14.645</v>
      </c>
      <c r="AU255" s="79">
        <v>4.3419999999999996</v>
      </c>
      <c r="AV255" s="79">
        <v>20.661999999999999</v>
      </c>
      <c r="AW255" s="79">
        <v>7.9459999999999997</v>
      </c>
      <c r="AX255" s="79">
        <v>3.91</v>
      </c>
      <c r="AY255" s="79">
        <v>1.3980000000000001</v>
      </c>
      <c r="AZ255" s="79">
        <v>30.422000000000001</v>
      </c>
      <c r="BA255" s="79">
        <v>18.358999999999998</v>
      </c>
      <c r="BB255" s="79">
        <v>11.182</v>
      </c>
      <c r="BC255" s="79">
        <v>9.0060000000000002</v>
      </c>
      <c r="BD255" s="79">
        <v>27.623000000000001</v>
      </c>
      <c r="BE255" s="79">
        <v>22.178000000000001</v>
      </c>
      <c r="BF255" s="79">
        <v>15.885999999999999</v>
      </c>
      <c r="BG255" s="79">
        <v>10.079000000000001</v>
      </c>
      <c r="BH255" s="56">
        <v>21.385000000000002</v>
      </c>
      <c r="BI255" s="56">
        <v>12.971</v>
      </c>
      <c r="BJ255" s="56">
        <v>9.6989999999999998</v>
      </c>
      <c r="BK255" s="56">
        <v>2.4809999999999999</v>
      </c>
      <c r="BL255" s="56">
        <v>17.419</v>
      </c>
      <c r="BM255" s="56">
        <v>12.468</v>
      </c>
      <c r="BN255" s="56">
        <v>5.0190000000000001</v>
      </c>
      <c r="BO255" s="56">
        <v>0.57899999999999996</v>
      </c>
      <c r="BP255" s="56">
        <v>23.581</v>
      </c>
      <c r="BQ255" s="56">
        <v>16.420000000000002</v>
      </c>
      <c r="BR255" s="56">
        <v>15.253</v>
      </c>
      <c r="BS255" s="56">
        <v>32.049999999999997</v>
      </c>
    </row>
    <row r="256" spans="1:71" s="77" customFormat="1" ht="18.75" customHeight="1" x14ac:dyDescent="0.25">
      <c r="A256" s="74">
        <v>256</v>
      </c>
      <c r="B256" s="75" t="s">
        <v>259</v>
      </c>
      <c r="C256" s="93"/>
      <c r="D256" s="88"/>
      <c r="E256" s="96">
        <f t="shared" ca="1" si="457"/>
        <v>0.15894955079474782</v>
      </c>
      <c r="F256" s="331">
        <f t="shared" ref="F256" si="458">SUM(F248:F255)</f>
        <v>1677</v>
      </c>
      <c r="G256" s="331">
        <f t="shared" ref="G256" si="459">SUM(G248:G255)</f>
        <v>775</v>
      </c>
      <c r="H256" s="126">
        <f t="shared" ref="H256" si="460">SUM(H248:H255)</f>
        <v>3053</v>
      </c>
      <c r="I256" s="126">
        <f t="shared" ref="I256" si="461">SUM(I248:I255)</f>
        <v>2289</v>
      </c>
      <c r="J256" s="126">
        <f t="shared" ref="J256" si="462">SUM(J248:J255)</f>
        <v>1447</v>
      </c>
      <c r="K256" s="126">
        <f t="shared" ref="K256" si="463">SUM(K248:K255)</f>
        <v>673</v>
      </c>
      <c r="L256" s="126">
        <f t="shared" ref="L256:AC256" si="464">SUM(L248:L255)</f>
        <v>2806</v>
      </c>
      <c r="M256" s="126">
        <f t="shared" si="464"/>
        <v>2162</v>
      </c>
      <c r="N256" s="126">
        <f t="shared" si="464"/>
        <v>1461</v>
      </c>
      <c r="O256" s="126">
        <f t="shared" si="464"/>
        <v>688</v>
      </c>
      <c r="P256" s="126">
        <f t="shared" si="464"/>
        <v>2798</v>
      </c>
      <c r="Q256" s="126">
        <f t="shared" si="464"/>
        <v>2010</v>
      </c>
      <c r="R256" s="126">
        <f t="shared" si="464"/>
        <v>1292</v>
      </c>
      <c r="S256" s="126">
        <f t="shared" si="464"/>
        <v>627</v>
      </c>
      <c r="T256" s="436"/>
      <c r="U256" s="436"/>
      <c r="V256" s="436"/>
      <c r="W256" s="436"/>
      <c r="X256" s="126">
        <f t="shared" si="464"/>
        <v>2423</v>
      </c>
      <c r="Y256" s="126">
        <f t="shared" si="464"/>
        <v>1828</v>
      </c>
      <c r="Z256" s="126">
        <f t="shared" si="464"/>
        <v>1184</v>
      </c>
      <c r="AA256" s="126">
        <f t="shared" si="464"/>
        <v>561</v>
      </c>
      <c r="AB256" s="126">
        <f t="shared" si="464"/>
        <v>1987</v>
      </c>
      <c r="AC256" s="126">
        <f t="shared" si="464"/>
        <v>1422.7550000000001</v>
      </c>
      <c r="AD256" s="126">
        <f t="shared" ref="AD256:AI256" si="465">SUM(AD248:AD255)</f>
        <v>898.01</v>
      </c>
      <c r="AE256" s="126">
        <f t="shared" si="465"/>
        <v>477.34299999999996</v>
      </c>
      <c r="AF256" s="126">
        <f t="shared" si="465"/>
        <v>2158.9609999999993</v>
      </c>
      <c r="AG256" s="126">
        <f t="shared" si="465"/>
        <v>1563.8720000000001</v>
      </c>
      <c r="AH256" s="126">
        <f t="shared" si="465"/>
        <v>1039.731</v>
      </c>
      <c r="AI256" s="126">
        <f t="shared" si="465"/>
        <v>532.08399999999995</v>
      </c>
      <c r="AJ256" s="126">
        <f t="shared" ref="AJ256:BB256" si="466">SUM(AJ248:AJ255)</f>
        <v>2082.5549999999994</v>
      </c>
      <c r="AK256" s="126">
        <f t="shared" si="466"/>
        <v>1523.7964999999999</v>
      </c>
      <c r="AL256" s="126">
        <f t="shared" si="466"/>
        <v>986.23299999999983</v>
      </c>
      <c r="AM256" s="126">
        <f t="shared" si="466"/>
        <v>456.96749999999997</v>
      </c>
      <c r="AN256" s="126">
        <f t="shared" si="466"/>
        <v>1396.0059999999999</v>
      </c>
      <c r="AO256" s="126">
        <f t="shared" si="466"/>
        <v>1029.857</v>
      </c>
      <c r="AP256" s="126">
        <f t="shared" si="466"/>
        <v>671.49799999999993</v>
      </c>
      <c r="AQ256" s="126">
        <f t="shared" si="466"/>
        <v>322.12200000000001</v>
      </c>
      <c r="AR256" s="126">
        <f t="shared" si="466"/>
        <v>1130.9379999999999</v>
      </c>
      <c r="AS256" s="126">
        <f t="shared" si="466"/>
        <v>777.48700000000008</v>
      </c>
      <c r="AT256" s="126">
        <f t="shared" si="466"/>
        <v>472.84800000000001</v>
      </c>
      <c r="AU256" s="126">
        <f t="shared" si="466"/>
        <v>217.83300000000006</v>
      </c>
      <c r="AV256" s="126">
        <f t="shared" si="466"/>
        <v>730.02800000000002</v>
      </c>
      <c r="AW256" s="126">
        <f t="shared" si="466"/>
        <v>536.11199999999997</v>
      </c>
      <c r="AX256" s="126">
        <f t="shared" si="466"/>
        <v>327.66800000000001</v>
      </c>
      <c r="AY256" s="126">
        <f t="shared" si="466"/>
        <v>175.51500000000001</v>
      </c>
      <c r="AZ256" s="126">
        <f t="shared" si="466"/>
        <v>699.94500000000005</v>
      </c>
      <c r="BA256" s="126">
        <f t="shared" si="466"/>
        <v>459.76799999999992</v>
      </c>
      <c r="BB256" s="126">
        <f t="shared" si="466"/>
        <v>295.53500000000003</v>
      </c>
      <c r="BC256" s="126">
        <f t="shared" ref="BC256:BS256" si="467">SUM(BC248:BC255)</f>
        <v>139.08699999999999</v>
      </c>
      <c r="BD256" s="126">
        <f t="shared" si="467"/>
        <v>494.58799999999997</v>
      </c>
      <c r="BE256" s="126">
        <f t="shared" si="467"/>
        <v>361.44000000000005</v>
      </c>
      <c r="BF256" s="126">
        <f t="shared" si="467"/>
        <v>207.35299999999998</v>
      </c>
      <c r="BG256" s="126">
        <f t="shared" si="467"/>
        <v>89.021000000000015</v>
      </c>
      <c r="BH256" s="78">
        <f t="shared" si="467"/>
        <v>404.07499999999993</v>
      </c>
      <c r="BI256" s="78">
        <f t="shared" si="467"/>
        <v>286.53300000000002</v>
      </c>
      <c r="BJ256" s="78">
        <f t="shared" si="467"/>
        <v>189.92600000000002</v>
      </c>
      <c r="BK256" s="78">
        <f t="shared" si="467"/>
        <v>77.227000000000004</v>
      </c>
      <c r="BL256" s="78">
        <f t="shared" si="467"/>
        <v>380.38799999999998</v>
      </c>
      <c r="BM256" s="78">
        <f t="shared" si="467"/>
        <v>241.17699999999994</v>
      </c>
      <c r="BN256" s="78">
        <f t="shared" si="467"/>
        <v>159.66199999999998</v>
      </c>
      <c r="BO256" s="78">
        <f t="shared" si="467"/>
        <v>59.544000000000004</v>
      </c>
      <c r="BP256" s="78">
        <f t="shared" si="467"/>
        <v>292.06</v>
      </c>
      <c r="BQ256" s="78">
        <f t="shared" si="467"/>
        <v>192.50900000000001</v>
      </c>
      <c r="BR256" s="78">
        <f t="shared" si="467"/>
        <v>139.733</v>
      </c>
      <c r="BS256" s="78">
        <f t="shared" si="467"/>
        <v>79.164999999999992</v>
      </c>
    </row>
    <row r="257" spans="1:71" s="77" customFormat="1" ht="18.75" customHeight="1" x14ac:dyDescent="0.25">
      <c r="A257" s="74">
        <v>257</v>
      </c>
      <c r="B257" s="75" t="s">
        <v>260</v>
      </c>
      <c r="C257" s="93"/>
      <c r="D257" s="88"/>
      <c r="E257" s="96">
        <f t="shared" ca="1" si="457"/>
        <v>6.0514102106390633E-2</v>
      </c>
      <c r="F257" s="331">
        <f t="shared" ref="F257" si="468">F246-F256</f>
        <v>5941</v>
      </c>
      <c r="G257" s="331">
        <f t="shared" ref="G257" si="469">G246-G256</f>
        <v>2795</v>
      </c>
      <c r="H257" s="126">
        <f t="shared" ref="H257" si="470">H246-H256</f>
        <v>11787</v>
      </c>
      <c r="I257" s="126">
        <f t="shared" ref="I257" si="471">I246-I256</f>
        <v>8475</v>
      </c>
      <c r="J257" s="126">
        <f t="shared" ref="J257" si="472">J246-J256</f>
        <v>5602</v>
      </c>
      <c r="K257" s="126">
        <f t="shared" ref="K257" si="473">K246-K256</f>
        <v>2761</v>
      </c>
      <c r="L257" s="126">
        <f t="shared" ref="L257:BB257" si="474">L246-L256</f>
        <v>11599</v>
      </c>
      <c r="M257" s="126">
        <f t="shared" si="474"/>
        <v>8524</v>
      </c>
      <c r="N257" s="126">
        <f t="shared" si="474"/>
        <v>5368</v>
      </c>
      <c r="O257" s="126">
        <f t="shared" si="474"/>
        <v>2659</v>
      </c>
      <c r="P257" s="126">
        <f t="shared" si="474"/>
        <v>12487</v>
      </c>
      <c r="Q257" s="126">
        <f t="shared" si="474"/>
        <v>9430</v>
      </c>
      <c r="R257" s="126">
        <f t="shared" si="474"/>
        <v>6458</v>
      </c>
      <c r="S257" s="126">
        <f t="shared" si="474"/>
        <v>3566</v>
      </c>
      <c r="T257" s="436"/>
      <c r="U257" s="436"/>
      <c r="V257" s="436"/>
      <c r="W257" s="436"/>
      <c r="X257" s="126">
        <f t="shared" si="474"/>
        <v>9009</v>
      </c>
      <c r="Y257" s="126">
        <f t="shared" si="474"/>
        <v>6409</v>
      </c>
      <c r="Z257" s="126">
        <f t="shared" si="474"/>
        <v>4213</v>
      </c>
      <c r="AA257" s="126">
        <f t="shared" si="474"/>
        <v>1905</v>
      </c>
      <c r="AB257" s="126">
        <f t="shared" si="474"/>
        <v>7540</v>
      </c>
      <c r="AC257" s="126">
        <f t="shared" si="474"/>
        <v>5225.1330000000016</v>
      </c>
      <c r="AD257" s="126">
        <f t="shared" si="474"/>
        <v>3325.1319999999996</v>
      </c>
      <c r="AE257" s="126">
        <f t="shared" si="474"/>
        <v>1682.1690000000003</v>
      </c>
      <c r="AF257" s="126">
        <f t="shared" si="474"/>
        <v>6818.9259999999977</v>
      </c>
      <c r="AG257" s="126">
        <f t="shared" si="474"/>
        <v>4825.6469999999999</v>
      </c>
      <c r="AH257" s="126">
        <f t="shared" si="474"/>
        <v>3042.1180000000004</v>
      </c>
      <c r="AI257" s="126">
        <f t="shared" si="474"/>
        <v>1278.4550000000004</v>
      </c>
      <c r="AJ257" s="126">
        <f t="shared" si="474"/>
        <v>5243.0819999999994</v>
      </c>
      <c r="AK257" s="126">
        <f t="shared" si="474"/>
        <v>3746.952499999999</v>
      </c>
      <c r="AL257" s="126">
        <f t="shared" si="474"/>
        <v>2421.3310000000001</v>
      </c>
      <c r="AM257" s="126">
        <f t="shared" si="474"/>
        <v>1235.2635000000002</v>
      </c>
      <c r="AN257" s="126">
        <f t="shared" si="474"/>
        <v>5211.0730000000003</v>
      </c>
      <c r="AO257" s="126">
        <f t="shared" si="474"/>
        <v>3745.7579999999998</v>
      </c>
      <c r="AP257" s="126">
        <f t="shared" si="474"/>
        <v>2433.7349999999997</v>
      </c>
      <c r="AQ257" s="126">
        <f t="shared" si="474"/>
        <v>1171.2039999999997</v>
      </c>
      <c r="AR257" s="126">
        <f t="shared" si="474"/>
        <v>4699.5190000000011</v>
      </c>
      <c r="AS257" s="126">
        <f t="shared" si="474"/>
        <v>3474.2979999999998</v>
      </c>
      <c r="AT257" s="126">
        <f t="shared" si="474"/>
        <v>2295.7780000000002</v>
      </c>
      <c r="AU257" s="126">
        <f t="shared" si="474"/>
        <v>1127.9749999999997</v>
      </c>
      <c r="AV257" s="126">
        <f t="shared" si="474"/>
        <v>4042.3099999999995</v>
      </c>
      <c r="AW257" s="126">
        <f t="shared" si="474"/>
        <v>2897.9419999999996</v>
      </c>
      <c r="AX257" s="126">
        <f t="shared" si="474"/>
        <v>1863.5249999999996</v>
      </c>
      <c r="AY257" s="126">
        <f t="shared" si="474"/>
        <v>836.72</v>
      </c>
      <c r="AZ257" s="126">
        <f t="shared" si="474"/>
        <v>3720.6419999999994</v>
      </c>
      <c r="BA257" s="126">
        <f t="shared" si="474"/>
        <v>2648.2569999999996</v>
      </c>
      <c r="BB257" s="126">
        <f t="shared" si="474"/>
        <v>1685.9559999999997</v>
      </c>
      <c r="BC257" s="126">
        <f t="shared" ref="BC257:BS257" si="475">BC246-BC256</f>
        <v>789.62899999999991</v>
      </c>
      <c r="BD257" s="126">
        <f t="shared" si="475"/>
        <v>2677.8680000000004</v>
      </c>
      <c r="BE257" s="126">
        <f t="shared" si="475"/>
        <v>1877.4119999999998</v>
      </c>
      <c r="BF257" s="126">
        <f t="shared" si="475"/>
        <v>1225.8700000000001</v>
      </c>
      <c r="BG257" s="126">
        <f t="shared" si="475"/>
        <v>594.43499999999995</v>
      </c>
      <c r="BH257" s="78">
        <f t="shared" si="475"/>
        <v>2349.1289999999995</v>
      </c>
      <c r="BI257" s="78">
        <f t="shared" si="475"/>
        <v>1644.598</v>
      </c>
      <c r="BJ257" s="78">
        <f t="shared" si="475"/>
        <v>1035.7540000000001</v>
      </c>
      <c r="BK257" s="78">
        <f t="shared" si="475"/>
        <v>482.05900000000008</v>
      </c>
      <c r="BL257" s="78">
        <f t="shared" si="475"/>
        <v>2051.6340000000005</v>
      </c>
      <c r="BM257" s="78">
        <f t="shared" si="475"/>
        <v>1463.8940000000002</v>
      </c>
      <c r="BN257" s="78">
        <f t="shared" si="475"/>
        <v>938.8309999999999</v>
      </c>
      <c r="BO257" s="78">
        <f t="shared" si="475"/>
        <v>439.13100000000003</v>
      </c>
      <c r="BP257" s="78">
        <f t="shared" si="475"/>
        <v>1715.1249999999998</v>
      </c>
      <c r="BQ257" s="78">
        <f t="shared" si="475"/>
        <v>1180.4959999999999</v>
      </c>
      <c r="BR257" s="78">
        <f t="shared" si="475"/>
        <v>763.49699999999984</v>
      </c>
      <c r="BS257" s="78">
        <f t="shared" si="475"/>
        <v>337.197</v>
      </c>
    </row>
    <row r="258" spans="1:71" x14ac:dyDescent="0.25">
      <c r="A258" s="74"/>
      <c r="F258" s="357"/>
      <c r="G258" s="395"/>
      <c r="H258" s="357"/>
      <c r="I258" s="357"/>
      <c r="J258" s="357"/>
      <c r="K258" s="357"/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  <c r="AA258" s="357"/>
      <c r="AB258" s="357"/>
      <c r="AC258" s="359"/>
      <c r="AD258" s="360"/>
      <c r="AE258" s="358"/>
      <c r="AF258" s="357"/>
      <c r="AG258" s="357"/>
      <c r="AH258" s="357"/>
      <c r="AI258" s="357"/>
      <c r="AJ258" s="357"/>
      <c r="AK258" s="357"/>
      <c r="AL258" s="357"/>
      <c r="AM258" s="357"/>
      <c r="AN258" s="357"/>
      <c r="AO258" s="357"/>
      <c r="AP258" s="357"/>
      <c r="AQ258" s="357"/>
      <c r="AR258" s="357"/>
      <c r="AS258" s="357"/>
      <c r="AT258" s="357"/>
      <c r="AU258" s="357"/>
      <c r="AV258" s="357"/>
      <c r="AW258" s="357"/>
      <c r="AX258" s="357"/>
    </row>
    <row r="259" spans="1:71" x14ac:dyDescent="0.25">
      <c r="A259" s="74">
        <v>259</v>
      </c>
      <c r="G259" s="301"/>
      <c r="AZ259" s="81"/>
      <c r="BA259" s="81"/>
      <c r="BB259" s="81"/>
      <c r="BC259" s="81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</row>
    <row r="260" spans="1:71" x14ac:dyDescent="0.25">
      <c r="A260" s="74">
        <v>260</v>
      </c>
      <c r="B260" s="453" t="s">
        <v>391</v>
      </c>
      <c r="C260" s="506" t="str">
        <f ca="1">OFFSET($E$67,0,1,1,1)&amp;"/ "&amp;OFFSET($E$67,0,2,1,1)</f>
        <v>2Q 2026/ 1Q 2026</v>
      </c>
      <c r="D260" s="352"/>
      <c r="E260" s="506" t="str">
        <f ca="1">OFFSET($E$66,1,1,1,1)&amp;"/ "&amp;OFFSET($E$66,1,5,1,1)</f>
        <v>2Q 2026/ 2Q 2025</v>
      </c>
      <c r="F260" s="446" t="s">
        <v>475</v>
      </c>
      <c r="G260" s="479" t="s">
        <v>472</v>
      </c>
      <c r="H260" s="446" t="s">
        <v>471</v>
      </c>
      <c r="I260" s="446" t="s">
        <v>468</v>
      </c>
      <c r="J260" s="446" t="s">
        <v>466</v>
      </c>
      <c r="K260" s="446" t="s">
        <v>462</v>
      </c>
      <c r="L260" s="446" t="s">
        <v>459</v>
      </c>
      <c r="M260" s="446" t="s">
        <v>457</v>
      </c>
      <c r="N260" s="446" t="s">
        <v>454</v>
      </c>
      <c r="O260" s="446" t="s">
        <v>452</v>
      </c>
      <c r="P260" s="446" t="s">
        <v>451</v>
      </c>
      <c r="Q260" s="446" t="s">
        <v>449</v>
      </c>
      <c r="R260" s="446" t="s">
        <v>447</v>
      </c>
      <c r="S260" s="446" t="s">
        <v>438</v>
      </c>
      <c r="T260" s="446" t="s">
        <v>437</v>
      </c>
      <c r="U260" s="446" t="s">
        <v>434</v>
      </c>
      <c r="V260" s="446" t="s">
        <v>432</v>
      </c>
      <c r="W260" s="446" t="s">
        <v>429</v>
      </c>
      <c r="X260" s="446" t="s">
        <v>424</v>
      </c>
      <c r="Y260" s="446" t="s">
        <v>421</v>
      </c>
      <c r="Z260" s="446" t="s">
        <v>419</v>
      </c>
      <c r="AA260" s="446" t="s">
        <v>415</v>
      </c>
      <c r="AB260" s="446" t="s">
        <v>410</v>
      </c>
      <c r="AC260" s="446" t="s">
        <v>408</v>
      </c>
      <c r="AD260" s="446" t="s">
        <v>406</v>
      </c>
      <c r="AE260" s="446" t="s">
        <v>402</v>
      </c>
      <c r="AF260" s="449" t="s">
        <v>393</v>
      </c>
      <c r="AG260" s="446" t="s">
        <v>387</v>
      </c>
      <c r="AH260" s="446" t="s">
        <v>384</v>
      </c>
      <c r="AI260" s="446" t="s">
        <v>381</v>
      </c>
      <c r="AJ260" s="446" t="s">
        <v>376</v>
      </c>
      <c r="AK260" s="446" t="s">
        <v>373</v>
      </c>
      <c r="AL260" s="446" t="s">
        <v>347</v>
      </c>
      <c r="AM260" s="446" t="s">
        <v>311</v>
      </c>
      <c r="AN260" s="446" t="s">
        <v>309</v>
      </c>
      <c r="AO260" s="446" t="s">
        <v>307</v>
      </c>
      <c r="AP260" s="446" t="s">
        <v>292</v>
      </c>
      <c r="AQ260" s="446" t="s">
        <v>286</v>
      </c>
      <c r="AR260" s="446" t="s">
        <v>274</v>
      </c>
      <c r="AS260" s="446" t="s">
        <v>271</v>
      </c>
      <c r="AT260" s="446" t="s">
        <v>269</v>
      </c>
      <c r="AU260" s="446" t="s">
        <v>266</v>
      </c>
      <c r="AV260" s="446" t="s">
        <v>264</v>
      </c>
      <c r="AW260" s="446" t="s">
        <v>262</v>
      </c>
      <c r="AX260" s="446" t="s">
        <v>256</v>
      </c>
      <c r="AY260" s="446" t="s">
        <v>253</v>
      </c>
      <c r="AZ260" s="446" t="s">
        <v>245</v>
      </c>
      <c r="BA260" s="446" t="s">
        <v>243</v>
      </c>
      <c r="BB260" s="446" t="s">
        <v>240</v>
      </c>
      <c r="BC260" s="446" t="s">
        <v>231</v>
      </c>
      <c r="BD260" s="446" t="s">
        <v>227</v>
      </c>
      <c r="BE260" s="446" t="s">
        <v>222</v>
      </c>
      <c r="BF260" s="446" t="s">
        <v>205</v>
      </c>
      <c r="BG260" s="446" t="s">
        <v>203</v>
      </c>
      <c r="BH260" s="446" t="s">
        <v>200</v>
      </c>
      <c r="BI260" s="446" t="s">
        <v>65</v>
      </c>
      <c r="BJ260" s="446" t="s">
        <v>66</v>
      </c>
      <c r="BK260" s="446" t="s">
        <v>4</v>
      </c>
      <c r="BL260" s="446" t="s">
        <v>67</v>
      </c>
      <c r="BM260" s="446" t="s">
        <v>68</v>
      </c>
      <c r="BN260" s="446" t="s">
        <v>69</v>
      </c>
      <c r="BO260" s="446" t="s">
        <v>5</v>
      </c>
      <c r="BP260" s="446" t="s">
        <v>70</v>
      </c>
      <c r="BQ260" s="446" t="s">
        <v>71</v>
      </c>
      <c r="BR260" s="446" t="s">
        <v>72</v>
      </c>
      <c r="BS260" s="446" t="s">
        <v>6</v>
      </c>
    </row>
    <row r="261" spans="1:71" x14ac:dyDescent="0.25">
      <c r="A261" s="74">
        <v>261</v>
      </c>
      <c r="B261" s="454"/>
      <c r="C261" s="507"/>
      <c r="D261" s="353"/>
      <c r="E261" s="507"/>
      <c r="F261" s="447"/>
      <c r="G261" s="493"/>
      <c r="H261" s="448"/>
      <c r="I261" s="447"/>
      <c r="J261" s="447"/>
      <c r="K261" s="447"/>
      <c r="L261" s="448"/>
      <c r="M261" s="447"/>
      <c r="N261" s="447"/>
      <c r="O261" s="447"/>
      <c r="P261" s="448"/>
      <c r="Q261" s="447"/>
      <c r="R261" s="447"/>
      <c r="S261" s="447"/>
      <c r="T261" s="448"/>
      <c r="U261" s="447"/>
      <c r="V261" s="447"/>
      <c r="W261" s="447"/>
      <c r="X261" s="448"/>
      <c r="Y261" s="448"/>
      <c r="Z261" s="447"/>
      <c r="AA261" s="447"/>
      <c r="AB261" s="448"/>
      <c r="AC261" s="448"/>
      <c r="AD261" s="448"/>
      <c r="AE261" s="447"/>
      <c r="AF261" s="450"/>
      <c r="AG261" s="448"/>
      <c r="AH261" s="448"/>
      <c r="AI261" s="447"/>
      <c r="AJ261" s="447"/>
      <c r="AK261" s="447"/>
      <c r="AL261" s="447"/>
      <c r="AM261" s="447"/>
      <c r="AN261" s="448"/>
      <c r="AO261" s="447"/>
      <c r="AP261" s="447"/>
      <c r="AQ261" s="447"/>
      <c r="AR261" s="448"/>
      <c r="AS261" s="447"/>
      <c r="AT261" s="447"/>
      <c r="AU261" s="447"/>
      <c r="AV261" s="448"/>
      <c r="AW261" s="448"/>
      <c r="AX261" s="448"/>
      <c r="AY261" s="447"/>
      <c r="AZ261" s="447"/>
      <c r="BA261" s="447"/>
      <c r="BB261" s="447"/>
      <c r="BC261" s="447"/>
      <c r="BD261" s="447"/>
      <c r="BE261" s="447"/>
      <c r="BF261" s="447"/>
      <c r="BG261" s="447"/>
      <c r="BH261" s="447"/>
      <c r="BI261" s="447"/>
      <c r="BJ261" s="447"/>
      <c r="BK261" s="447"/>
      <c r="BL261" s="447"/>
      <c r="BM261" s="447"/>
      <c r="BN261" s="447"/>
      <c r="BO261" s="447"/>
      <c r="BP261" s="447"/>
      <c r="BQ261" s="447"/>
      <c r="BR261" s="447"/>
      <c r="BS261" s="447"/>
    </row>
    <row r="262" spans="1:71" x14ac:dyDescent="0.25">
      <c r="A262" s="74">
        <v>262</v>
      </c>
      <c r="B262" s="8" t="s">
        <v>8</v>
      </c>
      <c r="C262" s="89"/>
      <c r="D262" s="57"/>
      <c r="E262" s="90"/>
      <c r="F262" s="57"/>
      <c r="G262" s="303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8"/>
    </row>
    <row r="263" spans="1:71" x14ac:dyDescent="0.25">
      <c r="A263" s="74">
        <v>263</v>
      </c>
      <c r="B263" s="75" t="s">
        <v>132</v>
      </c>
      <c r="C263" s="93"/>
      <c r="D263" s="88"/>
      <c r="E263" s="94"/>
      <c r="F263" s="88"/>
      <c r="G263" s="291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88"/>
      <c r="BG263" s="88"/>
      <c r="BH263" s="75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  <c r="BS263" s="56"/>
    </row>
    <row r="264" spans="1:71" x14ac:dyDescent="0.25">
      <c r="A264" s="74">
        <v>264</v>
      </c>
      <c r="B264" s="76" t="s">
        <v>206</v>
      </c>
      <c r="C264" s="93">
        <f t="shared" ref="C264:C271" ca="1" si="476">OFFSET($E$7,$A264-$A$7,1,1,1)/OFFSET($E$7,$A264-$A$7,2,1,1)-1</f>
        <v>0.12528132033008244</v>
      </c>
      <c r="D264" s="88"/>
      <c r="E264" s="94">
        <f t="shared" ref="E264:E271" ca="1" si="477">OFFSET($E$7,$A264-$A$7,1,1,1)/OFFSET($E$7,$A264-$A$7,5,1,1)-1</f>
        <v>-0.10125823846614734</v>
      </c>
      <c r="F264" s="79">
        <f t="shared" ref="F264:Z272" si="478">SUMIFS(F$236:F$245,$B$236:$B$245,$B264)-SUMIFS(G$236:G$245,$B$236:$B$245,$B264)</f>
        <v>1500</v>
      </c>
      <c r="G264" s="330">
        <f t="shared" ref="G264:G273" si="479">SUMIFS(G$236:G$245,$B$236:$B$245,$B264)</f>
        <v>1333</v>
      </c>
      <c r="H264" s="79">
        <f t="shared" si="478"/>
        <v>1650</v>
      </c>
      <c r="I264" s="79">
        <f t="shared" si="478"/>
        <v>1580</v>
      </c>
      <c r="J264" s="79">
        <f t="shared" si="478"/>
        <v>1669</v>
      </c>
      <c r="K264" s="79">
        <f t="shared" ref="K264:K273" si="480">SUMIFS(K$236:K$245,$B$236:$B$245,$B264)</f>
        <v>1520</v>
      </c>
      <c r="L264" s="79">
        <f t="shared" si="478"/>
        <v>1874</v>
      </c>
      <c r="M264" s="79">
        <f t="shared" si="478"/>
        <v>1887</v>
      </c>
      <c r="N264" s="79">
        <f t="shared" si="478"/>
        <v>1503</v>
      </c>
      <c r="O264" s="79">
        <f t="shared" ref="O264:O273" si="481">SUMIFS(O$236:O$245,$B$236:$B$245,$B264)</f>
        <v>1383</v>
      </c>
      <c r="P264" s="79">
        <f t="shared" si="478"/>
        <v>1798</v>
      </c>
      <c r="Q264" s="79">
        <f t="shared" si="478"/>
        <v>1690</v>
      </c>
      <c r="R264" s="79">
        <f t="shared" si="478"/>
        <v>1654</v>
      </c>
      <c r="S264" s="79">
        <f t="shared" ref="S264:S273" si="482">SUMIFS(S$236:S$245,$B$236:$B$245,$B264)</f>
        <v>2345</v>
      </c>
      <c r="T264" s="404"/>
      <c r="U264" s="404"/>
      <c r="V264" s="404"/>
      <c r="W264" s="404"/>
      <c r="X264" s="79">
        <f t="shared" si="478"/>
        <v>1419</v>
      </c>
      <c r="Y264" s="79">
        <f t="shared" si="478"/>
        <v>1176</v>
      </c>
      <c r="Z264" s="79">
        <f t="shared" si="478"/>
        <v>1063</v>
      </c>
      <c r="AA264" s="79">
        <f t="shared" ref="AA264:AA272" si="483">SUMIFS(AA$236:AA$245,$B$236:$B$245,$B264)</f>
        <v>980</v>
      </c>
      <c r="AB264" s="79">
        <f t="shared" ref="AB264:AD272" si="484">SUMIFS(AB$236:AB$245,$B$236:$B$245,$B264)-SUMIFS(AC$236:AC$245,$B$236:$B$245,$B264)</f>
        <v>1157.346</v>
      </c>
      <c r="AC264" s="79">
        <f t="shared" si="484"/>
        <v>926.25500000000011</v>
      </c>
      <c r="AD264" s="79">
        <f t="shared" si="484"/>
        <v>778.52199999999993</v>
      </c>
      <c r="AE264" s="79">
        <f t="shared" ref="AE264:AE272" si="485">SUMIFS(AE$236:AE$245,$B$236:$B$245,$B264)</f>
        <v>844.87699999999995</v>
      </c>
      <c r="AF264" s="79">
        <f t="shared" ref="AF264:AH272" si="486">SUMIFS(AF$236:AF$245,$B$236:$B$245,$B264)-SUMIFS(AG$236:AG$245,$B$236:$B$245,$B264)</f>
        <v>962.13099999999986</v>
      </c>
      <c r="AG264" s="79">
        <f t="shared" si="486"/>
        <v>812.26800000000003</v>
      </c>
      <c r="AH264" s="79">
        <f t="shared" si="486"/>
        <v>764.97700000000009</v>
      </c>
      <c r="AI264" s="79">
        <f>SUMIFS(AI$236:AI$245,$B$236:$B$245,$B264)</f>
        <v>677.52800000000002</v>
      </c>
      <c r="AJ264" s="79">
        <f t="shared" ref="AJ264:AL268" si="487">SUMIFS(AJ$236:AJ$245,$B$236:$B$245,$B264)-SUMIFS(AK$236:AK$245,$B$236:$B$245,$B264)</f>
        <v>834.16199999999981</v>
      </c>
      <c r="AK264" s="79">
        <f t="shared" si="487"/>
        <v>716.327</v>
      </c>
      <c r="AL264" s="79">
        <f t="shared" si="487"/>
        <v>630.27300000000002</v>
      </c>
      <c r="AM264" s="79">
        <f>SUMIFS(AM$236:AM$245,$B$236:$B$245,$B264)</f>
        <v>628.34</v>
      </c>
      <c r="AN264" s="79">
        <f t="shared" ref="AN264:AP268" si="488">SUMIFS(AN$236:AN$245,$B$236:$B$245,$B264)-SUMIFS(AO$236:AO$245,$B$236:$B$245,$B264)</f>
        <v>672.69500000000016</v>
      </c>
      <c r="AO264" s="79">
        <f t="shared" si="488"/>
        <v>615.74800000000005</v>
      </c>
      <c r="AP264" s="79">
        <f t="shared" si="488"/>
        <v>591.62699999999995</v>
      </c>
      <c r="AQ264" s="79">
        <f>SUMIFS(AQ$236:AQ$245,$B$236:$B$245,$B264)</f>
        <v>534.83500000000004</v>
      </c>
      <c r="AR264" s="79">
        <f t="shared" ref="AR264:AT268" si="489">SUMIFS(AR$236:AR$245,$B$236:$B$245,$B264)-SUMIFS(AS$236:AS$245,$B$236:$B$245,$B264)</f>
        <v>609.79800000000023</v>
      </c>
      <c r="AS264" s="79">
        <f t="shared" si="489"/>
        <v>532.91699999999992</v>
      </c>
      <c r="AT264" s="79">
        <f t="shared" si="489"/>
        <v>551.36000000000013</v>
      </c>
      <c r="AU264" s="79">
        <f>SUMIFS(AU$236:AU$245,$B$236:$B$245,$B264)</f>
        <v>494.51299999999998</v>
      </c>
      <c r="AV264" s="79">
        <f t="shared" ref="AV264:AX268" si="490">SUMIFS(AV$236:AV$245,$B$236:$B$245,$B264)-SUMIFS(AW$236:AW$245,$B$236:$B$245,$B264)</f>
        <v>570.48199999999997</v>
      </c>
      <c r="AW264" s="79">
        <f t="shared" si="490"/>
        <v>576.03899999999999</v>
      </c>
      <c r="AX264" s="79">
        <f t="shared" si="490"/>
        <v>437.96799999999996</v>
      </c>
      <c r="AY264" s="79">
        <f>SUMIFS(AY$236:AY$245,$B$236:$B$245,$B264)</f>
        <v>458.85</v>
      </c>
      <c r="AZ264" s="79">
        <f t="shared" ref="AZ264:BB268" si="491">SUMIFS(AZ$236:AZ$245,$B$236:$B$245,$B264)-SUMIFS(BA$236:BA$245,$B$236:$B$245,$B264)</f>
        <v>525.38600000000019</v>
      </c>
      <c r="BA264" s="79">
        <f t="shared" si="491"/>
        <v>403.25799999999992</v>
      </c>
      <c r="BB264" s="79">
        <f t="shared" si="491"/>
        <v>394.17599999999999</v>
      </c>
      <c r="BC264" s="79">
        <f>SUMIFS(BC$236:BC$245,$B$236:$B$245,$B264)</f>
        <v>318.11799999999999</v>
      </c>
      <c r="BD264" s="79">
        <f t="shared" ref="BD264:BF268" si="492">SUMIFS(BD$236:BD$245,$B$236:$B$245,$B264)-SUMIFS(BE$236:BE$245,$B$236:$B$245,$B264)</f>
        <v>313.81299999999987</v>
      </c>
      <c r="BE264" s="79">
        <f t="shared" si="492"/>
        <v>270.45200000000006</v>
      </c>
      <c r="BF264" s="79">
        <f t="shared" si="492"/>
        <v>244.47099999999998</v>
      </c>
      <c r="BG264" s="79">
        <f>SUMIFS(BG$236:BG$245,$B$236:$B$245,$B264)</f>
        <v>242.96</v>
      </c>
      <c r="BH264" s="56">
        <f t="shared" ref="BH264:BJ268" si="493">SUMIFS(BH$236:BH$245,$B$236:$B$245,$B264)-SUMIFS(BI$236:BI$245,$B$236:$B$245,$B264)</f>
        <v>260.84100000000001</v>
      </c>
      <c r="BI264" s="56">
        <f t="shared" si="493"/>
        <v>247.41999999999996</v>
      </c>
      <c r="BJ264" s="56">
        <f t="shared" si="493"/>
        <v>237.94400000000002</v>
      </c>
      <c r="BK264" s="56">
        <f>SUMIFS(BK$236:BK$245,$B$236:$B$245,$B264)</f>
        <v>206.84899999999999</v>
      </c>
      <c r="BL264" s="56">
        <f t="shared" ref="BL264:BN268" si="494">SUMIFS(BL$236:BL$245,$B$236:$B$245,$B264)-SUMIFS(BM$236:BM$245,$B$236:$B$245,$B264)</f>
        <v>234.26700000000005</v>
      </c>
      <c r="BM264" s="56">
        <f t="shared" si="494"/>
        <v>208.98399999999998</v>
      </c>
      <c r="BN264" s="56">
        <f t="shared" si="494"/>
        <v>200.93899999999999</v>
      </c>
      <c r="BO264" s="56">
        <f>SUMIFS(BO$236:BO$245,$B$236:$B$245,$B264)</f>
        <v>178.09200000000001</v>
      </c>
      <c r="BP264" s="56">
        <f t="shared" ref="BP264:BR268" si="495">SUMIFS(BP$236:BP$245,$B$236:$B$245,$B264)-SUMIFS(BQ$236:BQ$245,$B$236:$B$245,$B264)</f>
        <v>219.81500000000005</v>
      </c>
      <c r="BQ264" s="56">
        <f t="shared" si="495"/>
        <v>196.24499999999995</v>
      </c>
      <c r="BR264" s="56">
        <f t="shared" si="495"/>
        <v>201.15000000000003</v>
      </c>
      <c r="BS264" s="56">
        <f>SUMIFS(BS$236:BS$245,$B$236:$B$245,$B264)</f>
        <v>176.66399999999999</v>
      </c>
    </row>
    <row r="265" spans="1:71" x14ac:dyDescent="0.25">
      <c r="A265" s="74">
        <v>265</v>
      </c>
      <c r="B265" s="76" t="s">
        <v>395</v>
      </c>
      <c r="C265" s="93">
        <f t="shared" ca="1" si="476"/>
        <v>0.10969387755102034</v>
      </c>
      <c r="D265" s="88"/>
      <c r="E265" s="94">
        <f t="shared" ca="1" si="477"/>
        <v>-1.916572717023679E-2</v>
      </c>
      <c r="F265" s="79">
        <f t="shared" si="478"/>
        <v>870</v>
      </c>
      <c r="G265" s="330">
        <f t="shared" si="479"/>
        <v>784</v>
      </c>
      <c r="H265" s="79">
        <f t="shared" si="478"/>
        <v>880</v>
      </c>
      <c r="I265" s="79">
        <f t="shared" si="478"/>
        <v>917</v>
      </c>
      <c r="J265" s="79">
        <f t="shared" si="478"/>
        <v>887</v>
      </c>
      <c r="K265" s="79">
        <f t="shared" si="480"/>
        <v>852</v>
      </c>
      <c r="L265" s="79">
        <f t="shared" si="478"/>
        <v>893</v>
      </c>
      <c r="M265" s="79">
        <f t="shared" si="478"/>
        <v>922</v>
      </c>
      <c r="N265" s="79">
        <f t="shared" si="478"/>
        <v>1019</v>
      </c>
      <c r="O265" s="79">
        <f t="shared" si="481"/>
        <v>1021</v>
      </c>
      <c r="P265" s="79">
        <f t="shared" si="478"/>
        <v>1070</v>
      </c>
      <c r="Q265" s="79">
        <f t="shared" si="478"/>
        <v>1094</v>
      </c>
      <c r="R265" s="79">
        <f t="shared" si="478"/>
        <v>1057</v>
      </c>
      <c r="S265" s="79">
        <f t="shared" si="482"/>
        <v>1053</v>
      </c>
      <c r="T265" s="404"/>
      <c r="U265" s="404"/>
      <c r="V265" s="404"/>
      <c r="W265" s="404"/>
      <c r="X265" s="79">
        <f t="shared" si="478"/>
        <v>767</v>
      </c>
      <c r="Y265" s="79">
        <f t="shared" si="478"/>
        <v>738</v>
      </c>
      <c r="Z265" s="79">
        <f t="shared" si="478"/>
        <v>855</v>
      </c>
      <c r="AA265" s="79">
        <f t="shared" si="483"/>
        <v>765</v>
      </c>
      <c r="AB265" s="79">
        <f t="shared" si="484"/>
        <v>938.45600000000013</v>
      </c>
      <c r="AC265" s="79">
        <f t="shared" si="484"/>
        <v>809.13799999999992</v>
      </c>
      <c r="AD265" s="79">
        <f t="shared" si="484"/>
        <v>664.86400000000003</v>
      </c>
      <c r="AE265" s="79">
        <f t="shared" si="485"/>
        <v>733.54199999999992</v>
      </c>
      <c r="AF265" s="79">
        <f t="shared" si="486"/>
        <v>920.80699999999979</v>
      </c>
      <c r="AG265" s="79">
        <f t="shared" si="486"/>
        <v>867.65900000000011</v>
      </c>
      <c r="AH265" s="79">
        <f t="shared" si="486"/>
        <v>912.25699999999995</v>
      </c>
      <c r="AI265" s="79">
        <f>SUMIFS(AI$236:AI$245,$B$236:$B$245,$B265)</f>
        <v>755.33900000000006</v>
      </c>
      <c r="AJ265" s="79">
        <f t="shared" si="487"/>
        <v>787.45100000000002</v>
      </c>
      <c r="AK265" s="79">
        <f t="shared" si="487"/>
        <v>773.77899999999977</v>
      </c>
      <c r="AL265" s="79">
        <f t="shared" si="487"/>
        <v>756.59800000000007</v>
      </c>
      <c r="AM265" s="79">
        <f>SUMIFS(AM$236:AM$245,$B$236:$B$245,$B265)</f>
        <v>723.85199999999998</v>
      </c>
      <c r="AN265" s="79">
        <f t="shared" si="488"/>
        <v>774.40099999999984</v>
      </c>
      <c r="AO265" s="79">
        <f t="shared" si="488"/>
        <v>681.64300000000003</v>
      </c>
      <c r="AP265" s="79">
        <f t="shared" si="488"/>
        <v>648.55999999999995</v>
      </c>
      <c r="AQ265" s="79">
        <f>SUMIFS(AQ$236:AQ$245,$B$236:$B$245,$B265)</f>
        <v>576.16499999999996</v>
      </c>
      <c r="AR265" s="79">
        <f t="shared" si="489"/>
        <v>583.19200000000001</v>
      </c>
      <c r="AS265" s="79">
        <f t="shared" si="489"/>
        <v>538.80799999999988</v>
      </c>
      <c r="AT265" s="79">
        <f t="shared" si="489"/>
        <v>475.39</v>
      </c>
      <c r="AU265" s="79">
        <f>SUMIFS(AU$236:AU$245,$B$236:$B$245,$B265)</f>
        <v>424.72</v>
      </c>
      <c r="AV265" s="79">
        <f t="shared" si="490"/>
        <v>386.755</v>
      </c>
      <c r="AW265" s="79">
        <f t="shared" si="490"/>
        <v>317.48199999999997</v>
      </c>
      <c r="AX265" s="79">
        <f t="shared" si="490"/>
        <v>326.44799999999998</v>
      </c>
      <c r="AY265" s="79">
        <f>SUMIFS(AY$236:AY$245,$B$236:$B$245,$B265)</f>
        <v>290.20100000000002</v>
      </c>
      <c r="AZ265" s="79">
        <f t="shared" si="491"/>
        <v>349.59499999999991</v>
      </c>
      <c r="BA265" s="79">
        <f t="shared" si="491"/>
        <v>291.22800000000007</v>
      </c>
      <c r="BB265" s="79">
        <f t="shared" si="491"/>
        <v>289.35299999999995</v>
      </c>
      <c r="BC265" s="79">
        <f>SUMIFS(BC$236:BC$245,$B$236:$B$245,$B265)</f>
        <v>252.71100000000001</v>
      </c>
      <c r="BD265" s="79">
        <f t="shared" si="492"/>
        <v>239.553</v>
      </c>
      <c r="BE265" s="79">
        <f t="shared" si="492"/>
        <v>208.43299999999999</v>
      </c>
      <c r="BF265" s="79">
        <f t="shared" si="492"/>
        <v>210.203</v>
      </c>
      <c r="BG265" s="79">
        <f>SUMIFS(BG$236:BG$245,$B$236:$B$245,$B265)</f>
        <v>181.042</v>
      </c>
      <c r="BH265" s="79">
        <f t="shared" si="493"/>
        <v>212.88399999999996</v>
      </c>
      <c r="BI265" s="79">
        <f t="shared" si="493"/>
        <v>183.18800000000005</v>
      </c>
      <c r="BJ265" s="79">
        <f t="shared" si="493"/>
        <v>157.28899999999999</v>
      </c>
      <c r="BK265" s="79">
        <f>SUMIFS(BK$236:BK$245,$B$236:$B$245,$B265)</f>
        <v>146.93299999999999</v>
      </c>
      <c r="BL265" s="79">
        <f t="shared" si="494"/>
        <v>168.44700000000006</v>
      </c>
      <c r="BM265" s="79">
        <f t="shared" si="494"/>
        <v>154.56900000000002</v>
      </c>
      <c r="BN265" s="79">
        <f t="shared" si="494"/>
        <v>147.39999999999998</v>
      </c>
      <c r="BO265" s="79">
        <f>SUMIFS(BO$236:BO$245,$B$236:$B$245,$B265)</f>
        <v>126.678</v>
      </c>
      <c r="BP265" s="79">
        <f t="shared" si="495"/>
        <v>140.49099999999999</v>
      </c>
      <c r="BQ265" s="79">
        <f t="shared" si="495"/>
        <v>124.85599999999999</v>
      </c>
      <c r="BR265" s="79">
        <f t="shared" si="495"/>
        <v>120.35300000000001</v>
      </c>
      <c r="BS265" s="79">
        <f>SUMIFS(BS$236:BS$245,$B$236:$B$245,$B265)</f>
        <v>104.197</v>
      </c>
    </row>
    <row r="266" spans="1:71" x14ac:dyDescent="0.25">
      <c r="A266" s="74">
        <v>266</v>
      </c>
      <c r="B266" s="76" t="s">
        <v>207</v>
      </c>
      <c r="C266" s="93">
        <f t="shared" ca="1" si="476"/>
        <v>6.543209876543199E-2</v>
      </c>
      <c r="D266" s="88"/>
      <c r="E266" s="94">
        <f t="shared" ca="1" si="477"/>
        <v>0.28805970149253723</v>
      </c>
      <c r="F266" s="79">
        <f t="shared" si="478"/>
        <v>863</v>
      </c>
      <c r="G266" s="330">
        <f t="shared" si="479"/>
        <v>810</v>
      </c>
      <c r="H266" s="79">
        <f t="shared" si="478"/>
        <v>841</v>
      </c>
      <c r="I266" s="79">
        <f t="shared" si="478"/>
        <v>723</v>
      </c>
      <c r="J266" s="79">
        <f t="shared" si="478"/>
        <v>670</v>
      </c>
      <c r="K266" s="79">
        <f t="shared" si="480"/>
        <v>717</v>
      </c>
      <c r="L266" s="79">
        <f t="shared" si="478"/>
        <v>535</v>
      </c>
      <c r="M266" s="79">
        <f t="shared" si="478"/>
        <v>493</v>
      </c>
      <c r="N266" s="79">
        <f t="shared" si="478"/>
        <v>456</v>
      </c>
      <c r="O266" s="79">
        <f t="shared" si="481"/>
        <v>483</v>
      </c>
      <c r="P266" s="79">
        <f t="shared" si="478"/>
        <v>437</v>
      </c>
      <c r="Q266" s="79">
        <f t="shared" si="478"/>
        <v>439</v>
      </c>
      <c r="R266" s="79">
        <f t="shared" si="478"/>
        <v>376</v>
      </c>
      <c r="S266" s="79">
        <f t="shared" si="482"/>
        <v>396</v>
      </c>
      <c r="T266" s="404"/>
      <c r="U266" s="404"/>
      <c r="V266" s="404"/>
      <c r="W266" s="404"/>
      <c r="X266" s="79">
        <f t="shared" si="478"/>
        <v>508</v>
      </c>
      <c r="Y266" s="79">
        <f t="shared" si="478"/>
        <v>469</v>
      </c>
      <c r="Z266" s="79">
        <f t="shared" si="478"/>
        <v>419</v>
      </c>
      <c r="AA266" s="79">
        <f t="shared" si="483"/>
        <v>397</v>
      </c>
      <c r="AB266" s="79">
        <f t="shared" si="484"/>
        <v>443.69399999999996</v>
      </c>
      <c r="AC266" s="79">
        <f t="shared" si="484"/>
        <v>404.97700000000009</v>
      </c>
      <c r="AD266" s="79">
        <f t="shared" si="484"/>
        <v>364.66699999999997</v>
      </c>
      <c r="AE266" s="79">
        <f t="shared" si="485"/>
        <v>312.66199999999998</v>
      </c>
      <c r="AF266" s="79">
        <f t="shared" si="486"/>
        <v>352.81700000000001</v>
      </c>
      <c r="AG266" s="79">
        <f t="shared" si="486"/>
        <v>249.88099999999997</v>
      </c>
      <c r="AH266" s="79">
        <f t="shared" si="486"/>
        <v>313.34800000000001</v>
      </c>
      <c r="AI266" s="79">
        <f>SUMIFS(AI$236:AI$245,$B$236:$B$245,$B266)</f>
        <v>108.464</v>
      </c>
      <c r="AJ266" s="79">
        <f t="shared" si="487"/>
        <v>228.07600000000002</v>
      </c>
      <c r="AK266" s="79">
        <f t="shared" si="487"/>
        <v>209.608</v>
      </c>
      <c r="AL266" s="79">
        <f t="shared" si="487"/>
        <v>170.929</v>
      </c>
      <c r="AM266" s="79">
        <f>SUMIFS(AM$236:AM$245,$B$236:$B$245,$B266)</f>
        <v>192.82300000000001</v>
      </c>
      <c r="AN266" s="79">
        <f t="shared" si="488"/>
        <v>207.38900000000001</v>
      </c>
      <c r="AO266" s="79">
        <f t="shared" si="488"/>
        <v>211.83099999999996</v>
      </c>
      <c r="AP266" s="79">
        <f t="shared" si="488"/>
        <v>212.59299999999999</v>
      </c>
      <c r="AQ266" s="79">
        <f>SUMIFS(AQ$236:AQ$245,$B$236:$B$245,$B266)</f>
        <v>238.83799999999999</v>
      </c>
      <c r="AR266" s="79">
        <f t="shared" si="489"/>
        <v>219.36699999999996</v>
      </c>
      <c r="AS266" s="79">
        <f t="shared" si="489"/>
        <v>254.28500000000008</v>
      </c>
      <c r="AT266" s="79">
        <f t="shared" si="489"/>
        <v>229.92899999999997</v>
      </c>
      <c r="AU266" s="79">
        <f>SUMIFS(AU$236:AU$245,$B$236:$B$245,$B266)</f>
        <v>273.375</v>
      </c>
      <c r="AV266" s="79">
        <f t="shared" si="490"/>
        <v>234.8850000000001</v>
      </c>
      <c r="AW266" s="79">
        <f t="shared" si="490"/>
        <v>222.24399999999997</v>
      </c>
      <c r="AX266" s="79">
        <f t="shared" si="490"/>
        <v>281.08499999999998</v>
      </c>
      <c r="AY266" s="79">
        <f>SUMIFS(AY$236:AY$245,$B$236:$B$245,$B266)</f>
        <v>125.601</v>
      </c>
      <c r="AZ266" s="79">
        <f t="shared" si="491"/>
        <v>270.89300000000003</v>
      </c>
      <c r="BA266" s="79">
        <f t="shared" si="491"/>
        <v>241.56099999999992</v>
      </c>
      <c r="BB266" s="79">
        <f t="shared" si="491"/>
        <v>207.29200000000003</v>
      </c>
      <c r="BC266" s="79">
        <f>SUMIFS(BC$236:BC$245,$B$236:$B$245,$B266)</f>
        <v>192.428</v>
      </c>
      <c r="BD266" s="79">
        <f t="shared" si="492"/>
        <v>252.14999999999998</v>
      </c>
      <c r="BE266" s="79">
        <f t="shared" si="492"/>
        <v>227.77800000000002</v>
      </c>
      <c r="BF266" s="79">
        <f t="shared" si="492"/>
        <v>195.10799999999998</v>
      </c>
      <c r="BG266" s="79">
        <f>SUMIFS(BG$236:BG$245,$B$236:$B$245,$B266)</f>
        <v>169.196</v>
      </c>
      <c r="BH266" s="56">
        <f t="shared" si="493"/>
        <v>242.39999999999998</v>
      </c>
      <c r="BI266" s="56">
        <f t="shared" si="493"/>
        <v>178.46200000000005</v>
      </c>
      <c r="BJ266" s="56">
        <f t="shared" si="493"/>
        <v>179.33399999999997</v>
      </c>
      <c r="BK266" s="56">
        <f>SUMIFS(BK$236:BK$245,$B$236:$B$245,$B266)</f>
        <v>126.102</v>
      </c>
      <c r="BL266" s="56">
        <f t="shared" si="494"/>
        <v>222.24700000000001</v>
      </c>
      <c r="BM266" s="56">
        <f t="shared" si="494"/>
        <v>148.51900000000001</v>
      </c>
      <c r="BN266" s="56">
        <f t="shared" si="494"/>
        <v>157.41</v>
      </c>
      <c r="BO266" s="56">
        <f>SUMIFS(BO$236:BO$245,$B$236:$B$245,$B266)</f>
        <v>117.17400000000001</v>
      </c>
      <c r="BP266" s="56">
        <f t="shared" si="495"/>
        <v>173.15899999999996</v>
      </c>
      <c r="BQ266" s="56">
        <f t="shared" si="495"/>
        <v>58.966000000000008</v>
      </c>
      <c r="BR266" s="56">
        <f t="shared" si="495"/>
        <v>96.954999999999998</v>
      </c>
      <c r="BS266" s="56">
        <f>SUMIFS(BS$236:BS$245,$B$236:$B$245,$B266)</f>
        <v>42.325000000000003</v>
      </c>
    </row>
    <row r="267" spans="1:71" x14ac:dyDescent="0.25">
      <c r="A267" s="74">
        <v>267</v>
      </c>
      <c r="B267" s="76" t="s">
        <v>400</v>
      </c>
      <c r="C267" s="93">
        <f t="shared" ca="1" si="476"/>
        <v>0.3536299765807962</v>
      </c>
      <c r="D267" s="88"/>
      <c r="E267" s="94">
        <f t="shared" ca="1" si="477"/>
        <v>1.2936507936507935</v>
      </c>
      <c r="F267" s="79">
        <f t="shared" si="478"/>
        <v>578</v>
      </c>
      <c r="G267" s="330">
        <f t="shared" si="479"/>
        <v>427</v>
      </c>
      <c r="H267" s="79">
        <f t="shared" si="478"/>
        <v>433</v>
      </c>
      <c r="I267" s="79">
        <f t="shared" si="478"/>
        <v>297</v>
      </c>
      <c r="J267" s="79">
        <f t="shared" si="478"/>
        <v>252</v>
      </c>
      <c r="K267" s="79">
        <f t="shared" si="480"/>
        <v>163</v>
      </c>
      <c r="L267" s="79">
        <f t="shared" si="478"/>
        <v>259</v>
      </c>
      <c r="M267" s="79">
        <f t="shared" si="478"/>
        <v>381</v>
      </c>
      <c r="N267" s="79">
        <f t="shared" si="478"/>
        <v>280</v>
      </c>
      <c r="O267" s="79">
        <f t="shared" si="481"/>
        <v>243</v>
      </c>
      <c r="P267" s="79">
        <f t="shared" si="478"/>
        <v>381</v>
      </c>
      <c r="Q267" s="79">
        <f t="shared" si="478"/>
        <v>311</v>
      </c>
      <c r="R267" s="79">
        <f t="shared" si="478"/>
        <v>324</v>
      </c>
      <c r="S267" s="79">
        <f t="shared" si="482"/>
        <v>223</v>
      </c>
      <c r="T267" s="404"/>
      <c r="U267" s="404"/>
      <c r="V267" s="404"/>
      <c r="W267" s="404"/>
      <c r="X267" s="79">
        <f t="shared" si="478"/>
        <v>307</v>
      </c>
      <c r="Y267" s="79">
        <f t="shared" si="478"/>
        <v>287</v>
      </c>
      <c r="Z267" s="79">
        <f t="shared" si="478"/>
        <v>376</v>
      </c>
      <c r="AA267" s="79">
        <f t="shared" si="483"/>
        <v>154</v>
      </c>
      <c r="AB267" s="79">
        <f t="shared" si="484"/>
        <v>95.14100000000002</v>
      </c>
      <c r="AC267" s="79">
        <f t="shared" si="484"/>
        <v>111.47099999999998</v>
      </c>
      <c r="AD267" s="79">
        <f t="shared" si="484"/>
        <v>104.438</v>
      </c>
      <c r="AE267" s="79">
        <f t="shared" si="485"/>
        <v>107.95</v>
      </c>
      <c r="AF267" s="79">
        <f t="shared" si="486"/>
        <v>146.12011598000004</v>
      </c>
      <c r="AG267" s="79">
        <f t="shared" si="486"/>
        <v>199.54045295</v>
      </c>
      <c r="AH267" s="79">
        <f t="shared" si="486"/>
        <v>108.76666901999999</v>
      </c>
      <c r="AI267" s="79">
        <f>SUMIFS(AI$236:AI$245,$B$236:$B$245,$B267)</f>
        <v>130.02376204999999</v>
      </c>
      <c r="AJ267" s="79">
        <f t="shared" si="487"/>
        <v>46.648499510000001</v>
      </c>
      <c r="AK267" s="79">
        <f t="shared" si="487"/>
        <v>6.7387371200000015</v>
      </c>
      <c r="AL267" s="79">
        <f t="shared" si="487"/>
        <v>5.5361541300000008</v>
      </c>
      <c r="AM267" s="79">
        <f>SUMIFS(AM$236:AM$245,$B$236:$B$245,$B267)</f>
        <v>3.9716092400000003</v>
      </c>
      <c r="AN267" s="79">
        <f t="shared" si="488"/>
        <v>0</v>
      </c>
      <c r="AO267" s="79">
        <f t="shared" si="488"/>
        <v>0</v>
      </c>
      <c r="AP267" s="79">
        <f t="shared" si="488"/>
        <v>0</v>
      </c>
      <c r="AQ267" s="79">
        <f>SUMIFS(AQ$236:AQ$245,$B$236:$B$245,$B267)</f>
        <v>0</v>
      </c>
      <c r="AR267" s="79">
        <f t="shared" si="489"/>
        <v>0</v>
      </c>
      <c r="AS267" s="79">
        <f t="shared" si="489"/>
        <v>0</v>
      </c>
      <c r="AT267" s="79">
        <f t="shared" si="489"/>
        <v>0</v>
      </c>
      <c r="AU267" s="79">
        <f>SUMIFS(AU$236:AU$245,$B$236:$B$245,$B267)</f>
        <v>0</v>
      </c>
      <c r="AV267" s="79">
        <f t="shared" si="490"/>
        <v>0</v>
      </c>
      <c r="AW267" s="79">
        <f t="shared" si="490"/>
        <v>0</v>
      </c>
      <c r="AX267" s="79">
        <f t="shared" si="490"/>
        <v>0</v>
      </c>
      <c r="AY267" s="79">
        <f>SUMIFS(AY$236:AY$245,$B$236:$B$245,$B267)</f>
        <v>0</v>
      </c>
      <c r="AZ267" s="79">
        <f t="shared" si="491"/>
        <v>0</v>
      </c>
      <c r="BA267" s="79">
        <f t="shared" si="491"/>
        <v>0</v>
      </c>
      <c r="BB267" s="79">
        <f t="shared" si="491"/>
        <v>0</v>
      </c>
      <c r="BC267" s="79">
        <f>SUMIFS(BC$236:BC$245,$B$236:$B$245,$B267)</f>
        <v>0</v>
      </c>
      <c r="BD267" s="79">
        <f t="shared" si="492"/>
        <v>0</v>
      </c>
      <c r="BE267" s="79">
        <f t="shared" si="492"/>
        <v>0</v>
      </c>
      <c r="BF267" s="79">
        <f t="shared" si="492"/>
        <v>0</v>
      </c>
      <c r="BG267" s="79">
        <f>SUMIFS(BG$236:BG$245,$B$236:$B$245,$B267)</f>
        <v>0</v>
      </c>
      <c r="BH267" s="56">
        <f t="shared" si="493"/>
        <v>0</v>
      </c>
      <c r="BI267" s="56">
        <f t="shared" si="493"/>
        <v>0</v>
      </c>
      <c r="BJ267" s="56">
        <f t="shared" si="493"/>
        <v>0</v>
      </c>
      <c r="BK267" s="56">
        <f>SUMIFS(BK$236:BK$245,$B$236:$B$245,$B267)</f>
        <v>0</v>
      </c>
      <c r="BL267" s="56">
        <f t="shared" si="494"/>
        <v>0</v>
      </c>
      <c r="BM267" s="56">
        <f t="shared" si="494"/>
        <v>0</v>
      </c>
      <c r="BN267" s="56">
        <f t="shared" si="494"/>
        <v>0</v>
      </c>
      <c r="BO267" s="56">
        <f>SUMIFS(BO$236:BO$245,$B$236:$B$245,$B267)</f>
        <v>0</v>
      </c>
      <c r="BP267" s="56">
        <f t="shared" si="495"/>
        <v>0</v>
      </c>
      <c r="BQ267" s="56">
        <f t="shared" si="495"/>
        <v>0</v>
      </c>
      <c r="BR267" s="56">
        <f t="shared" si="495"/>
        <v>0</v>
      </c>
      <c r="BS267" s="56">
        <f>SUMIFS(BS$236:BS$245,$B$236:$B$245,$B267)</f>
        <v>0</v>
      </c>
    </row>
    <row r="268" spans="1:71" x14ac:dyDescent="0.25">
      <c r="A268" s="74">
        <v>268</v>
      </c>
      <c r="B268" s="76" t="s">
        <v>208</v>
      </c>
      <c r="C268" s="93">
        <f t="shared" ca="1" si="476"/>
        <v>7.6923076923076872E-2</v>
      </c>
      <c r="D268" s="88"/>
      <c r="E268" s="94">
        <f t="shared" ca="1" si="477"/>
        <v>-0.125</v>
      </c>
      <c r="F268" s="79">
        <f t="shared" si="478"/>
        <v>42</v>
      </c>
      <c r="G268" s="330">
        <f t="shared" si="479"/>
        <v>39</v>
      </c>
      <c r="H268" s="79">
        <f t="shared" si="478"/>
        <v>52</v>
      </c>
      <c r="I268" s="79">
        <f t="shared" si="478"/>
        <v>61</v>
      </c>
      <c r="J268" s="79">
        <f t="shared" si="478"/>
        <v>48</v>
      </c>
      <c r="K268" s="79">
        <f t="shared" si="480"/>
        <v>47</v>
      </c>
      <c r="L268" s="79">
        <f t="shared" si="478"/>
        <v>60</v>
      </c>
      <c r="M268" s="79">
        <f t="shared" si="478"/>
        <v>53</v>
      </c>
      <c r="N268" s="79">
        <f t="shared" si="478"/>
        <v>77</v>
      </c>
      <c r="O268" s="79">
        <f t="shared" si="481"/>
        <v>78</v>
      </c>
      <c r="P268" s="79">
        <f t="shared" si="478"/>
        <v>63</v>
      </c>
      <c r="Q268" s="79">
        <f t="shared" si="478"/>
        <v>66</v>
      </c>
      <c r="R268" s="79">
        <f t="shared" si="478"/>
        <v>52</v>
      </c>
      <c r="S268" s="79">
        <f t="shared" si="482"/>
        <v>55</v>
      </c>
      <c r="T268" s="404"/>
      <c r="U268" s="404"/>
      <c r="V268" s="404"/>
      <c r="W268" s="404"/>
      <c r="X268" s="79">
        <f t="shared" si="478"/>
        <v>55</v>
      </c>
      <c r="Y268" s="79">
        <f t="shared" si="478"/>
        <v>45</v>
      </c>
      <c r="Z268" s="79">
        <f t="shared" si="478"/>
        <v>53</v>
      </c>
      <c r="AA268" s="79">
        <f t="shared" si="483"/>
        <v>44</v>
      </c>
      <c r="AB268" s="79">
        <f t="shared" si="484"/>
        <v>72.490000000000009</v>
      </c>
      <c r="AC268" s="79">
        <f t="shared" si="484"/>
        <v>51.022999999999996</v>
      </c>
      <c r="AD268" s="79">
        <f t="shared" si="484"/>
        <v>41.116999999999997</v>
      </c>
      <c r="AE268" s="79">
        <f t="shared" si="485"/>
        <v>53.37</v>
      </c>
      <c r="AF268" s="79">
        <f t="shared" si="486"/>
        <v>73.607999999999976</v>
      </c>
      <c r="AG268" s="79">
        <f t="shared" si="486"/>
        <v>78.367000000000004</v>
      </c>
      <c r="AH268" s="79">
        <f t="shared" si="486"/>
        <v>46.049000000000007</v>
      </c>
      <c r="AI268" s="79">
        <f>SUMIFS(AI$236:AI$245,$B$236:$B$245,$B268)</f>
        <v>46.741</v>
      </c>
      <c r="AJ268" s="79">
        <f t="shared" si="487"/>
        <v>71.805000000000007</v>
      </c>
      <c r="AK268" s="79">
        <f t="shared" si="487"/>
        <v>62.497</v>
      </c>
      <c r="AL268" s="79">
        <f t="shared" si="487"/>
        <v>65.706999999999994</v>
      </c>
      <c r="AM268" s="79">
        <f>SUMIFS(AM$236:AM$245,$B$236:$B$245,$B268)</f>
        <v>59.231000000000002</v>
      </c>
      <c r="AN268" s="79">
        <f t="shared" si="488"/>
        <v>77.025000000000006</v>
      </c>
      <c r="AO268" s="79">
        <f t="shared" si="488"/>
        <v>65.613000000000014</v>
      </c>
      <c r="AP268" s="79">
        <f t="shared" si="488"/>
        <v>65.73299999999999</v>
      </c>
      <c r="AQ268" s="79">
        <f>SUMIFS(AQ$236:AQ$245,$B$236:$B$245,$B268)</f>
        <v>60.965000000000003</v>
      </c>
      <c r="AR268" s="79">
        <f t="shared" si="489"/>
        <v>83.219000000000023</v>
      </c>
      <c r="AS268" s="79">
        <f t="shared" si="489"/>
        <v>75.87700000000001</v>
      </c>
      <c r="AT268" s="79">
        <f t="shared" si="489"/>
        <v>82.198999999999998</v>
      </c>
      <c r="AU268" s="79">
        <f>SUMIFS(AU$236:AU$245,$B$236:$B$245,$B268)</f>
        <v>73.001999999999995</v>
      </c>
      <c r="AV268" s="79">
        <f t="shared" si="490"/>
        <v>72.054000000000002</v>
      </c>
      <c r="AW268" s="79">
        <f t="shared" si="490"/>
        <v>59.745000000000005</v>
      </c>
      <c r="AX268" s="79">
        <f t="shared" si="490"/>
        <v>59.000999999999998</v>
      </c>
      <c r="AY268" s="79">
        <f>SUMIFS(AY$236:AY$245,$B$236:$B$245,$B268)</f>
        <v>52.213000000000001</v>
      </c>
      <c r="AZ268" s="79">
        <f t="shared" si="491"/>
        <v>54.410999999999973</v>
      </c>
      <c r="BA268" s="79">
        <f t="shared" si="491"/>
        <v>89.172000000000025</v>
      </c>
      <c r="BB268" s="79">
        <f t="shared" si="491"/>
        <v>102.88199999999999</v>
      </c>
      <c r="BC268" s="79">
        <f>SUMIFS(BC$236:BC$245,$B$236:$B$245,$B268)</f>
        <v>56.3</v>
      </c>
      <c r="BD268" s="79">
        <f t="shared" si="492"/>
        <v>68.260000000000019</v>
      </c>
      <c r="BE268" s="79">
        <f t="shared" si="492"/>
        <v>47.861999999999995</v>
      </c>
      <c r="BF268" s="79">
        <f t="shared" si="492"/>
        <v>45.336999999999996</v>
      </c>
      <c r="BG268" s="79">
        <f>SUMIFS(BG$236:BG$245,$B$236:$B$245,$B268)</f>
        <v>37.252000000000002</v>
      </c>
      <c r="BH268" s="56">
        <f t="shared" si="493"/>
        <v>52.648000000000025</v>
      </c>
      <c r="BI268" s="56">
        <f t="shared" si="493"/>
        <v>46.147999999999982</v>
      </c>
      <c r="BJ268" s="56">
        <f t="shared" si="493"/>
        <v>48.555000000000007</v>
      </c>
      <c r="BK268" s="56">
        <f>SUMIFS(BK$236:BK$245,$B$236:$B$245,$B268)</f>
        <v>41.741</v>
      </c>
      <c r="BL268" s="56">
        <f t="shared" si="494"/>
        <v>55.387</v>
      </c>
      <c r="BM268" s="56">
        <f t="shared" si="494"/>
        <v>48.995999999999995</v>
      </c>
      <c r="BN268" s="56">
        <f t="shared" si="494"/>
        <v>49.076999999999998</v>
      </c>
      <c r="BO268" s="56">
        <f>SUMIFS(BO$236:BO$245,$B$236:$B$245,$B268)</f>
        <v>42.253</v>
      </c>
      <c r="BP268" s="56">
        <f t="shared" si="495"/>
        <v>61.706999999999994</v>
      </c>
      <c r="BQ268" s="56">
        <f t="shared" si="495"/>
        <v>50.819000000000003</v>
      </c>
      <c r="BR268" s="56">
        <f t="shared" si="495"/>
        <v>48.745999999999995</v>
      </c>
      <c r="BS268" s="56">
        <f>SUMIFS(BS$236:BS$245,$B$236:$B$245,$B268)</f>
        <v>43.338999999999999</v>
      </c>
    </row>
    <row r="269" spans="1:71" x14ac:dyDescent="0.25">
      <c r="A269" s="74">
        <v>269</v>
      </c>
      <c r="B269" s="76" t="s">
        <v>412</v>
      </c>
      <c r="C269" s="93"/>
      <c r="D269" s="88"/>
      <c r="E269" s="94"/>
      <c r="F269" s="79">
        <f t="shared" si="478"/>
        <v>0</v>
      </c>
      <c r="G269" s="330">
        <f t="shared" si="479"/>
        <v>0</v>
      </c>
      <c r="H269" s="79">
        <f t="shared" si="478"/>
        <v>0</v>
      </c>
      <c r="I269" s="79">
        <f t="shared" si="478"/>
        <v>0</v>
      </c>
      <c r="J269" s="79">
        <f t="shared" si="478"/>
        <v>0</v>
      </c>
      <c r="K269" s="79">
        <f t="shared" si="480"/>
        <v>0</v>
      </c>
      <c r="L269" s="79">
        <f t="shared" si="478"/>
        <v>0</v>
      </c>
      <c r="M269" s="79">
        <f t="shared" si="478"/>
        <v>0</v>
      </c>
      <c r="N269" s="79">
        <f t="shared" si="478"/>
        <v>0</v>
      </c>
      <c r="O269" s="79">
        <f t="shared" si="481"/>
        <v>0</v>
      </c>
      <c r="P269" s="79">
        <f t="shared" si="478"/>
        <v>0</v>
      </c>
      <c r="Q269" s="79">
        <f t="shared" si="478"/>
        <v>0</v>
      </c>
      <c r="R269" s="79">
        <f t="shared" si="478"/>
        <v>5</v>
      </c>
      <c r="S269" s="79">
        <f t="shared" si="482"/>
        <v>30</v>
      </c>
      <c r="T269" s="404"/>
      <c r="U269" s="404"/>
      <c r="V269" s="404"/>
      <c r="W269" s="404"/>
      <c r="X269" s="79">
        <f t="shared" si="478"/>
        <v>47</v>
      </c>
      <c r="Y269" s="79">
        <f t="shared" si="478"/>
        <v>50</v>
      </c>
      <c r="Z269" s="79">
        <f t="shared" si="478"/>
        <v>70</v>
      </c>
      <c r="AA269" s="79">
        <f t="shared" si="483"/>
        <v>27</v>
      </c>
      <c r="AB269" s="79">
        <f t="shared" si="484"/>
        <v>16.864999999999995</v>
      </c>
      <c r="AC269" s="79">
        <f t="shared" si="484"/>
        <v>37.042000000000002</v>
      </c>
      <c r="AD269" s="79">
        <f t="shared" si="484"/>
        <v>37.789000000000001</v>
      </c>
      <c r="AE269" s="79">
        <f t="shared" si="485"/>
        <v>14.304</v>
      </c>
      <c r="AF269" s="79">
        <f t="shared" si="486"/>
        <v>29.356000000000002</v>
      </c>
      <c r="AG269" s="79">
        <f t="shared" si="486"/>
        <v>13.806999999999999</v>
      </c>
      <c r="AH269" s="79">
        <f t="shared" si="486"/>
        <v>10.636999999999999</v>
      </c>
      <c r="AI269" s="79">
        <f>SUMIFS(AI$236:AI$245,$B$236:$B$245,$B269)-SUMIFS(AJ$236:AJ$245,$B$236:$B$245,$B269)</f>
        <v>8.4380000000000006</v>
      </c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</row>
    <row r="270" spans="1:71" x14ac:dyDescent="0.25">
      <c r="A270" s="74">
        <v>270</v>
      </c>
      <c r="B270" s="76" t="s">
        <v>209</v>
      </c>
      <c r="C270" s="93">
        <f t="shared" ca="1" si="476"/>
        <v>4.5454545454545414E-2</v>
      </c>
      <c r="D270" s="88"/>
      <c r="E270" s="94">
        <f t="shared" ca="1" si="477"/>
        <v>9.5238095238095344E-2</v>
      </c>
      <c r="F270" s="79">
        <f t="shared" si="478"/>
        <v>23</v>
      </c>
      <c r="G270" s="330">
        <f t="shared" si="479"/>
        <v>22</v>
      </c>
      <c r="H270" s="79">
        <f t="shared" si="478"/>
        <v>25</v>
      </c>
      <c r="I270" s="79">
        <f t="shared" si="478"/>
        <v>22</v>
      </c>
      <c r="J270" s="79">
        <f t="shared" si="478"/>
        <v>21</v>
      </c>
      <c r="K270" s="79">
        <f t="shared" si="480"/>
        <v>21</v>
      </c>
      <c r="L270" s="79">
        <f t="shared" si="478"/>
        <v>22</v>
      </c>
      <c r="M270" s="79">
        <f t="shared" si="478"/>
        <v>23</v>
      </c>
      <c r="N270" s="79">
        <f t="shared" si="478"/>
        <v>22</v>
      </c>
      <c r="O270" s="79">
        <f t="shared" si="481"/>
        <v>20</v>
      </c>
      <c r="P270" s="79">
        <f t="shared" si="478"/>
        <v>19</v>
      </c>
      <c r="Q270" s="79">
        <f t="shared" si="478"/>
        <v>20</v>
      </c>
      <c r="R270" s="79">
        <f t="shared" si="478"/>
        <v>20</v>
      </c>
      <c r="S270" s="79">
        <f t="shared" si="482"/>
        <v>18</v>
      </c>
      <c r="T270" s="404"/>
      <c r="U270" s="404"/>
      <c r="V270" s="404"/>
      <c r="W270" s="404"/>
      <c r="X270" s="79">
        <f t="shared" si="478"/>
        <v>26</v>
      </c>
      <c r="Y270" s="79">
        <f t="shared" si="478"/>
        <v>27</v>
      </c>
      <c r="Z270" s="79">
        <f t="shared" si="478"/>
        <v>30</v>
      </c>
      <c r="AA270" s="79">
        <f t="shared" si="483"/>
        <v>28</v>
      </c>
      <c r="AB270" s="79">
        <f t="shared" si="484"/>
        <v>31.603999999999999</v>
      </c>
      <c r="AC270" s="79">
        <f t="shared" si="484"/>
        <v>26.524000000000001</v>
      </c>
      <c r="AD270" s="79">
        <f t="shared" si="484"/>
        <v>19.947000000000003</v>
      </c>
      <c r="AE270" s="79">
        <f t="shared" si="485"/>
        <v>35.924999999999997</v>
      </c>
      <c r="AF270" s="79">
        <f t="shared" si="486"/>
        <v>41.201999999999998</v>
      </c>
      <c r="AG270" s="79">
        <f t="shared" si="486"/>
        <v>31.897999999999996</v>
      </c>
      <c r="AH270" s="79">
        <f t="shared" si="486"/>
        <v>56.364999999999995</v>
      </c>
      <c r="AI270" s="79">
        <f>SUMIFS(AI$236:AI$245,$B$236:$B$245,$B270)</f>
        <v>46.747</v>
      </c>
      <c r="AJ270" s="79">
        <f t="shared" ref="AJ270:AL272" si="496">SUMIFS(AJ$236:AJ$245,$B$236:$B$245,$B270)-SUMIFS(AK$236:AK$245,$B$236:$B$245,$B270)</f>
        <v>50.620000000000005</v>
      </c>
      <c r="AK270" s="79">
        <f t="shared" si="496"/>
        <v>52.367999999999995</v>
      </c>
      <c r="AL270" s="79">
        <f t="shared" si="496"/>
        <v>47.508000000000003</v>
      </c>
      <c r="AM270" s="79">
        <f>SUMIFS(AM$236:AM$245,$B$236:$B$245,$B270)</f>
        <v>46.015999999999998</v>
      </c>
      <c r="AN270" s="79">
        <f t="shared" ref="AN270:AP272" si="497">SUMIFS(AN$236:AN$245,$B$236:$B$245,$B270)-SUMIFS(AO$236:AO$245,$B$236:$B$245,$B270)</f>
        <v>49.610000000000014</v>
      </c>
      <c r="AO270" s="79">
        <f t="shared" si="497"/>
        <v>47.813000000000002</v>
      </c>
      <c r="AP270" s="79">
        <f t="shared" si="497"/>
        <v>54.501999999999995</v>
      </c>
      <c r="AQ270" s="79">
        <f>SUMIFS(AQ$236:AQ$245,$B$236:$B$245,$B270)</f>
        <v>50.957999999999998</v>
      </c>
      <c r="AR270" s="79">
        <f t="shared" ref="AR270:AT272" si="498">SUMIFS(AR$236:AR$245,$B$236:$B$245,$B270)-SUMIFS(AS$236:AS$245,$B$236:$B$245,$B270)</f>
        <v>51.087999999999994</v>
      </c>
      <c r="AS270" s="79">
        <f t="shared" si="498"/>
        <v>50.391999999999996</v>
      </c>
      <c r="AT270" s="79">
        <f t="shared" si="498"/>
        <v>44.779000000000003</v>
      </c>
      <c r="AU270" s="79">
        <f>SUMIFS(AU$236:AU$245,$B$236:$B$245,$B270)</f>
        <v>44.048999999999999</v>
      </c>
      <c r="AV270" s="79">
        <f t="shared" ref="AV270:AX272" si="499">SUMIFS(AV$236:AV$245,$B$236:$B$245,$B270)-SUMIFS(AW$236:AW$245,$B$236:$B$245,$B270)</f>
        <v>43.412000000000006</v>
      </c>
      <c r="AW270" s="79">
        <f t="shared" si="499"/>
        <v>41.167000000000002</v>
      </c>
      <c r="AX270" s="79">
        <f t="shared" si="499"/>
        <v>42.8</v>
      </c>
      <c r="AY270" s="79">
        <f>SUMIFS(AY$236:AY$245,$B$236:$B$245,$B270)</f>
        <v>40.412999999999997</v>
      </c>
      <c r="AZ270" s="79">
        <f t="shared" ref="AZ270:BB272" si="500">SUMIFS(AZ$236:AZ$245,$B$236:$B$245,$B270)-SUMIFS(BA$236:BA$245,$B$236:$B$245,$B270)</f>
        <v>41.371999999999986</v>
      </c>
      <c r="BA270" s="79">
        <f t="shared" si="500"/>
        <v>38.619</v>
      </c>
      <c r="BB270" s="79">
        <f t="shared" si="500"/>
        <v>40.937000000000005</v>
      </c>
      <c r="BC270" s="79">
        <f>SUMIFS(BC$236:BC$245,$B$236:$B$245,$B270)</f>
        <v>39.247999999999998</v>
      </c>
      <c r="BD270" s="79">
        <f t="shared" ref="BD270:BF272" si="501">SUMIFS(BD$236:BD$245,$B$236:$B$245,$B270)-SUMIFS(BE$236:BE$245,$B$236:$B$245,$B270)</f>
        <v>38.160999999999987</v>
      </c>
      <c r="BE270" s="79">
        <f t="shared" si="501"/>
        <v>35.681000000000012</v>
      </c>
      <c r="BF270" s="79">
        <f t="shared" si="501"/>
        <v>41.330999999999996</v>
      </c>
      <c r="BG270" s="79">
        <f>SUMIFS(BG$236:BG$245,$B$236:$B$245,$B270)</f>
        <v>38.878999999999998</v>
      </c>
      <c r="BH270" s="56">
        <f t="shared" ref="BH270:BJ272" si="502">SUMIFS(BH$236:BH$245,$B$236:$B$245,$B270)-SUMIFS(BI$236:BI$245,$B$236:$B$245,$B270)</f>
        <v>38.082999999999998</v>
      </c>
      <c r="BI270" s="56">
        <f t="shared" si="502"/>
        <v>34.542999999999992</v>
      </c>
      <c r="BJ270" s="56">
        <f t="shared" si="502"/>
        <v>32.564999999999998</v>
      </c>
      <c r="BK270" s="56">
        <f>SUMIFS(BK$236:BK$245,$B$236:$B$245,$B270)</f>
        <v>28.855</v>
      </c>
      <c r="BL270" s="56">
        <f t="shared" ref="BL270:BN272" si="503">SUMIFS(BL$236:BL$245,$B$236:$B$245,$B270)-SUMIFS(BM$236:BM$245,$B$236:$B$245,$B270)</f>
        <v>31.460000000000008</v>
      </c>
      <c r="BM270" s="56">
        <f t="shared" si="503"/>
        <v>28.330999999999996</v>
      </c>
      <c r="BN270" s="56">
        <f t="shared" si="503"/>
        <v>28.356000000000002</v>
      </c>
      <c r="BO270" s="56">
        <f>SUMIFS(BO$236:BO$245,$B$236:$B$245,$B270)</f>
        <v>24.015000000000001</v>
      </c>
      <c r="BP270" s="56">
        <f t="shared" ref="BP270:BR272" si="504">SUMIFS(BP$236:BP$245,$B$236:$B$245,$B270)-SUMIFS(BQ$236:BQ$245,$B$236:$B$245,$B270)</f>
        <v>26.715000000000003</v>
      </c>
      <c r="BQ270" s="56">
        <f t="shared" si="504"/>
        <v>25.449999999999996</v>
      </c>
      <c r="BR270" s="56">
        <f t="shared" si="504"/>
        <v>24.745000000000005</v>
      </c>
      <c r="BS270" s="56">
        <f>SUMIFS(BS$236:BS$245,$B$236:$B$245,$B270)</f>
        <v>20.905999999999999</v>
      </c>
    </row>
    <row r="271" spans="1:71" x14ac:dyDescent="0.25">
      <c r="A271" s="74">
        <v>271</v>
      </c>
      <c r="B271" s="76" t="s">
        <v>210</v>
      </c>
      <c r="C271" s="93">
        <f t="shared" ca="1" si="476"/>
        <v>0</v>
      </c>
      <c r="D271" s="88"/>
      <c r="E271" s="94">
        <f t="shared" ca="1" si="477"/>
        <v>-6.25E-2</v>
      </c>
      <c r="F271" s="79">
        <f t="shared" si="478"/>
        <v>15</v>
      </c>
      <c r="G271" s="330">
        <f t="shared" si="479"/>
        <v>15</v>
      </c>
      <c r="H271" s="79">
        <f t="shared" si="478"/>
        <v>15</v>
      </c>
      <c r="I271" s="79">
        <f t="shared" si="478"/>
        <v>16</v>
      </c>
      <c r="J271" s="79">
        <f t="shared" si="478"/>
        <v>16</v>
      </c>
      <c r="K271" s="79">
        <f t="shared" si="480"/>
        <v>16</v>
      </c>
      <c r="L271" s="79">
        <f t="shared" si="478"/>
        <v>16</v>
      </c>
      <c r="M271" s="79">
        <f t="shared" si="478"/>
        <v>18</v>
      </c>
      <c r="N271" s="79">
        <f t="shared" si="478"/>
        <v>18</v>
      </c>
      <c r="O271" s="79">
        <f t="shared" si="481"/>
        <v>17</v>
      </c>
      <c r="P271" s="79">
        <f t="shared" si="478"/>
        <v>17</v>
      </c>
      <c r="Q271" s="79">
        <f t="shared" si="478"/>
        <v>18</v>
      </c>
      <c r="R271" s="79">
        <f t="shared" si="478"/>
        <v>17</v>
      </c>
      <c r="S271" s="79">
        <f t="shared" si="482"/>
        <v>17</v>
      </c>
      <c r="T271" s="404"/>
      <c r="U271" s="404"/>
      <c r="V271" s="404"/>
      <c r="W271" s="404"/>
      <c r="X271" s="79">
        <f t="shared" si="478"/>
        <v>14</v>
      </c>
      <c r="Y271" s="79">
        <f t="shared" si="478"/>
        <v>15</v>
      </c>
      <c r="Z271" s="79">
        <f t="shared" si="478"/>
        <v>15</v>
      </c>
      <c r="AA271" s="79">
        <f t="shared" si="483"/>
        <v>14</v>
      </c>
      <c r="AB271" s="79">
        <f t="shared" si="484"/>
        <v>14.698999999999998</v>
      </c>
      <c r="AC271" s="79">
        <f t="shared" si="484"/>
        <v>14.655000000000001</v>
      </c>
      <c r="AD271" s="79">
        <f t="shared" si="484"/>
        <v>14.134</v>
      </c>
      <c r="AE271" s="79">
        <f t="shared" si="485"/>
        <v>14.512</v>
      </c>
      <c r="AF271" s="79">
        <f t="shared" si="486"/>
        <v>14.655999999999999</v>
      </c>
      <c r="AG271" s="79">
        <f t="shared" si="486"/>
        <v>14.745000000000001</v>
      </c>
      <c r="AH271" s="79">
        <f t="shared" si="486"/>
        <v>14.265000000000001</v>
      </c>
      <c r="AI271" s="79">
        <f>SUMIFS(AI$236:AI$245,$B$236:$B$245,$B271)</f>
        <v>13.922000000000001</v>
      </c>
      <c r="AJ271" s="79">
        <f t="shared" si="496"/>
        <v>14.326000000000001</v>
      </c>
      <c r="AK271" s="79">
        <f t="shared" si="496"/>
        <v>14.825000000000003</v>
      </c>
      <c r="AL271" s="79">
        <f t="shared" si="496"/>
        <v>14.885</v>
      </c>
      <c r="AM271" s="79">
        <f>SUMIFS(AM$236:AM$245,$B$236:$B$245,$B271)</f>
        <v>14.789</v>
      </c>
      <c r="AN271" s="79">
        <f t="shared" si="497"/>
        <v>16.309000000000005</v>
      </c>
      <c r="AO271" s="79">
        <f t="shared" si="497"/>
        <v>15.046999999999997</v>
      </c>
      <c r="AP271" s="79">
        <f t="shared" si="497"/>
        <v>14.642000000000001</v>
      </c>
      <c r="AQ271" s="79">
        <f>SUMIFS(AQ$236:AQ$245,$B$236:$B$245,$B271)</f>
        <v>12.769</v>
      </c>
      <c r="AR271" s="79">
        <f t="shared" si="498"/>
        <v>11.594000000000001</v>
      </c>
      <c r="AS271" s="79">
        <f t="shared" si="498"/>
        <v>10.768000000000001</v>
      </c>
      <c r="AT271" s="79">
        <f t="shared" si="498"/>
        <v>10.321000000000002</v>
      </c>
      <c r="AU271" s="79">
        <f>SUMIFS(AU$236:AU$245,$B$236:$B$245,$B271)</f>
        <v>9.77</v>
      </c>
      <c r="AV271" s="79">
        <f t="shared" si="499"/>
        <v>9.2379999999999995</v>
      </c>
      <c r="AW271" s="79">
        <f t="shared" si="499"/>
        <v>7.4510000000000005</v>
      </c>
      <c r="AX271" s="79">
        <f t="shared" si="499"/>
        <v>8.8660000000000014</v>
      </c>
      <c r="AY271" s="79">
        <f>SUMIFS(AY$236:AY$245,$B$236:$B$245,$B271)</f>
        <v>7.85</v>
      </c>
      <c r="AZ271" s="79">
        <f t="shared" si="500"/>
        <v>7.1980000000000004</v>
      </c>
      <c r="BA271" s="79">
        <f t="shared" si="500"/>
        <v>6.8989999999999991</v>
      </c>
      <c r="BB271" s="79">
        <f t="shared" si="500"/>
        <v>6.7319999999999993</v>
      </c>
      <c r="BC271" s="79">
        <f>SUMIFS(BC$236:BC$245,$B$236:$B$245,$B271)</f>
        <v>6.2690000000000001</v>
      </c>
      <c r="BD271" s="79">
        <f t="shared" si="501"/>
        <v>6.3459999999999965</v>
      </c>
      <c r="BE271" s="79">
        <f t="shared" si="501"/>
        <v>6.2430000000000021</v>
      </c>
      <c r="BF271" s="79">
        <f t="shared" si="501"/>
        <v>6.14</v>
      </c>
      <c r="BG271" s="79">
        <f>SUMIFS(BG$236:BG$245,$B$236:$B$245,$B271)</f>
        <v>5.851</v>
      </c>
      <c r="BH271" s="56">
        <f t="shared" si="502"/>
        <v>5.8999999999999986</v>
      </c>
      <c r="BI271" s="56">
        <f t="shared" si="502"/>
        <v>5.9040000000000017</v>
      </c>
      <c r="BJ271" s="56">
        <f t="shared" si="502"/>
        <v>5.6149999999999993</v>
      </c>
      <c r="BK271" s="56">
        <f>SUMIFS(BK$236:BK$245,$B$236:$B$245,$B271)</f>
        <v>5.5780000000000003</v>
      </c>
      <c r="BL271" s="56">
        <f t="shared" si="503"/>
        <v>5.4740000000000002</v>
      </c>
      <c r="BM271" s="56">
        <f t="shared" si="503"/>
        <v>5.3169999999999984</v>
      </c>
      <c r="BN271" s="56">
        <f t="shared" si="503"/>
        <v>4.9660000000000011</v>
      </c>
      <c r="BO271" s="56">
        <f>SUMIFS(BO$236:BO$245,$B$236:$B$245,$B271)</f>
        <v>4.6959999999999997</v>
      </c>
      <c r="BP271" s="56">
        <f t="shared" si="504"/>
        <v>4.8370000000000015</v>
      </c>
      <c r="BQ271" s="56">
        <f t="shared" si="504"/>
        <v>4.8189999999999991</v>
      </c>
      <c r="BR271" s="56">
        <f t="shared" si="504"/>
        <v>4.7300000000000004</v>
      </c>
      <c r="BS271" s="56">
        <f>SUMIFS(BS$236:BS$245,$B$236:$B$245,$B271)</f>
        <v>4.6470000000000002</v>
      </c>
    </row>
    <row r="272" spans="1:71" x14ac:dyDescent="0.25">
      <c r="A272" s="74">
        <v>272</v>
      </c>
      <c r="B272" s="76" t="s">
        <v>212</v>
      </c>
      <c r="C272" s="93"/>
      <c r="D272" s="88"/>
      <c r="E272" s="94"/>
      <c r="F272" s="79">
        <f t="shared" si="478"/>
        <v>0</v>
      </c>
      <c r="G272" s="330">
        <f t="shared" si="479"/>
        <v>0</v>
      </c>
      <c r="H272" s="79">
        <f t="shared" si="478"/>
        <v>0</v>
      </c>
      <c r="I272" s="79">
        <f t="shared" si="478"/>
        <v>0</v>
      </c>
      <c r="J272" s="79">
        <f t="shared" si="478"/>
        <v>0</v>
      </c>
      <c r="K272" s="79">
        <f t="shared" si="480"/>
        <v>0</v>
      </c>
      <c r="L272" s="79">
        <f t="shared" si="478"/>
        <v>0</v>
      </c>
      <c r="M272" s="79">
        <f t="shared" si="478"/>
        <v>0</v>
      </c>
      <c r="N272" s="79">
        <f t="shared" si="478"/>
        <v>0</v>
      </c>
      <c r="O272" s="79">
        <f t="shared" si="481"/>
        <v>0</v>
      </c>
      <c r="P272" s="79">
        <f t="shared" si="478"/>
        <v>0</v>
      </c>
      <c r="Q272" s="79">
        <f t="shared" si="478"/>
        <v>0</v>
      </c>
      <c r="R272" s="79">
        <f t="shared" si="478"/>
        <v>0</v>
      </c>
      <c r="S272" s="79">
        <f t="shared" si="482"/>
        <v>0</v>
      </c>
      <c r="T272" s="404"/>
      <c r="U272" s="404"/>
      <c r="V272" s="404"/>
      <c r="W272" s="404"/>
      <c r="X272" s="79">
        <f t="shared" si="478"/>
        <v>0</v>
      </c>
      <c r="Y272" s="79">
        <f t="shared" si="478"/>
        <v>0</v>
      </c>
      <c r="Z272" s="79">
        <f t="shared" si="478"/>
        <v>0</v>
      </c>
      <c r="AA272" s="79">
        <f t="shared" si="483"/>
        <v>0</v>
      </c>
      <c r="AB272" s="79">
        <f t="shared" si="484"/>
        <v>-0.20699999999999999</v>
      </c>
      <c r="AC272" s="79">
        <f t="shared" si="484"/>
        <v>6.8999999999999978E-2</v>
      </c>
      <c r="AD272" s="79">
        <f t="shared" si="484"/>
        <v>0.11200000000000002</v>
      </c>
      <c r="AE272" s="79">
        <f t="shared" si="485"/>
        <v>2.5999999999999999E-2</v>
      </c>
      <c r="AF272" s="79">
        <f t="shared" si="486"/>
        <v>0.55400000000000005</v>
      </c>
      <c r="AG272" s="79">
        <f t="shared" si="486"/>
        <v>0.75800000000000001</v>
      </c>
      <c r="AH272" s="79">
        <f t="shared" si="486"/>
        <v>0.65300000000000002</v>
      </c>
      <c r="AI272" s="79">
        <f>SUMIFS(AI$236:AI$245,$B$236:$B$245,$B272)</f>
        <v>0.50600000000000001</v>
      </c>
      <c r="AJ272" s="79">
        <f t="shared" si="496"/>
        <v>0.66699999999999982</v>
      </c>
      <c r="AK272" s="79">
        <f t="shared" si="496"/>
        <v>0.81600000000000028</v>
      </c>
      <c r="AL272" s="79">
        <f t="shared" si="496"/>
        <v>0.68099999999999994</v>
      </c>
      <c r="AM272" s="79">
        <f>SUMIFS(AM$236:AM$245,$B$236:$B$245,$B272)</f>
        <v>0.747</v>
      </c>
      <c r="AN272" s="79">
        <f t="shared" si="497"/>
        <v>0.99100000000000055</v>
      </c>
      <c r="AO272" s="79">
        <f t="shared" si="497"/>
        <v>1.2819999999999998</v>
      </c>
      <c r="AP272" s="79">
        <f t="shared" si="497"/>
        <v>1.034</v>
      </c>
      <c r="AQ272" s="79">
        <f>SUMIFS(AQ$236:AQ$245,$B$236:$B$245,$B272)</f>
        <v>0.77400000000000002</v>
      </c>
      <c r="AR272" s="79">
        <f t="shared" si="498"/>
        <v>1.0129999999999999</v>
      </c>
      <c r="AS272" s="79">
        <f t="shared" si="498"/>
        <v>1.157</v>
      </c>
      <c r="AT272" s="79">
        <f t="shared" si="498"/>
        <v>1.0750000000000002</v>
      </c>
      <c r="AU272" s="79">
        <f>SUMIFS(AU$236:AU$245,$B$236:$B$245,$B272)</f>
        <v>0.98099999999999998</v>
      </c>
      <c r="AV272" s="79">
        <f t="shared" si="499"/>
        <v>1.2530000000000001</v>
      </c>
      <c r="AW272" s="79">
        <f t="shared" si="499"/>
        <v>1.2569999999999979</v>
      </c>
      <c r="AX272" s="79">
        <f t="shared" si="499"/>
        <v>10.088999999999999</v>
      </c>
      <c r="AY272" s="79">
        <f>SUMIFS(AY$236:AY$245,$B$236:$B$245,$B272)</f>
        <v>24.347000000000001</v>
      </c>
      <c r="AZ272" s="79">
        <f t="shared" si="500"/>
        <v>36.720000000000013</v>
      </c>
      <c r="BA272" s="79">
        <f t="shared" si="500"/>
        <v>30.955999999999996</v>
      </c>
      <c r="BB272" s="79">
        <f t="shared" si="500"/>
        <v>2.8519999999999968</v>
      </c>
      <c r="BC272" s="79">
        <f>SUMIFS(BC$236:BC$245,$B$236:$B$245,$B272)</f>
        <v>50.631</v>
      </c>
      <c r="BD272" s="79">
        <f t="shared" si="501"/>
        <v>1.793000000000001</v>
      </c>
      <c r="BE272" s="79">
        <f t="shared" si="501"/>
        <v>2.5569999999999995</v>
      </c>
      <c r="BF272" s="79">
        <f t="shared" si="501"/>
        <v>2.38</v>
      </c>
      <c r="BG272" s="79">
        <f>SUMIFS(BG$236:BG$245,$B$236:$B$245,$B272)</f>
        <v>3.5960000000000001</v>
      </c>
      <c r="BH272" s="56">
        <f t="shared" si="502"/>
        <v>3.4190000000000005</v>
      </c>
      <c r="BI272" s="56">
        <f t="shared" si="502"/>
        <v>3.9989999999999988</v>
      </c>
      <c r="BJ272" s="56">
        <f t="shared" si="502"/>
        <v>3.3510000000000004</v>
      </c>
      <c r="BK272" s="56">
        <f>SUMIFS(BK$236:BK$245,$B$236:$B$245,$B272)</f>
        <v>2.456</v>
      </c>
      <c r="BL272" s="56">
        <f t="shared" si="503"/>
        <v>7.0039999999999978</v>
      </c>
      <c r="BM272" s="56">
        <f t="shared" si="503"/>
        <v>9.1720000000000006</v>
      </c>
      <c r="BN272" s="56">
        <f t="shared" si="503"/>
        <v>9.1080000000000005</v>
      </c>
      <c r="BO272" s="56">
        <f>SUMIFS(BO$236:BO$245,$B$236:$B$245,$B272)</f>
        <v>4.8570000000000002</v>
      </c>
      <c r="BP272" s="56">
        <f t="shared" si="504"/>
        <v>6.66</v>
      </c>
      <c r="BQ272" s="56">
        <f t="shared" si="504"/>
        <v>6.3650000000000002</v>
      </c>
      <c r="BR272" s="56">
        <f t="shared" si="504"/>
        <v>5.508</v>
      </c>
      <c r="BS272" s="56">
        <f>SUMIFS(BS$236:BS$245,$B$236:$B$245,$B272)</f>
        <v>4.1710000000000003</v>
      </c>
    </row>
    <row r="273" spans="1:71" x14ac:dyDescent="0.25">
      <c r="A273" s="74">
        <v>273</v>
      </c>
      <c r="B273" s="76" t="s">
        <v>60</v>
      </c>
      <c r="C273" s="93">
        <f ca="1">OFFSET($E$7,$A273-$A$7,1,1,1)/OFFSET($E$7,$A273-$A$7,2,1,1)-1</f>
        <v>0.12142857142857144</v>
      </c>
      <c r="D273" s="88"/>
      <c r="E273" s="94">
        <f ca="1">OFFSET($E$7,$A273-$A$7,1,1,1)/OFFSET($E$7,$A273-$A$7,5,1,1)-1</f>
        <v>2.0192307692307692</v>
      </c>
      <c r="F273" s="79">
        <f t="shared" ref="F273:AD273" si="505">SUMIFS(F$236:F$245,$B$236:$B$245,$B273)-SUMIFS(G$236:G$245,$B$236:$B$245,$B273)</f>
        <v>157</v>
      </c>
      <c r="G273" s="330">
        <f t="shared" si="479"/>
        <v>140</v>
      </c>
      <c r="H273" s="79">
        <f t="shared" si="505"/>
        <v>180</v>
      </c>
      <c r="I273" s="79">
        <f t="shared" si="505"/>
        <v>99</v>
      </c>
      <c r="J273" s="79">
        <f t="shared" si="505"/>
        <v>52</v>
      </c>
      <c r="K273" s="79">
        <f t="shared" si="480"/>
        <v>98</v>
      </c>
      <c r="L273" s="79">
        <f t="shared" si="505"/>
        <v>60</v>
      </c>
      <c r="M273" s="79">
        <f t="shared" si="505"/>
        <v>80</v>
      </c>
      <c r="N273" s="79">
        <f t="shared" si="505"/>
        <v>107</v>
      </c>
      <c r="O273" s="79">
        <f t="shared" si="481"/>
        <v>102</v>
      </c>
      <c r="P273" s="79">
        <f t="shared" si="505"/>
        <v>60</v>
      </c>
      <c r="Q273" s="79">
        <f t="shared" si="505"/>
        <v>52</v>
      </c>
      <c r="R273" s="79">
        <f t="shared" si="505"/>
        <v>52</v>
      </c>
      <c r="S273" s="79">
        <f t="shared" si="482"/>
        <v>56</v>
      </c>
      <c r="T273" s="404"/>
      <c r="U273" s="404"/>
      <c r="V273" s="404"/>
      <c r="W273" s="404"/>
      <c r="X273" s="79">
        <f t="shared" si="505"/>
        <v>52</v>
      </c>
      <c r="Y273" s="79">
        <f t="shared" si="505"/>
        <v>33</v>
      </c>
      <c r="Z273" s="79">
        <f t="shared" si="505"/>
        <v>50</v>
      </c>
      <c r="AA273" s="79">
        <f>SUMIFS(AA$236:AA$245,$B$236:$B$245,$B273)</f>
        <v>57</v>
      </c>
      <c r="AB273" s="79">
        <f t="shared" si="505"/>
        <v>109.024</v>
      </c>
      <c r="AC273" s="79">
        <f t="shared" si="505"/>
        <v>43.591999999999999</v>
      </c>
      <c r="AD273" s="79">
        <f t="shared" si="505"/>
        <v>38.04</v>
      </c>
      <c r="AE273" s="79">
        <f>SUMIFS(AE$236:AE$245,$B$236:$B$245,$B273)</f>
        <v>42.344000000000001</v>
      </c>
      <c r="AF273" s="79">
        <f>SUMIFS(AF$236:AF$245,$B$236:$B$245,$B273)-SUMIFS(AG$236:AG$245,$B$236:$B$245,$B273)</f>
        <v>47.116884020000015</v>
      </c>
      <c r="AG273" s="79">
        <f>SUMIFS(AG$236:AG$245,$B$236:$B$245,$B273)-SUMIFS(AH$236:AH$245,$B$236:$B$245,$B273)</f>
        <v>38.746547049999975</v>
      </c>
      <c r="AH273" s="79">
        <f>SUMIFS(AH$236:AH$245,$B$236:$B$245,$B273)-SUMIFS(AI$236:AI$245,$B$236:$B$245,$B273)</f>
        <v>43.992330979999991</v>
      </c>
      <c r="AI273" s="79">
        <f>SUMIFS(AI$236:AI$245,$B$236:$B$245,$B273)</f>
        <v>22.830237950000026</v>
      </c>
      <c r="AJ273" s="79">
        <f>SUMIFS(AJ$236:AJ$245,$B$236:$B$245,$B273)-SUMIFS(AK$236:AK$245,$B$236:$B$245,$B273)</f>
        <v>21.132500489999998</v>
      </c>
      <c r="AK273" s="79">
        <f>SUMIFS(AK$236:AK$245,$B$236:$B$245,$B273)-SUMIFS(AL$236:AL$245,$B$236:$B$245,$B273)</f>
        <v>26.22626288</v>
      </c>
      <c r="AL273" s="79">
        <f>SUMIFS(AL$236:AL$245,$B$236:$B$245,$B273)-SUMIFS(AM$236:AM$245,$B$236:$B$245,$B273)</f>
        <v>23.215845870000003</v>
      </c>
      <c r="AM273" s="79">
        <f>SUMIFS(AM$236:AM$245,$B$236:$B$245,$B273)</f>
        <v>22.46139076</v>
      </c>
      <c r="AN273" s="79">
        <f>SUMIFS(AN$236:AN$245,$B$236:$B$245,$B273)-SUMIFS(AO$236:AO$245,$B$236:$B$245,$B273)</f>
        <v>33.043999999999997</v>
      </c>
      <c r="AO273" s="79">
        <f>SUMIFS(AO$236:AO$245,$B$236:$B$245,$B273)-SUMIFS(AP$236:AP$245,$B$236:$B$245,$B273)</f>
        <v>31.405000000000001</v>
      </c>
      <c r="AP273" s="79">
        <f>SUMIFS(AP$236:AP$245,$B$236:$B$245,$B273)-SUMIFS(AQ$236:AQ$245,$B$236:$B$245,$B273)</f>
        <v>23.216000000000001</v>
      </c>
      <c r="AQ273" s="79">
        <f>SUMIFS(AQ$236:AQ$245,$B$236:$B$245,$B273)</f>
        <v>18.021999999999998</v>
      </c>
      <c r="AR273" s="79">
        <f>SUMIFS(AR$236:AR$245,$B$236:$B$245,$B273)-SUMIFS(AS$236:AS$245,$B$236:$B$245,$B273)</f>
        <v>19.40100000000001</v>
      </c>
      <c r="AS273" s="79">
        <f>SUMIFS(AS$236:AS$245,$B$236:$B$245,$B273)-SUMIFS(AT$236:AT$245,$B$236:$B$245,$B273)</f>
        <v>18.954999999999998</v>
      </c>
      <c r="AT273" s="79">
        <f>SUMIFS(AT$236:AT$245,$B$236:$B$245,$B273)-SUMIFS(AU$236:AU$245,$B$236:$B$245,$B273)</f>
        <v>27.764999999999997</v>
      </c>
      <c r="AU273" s="79">
        <f>SUMIFS(AU$236:AU$245,$B$236:$B$245,$B273)</f>
        <v>25.398</v>
      </c>
      <c r="AV273" s="79">
        <f>SUMIFS(AV$236:AV$245,$B$236:$B$245,$B273)-SUMIFS(AW$236:AW$245,$B$236:$B$245,$B273)</f>
        <v>20.205000000000005</v>
      </c>
      <c r="AW273" s="79">
        <f>SUMIFS(AW$236:AW$245,$B$236:$B$245,$B273)-SUMIFS(AX$236:AX$245,$B$236:$B$245,$B273)</f>
        <v>17.475999999999999</v>
      </c>
      <c r="AX273" s="79">
        <f>SUMIFS(AX$236:AX$245,$B$236:$B$245,$B273)-SUMIFS(AY$236:AY$245,$B$236:$B$245,$B273)</f>
        <v>12.700999999999999</v>
      </c>
      <c r="AY273" s="79">
        <f>SUMIFS(AY$236:AY$245,$B$236:$B$245,$B273)</f>
        <v>12.76</v>
      </c>
      <c r="AZ273" s="79">
        <f>SUMIFS(AZ$236:AZ$245,$B$236:$B$245,$B273)-SUMIFS(BA$236:BA$245,$B$236:$B$245,$B273)</f>
        <v>26.987000000000002</v>
      </c>
      <c r="BA273" s="79">
        <f>SUMIFS(BA$236:BA$245,$B$236:$B$245,$B273)-SUMIFS(BB$236:BB$245,$B$236:$B$245,$B273)</f>
        <v>24.840999999999998</v>
      </c>
      <c r="BB273" s="79">
        <f>SUMIFS(BB$236:BB$245,$B$236:$B$245,$B273)-SUMIFS(BC$236:BC$245,$B$236:$B$245,$B273)</f>
        <v>8.5510000000000019</v>
      </c>
      <c r="BC273" s="79">
        <f>SUMIFS(BC$236:BC$245,$B$236:$B$245,$B273)</f>
        <v>13.010999999999999</v>
      </c>
      <c r="BD273" s="79">
        <f>SUMIFS(BD$236:BD$245,$B$236:$B$245,$B273)-SUMIFS(BE$236:BE$245,$B$236:$B$245,$B273)</f>
        <v>13.527999999999999</v>
      </c>
      <c r="BE273" s="79">
        <f>SUMIFS(BE$236:BE$245,$B$236:$B$245,$B273)-SUMIFS(BF$236:BF$245,$B$236:$B$245,$B273)</f>
        <v>6.6230000000000011</v>
      </c>
      <c r="BF273" s="79">
        <f>SUMIFS(BF$236:BF$245,$B$236:$B$245,$B273)-SUMIFS(BG$236:BG$245,$B$236:$B$245,$B273)</f>
        <v>4.7970000000000006</v>
      </c>
      <c r="BG273" s="79">
        <f>SUMIFS(BG$236:BG$245,$B$236:$B$245,$B273)</f>
        <v>4.68</v>
      </c>
      <c r="BH273" s="56">
        <f>SUMIFS(BH$236:BH$245,$B$236:$B$245,$B273)-SUMIFS(BI$236:BI$245,$B$236:$B$245,$B273)</f>
        <v>5.8979999999999997</v>
      </c>
      <c r="BI273" s="56">
        <f>SUMIFS(BI$236:BI$245,$B$236:$B$245,$B273)-SUMIFS(BJ$236:BJ$245,$B$236:$B$245,$B273)</f>
        <v>5.7870000000000008</v>
      </c>
      <c r="BJ273" s="56">
        <f>SUMIFS(BJ$236:BJ$245,$B$236:$B$245,$B273)-SUMIFS(BK$236:BK$245,$B$236:$B$245,$B273)</f>
        <v>1.7409999999999999</v>
      </c>
      <c r="BK273" s="56">
        <f>SUMIFS(BK$236:BK$245,$B$236:$B$245,$B273)</f>
        <v>0.77200000000000002</v>
      </c>
      <c r="BL273" s="56">
        <f>SUMIFS(BL$236:BL$245,$B$236:$B$245,$B273)-SUMIFS(BM$236:BM$245,$B$236:$B$245,$B273)</f>
        <v>2.665</v>
      </c>
      <c r="BM273" s="56">
        <f>SUMIFS(BM$236:BM$245,$B$236:$B$245,$B273)-SUMIFS(BN$236:BN$245,$B$236:$B$245,$B273)</f>
        <v>2.69</v>
      </c>
      <c r="BN273" s="56">
        <f>SUMIFS(BN$236:BN$245,$B$236:$B$245,$B273)-SUMIFS(BO$236:BO$245,$B$236:$B$245,$B273)</f>
        <v>2.5619999999999998</v>
      </c>
      <c r="BO273" s="56">
        <f>SUMIFS(BO$236:BO$245,$B$236:$B$245,$B273)</f>
        <v>0.91</v>
      </c>
      <c r="BP273" s="56">
        <f>SUMIFS(BP$236:BP$245,$B$236:$B$245,$B273)-SUMIFS(BQ$236:BQ$245,$B$236:$B$245,$B273)</f>
        <v>0.79599999999999937</v>
      </c>
      <c r="BQ273" s="56">
        <f>SUMIFS(BQ$236:BQ$245,$B$236:$B$245,$B273)-SUMIFS(BR$236:BR$245,$B$236:$B$245,$B273)</f>
        <v>2.2550000000000008</v>
      </c>
      <c r="BR273" s="56">
        <f>SUMIFS(BR$236:BR$245,$B$236:$B$245,$B273)-SUMIFS(BS$236:BS$245,$B$236:$B$245,$B273)</f>
        <v>-15.318999999999999</v>
      </c>
      <c r="BS273" s="56">
        <f>SUMIFS(BS$236:BS$245,$B$236:$B$245,$B273)</f>
        <v>20.113</v>
      </c>
    </row>
    <row r="274" spans="1:71" x14ac:dyDescent="0.25">
      <c r="A274" s="74">
        <v>274</v>
      </c>
      <c r="B274" s="75" t="s">
        <v>258</v>
      </c>
      <c r="C274" s="96">
        <f ca="1">OFFSET($E$7,$A274-$A$7,1,1,1)/OFFSET($E$7,$A274-$A$7,2,1,1)-1</f>
        <v>0.13389355742296916</v>
      </c>
      <c r="D274" s="96"/>
      <c r="E274" s="96">
        <f ca="1">OFFSET($E$7,$A274-$A$7,1,1,1)/OFFSET($E$7,$A274-$A$7,5,1,1)-1</f>
        <v>0.11977869986168743</v>
      </c>
      <c r="F274" s="126">
        <f t="shared" ref="F274" si="506">SUM(F264:F273)</f>
        <v>4048</v>
      </c>
      <c r="G274" s="331">
        <f t="shared" ref="G274" si="507">SUM(G264:G273)</f>
        <v>3570</v>
      </c>
      <c r="H274" s="126">
        <f t="shared" ref="H274" si="508">SUM(H264:H273)</f>
        <v>4076</v>
      </c>
      <c r="I274" s="126">
        <f t="shared" ref="I274" si="509">SUM(I264:I273)</f>
        <v>3715</v>
      </c>
      <c r="J274" s="126">
        <f t="shared" ref="J274" si="510">SUM(J264:J273)</f>
        <v>3615</v>
      </c>
      <c r="K274" s="126">
        <f t="shared" ref="K274" si="511">SUM(K264:K273)</f>
        <v>3434</v>
      </c>
      <c r="L274" s="126">
        <f t="shared" ref="L274:AF274" si="512">SUM(L264:L273)</f>
        <v>3719</v>
      </c>
      <c r="M274" s="126">
        <f t="shared" si="512"/>
        <v>3857</v>
      </c>
      <c r="N274" s="126">
        <f t="shared" si="512"/>
        <v>3482</v>
      </c>
      <c r="O274" s="126">
        <f t="shared" si="512"/>
        <v>3347</v>
      </c>
      <c r="P274" s="126">
        <f t="shared" si="512"/>
        <v>3845</v>
      </c>
      <c r="Q274" s="126">
        <f t="shared" si="512"/>
        <v>3690</v>
      </c>
      <c r="R274" s="126">
        <f t="shared" si="512"/>
        <v>3557</v>
      </c>
      <c r="S274" s="126">
        <f t="shared" si="512"/>
        <v>4193</v>
      </c>
      <c r="T274" s="436"/>
      <c r="U274" s="436"/>
      <c r="V274" s="436"/>
      <c r="W274" s="436"/>
      <c r="X274" s="126">
        <f t="shared" si="512"/>
        <v>3195</v>
      </c>
      <c r="Y274" s="126">
        <f t="shared" si="512"/>
        <v>2840</v>
      </c>
      <c r="Z274" s="126">
        <f t="shared" si="512"/>
        <v>2931</v>
      </c>
      <c r="AA274" s="126">
        <f t="shared" si="512"/>
        <v>2466</v>
      </c>
      <c r="AB274" s="126">
        <f t="shared" si="512"/>
        <v>2879.1120000000001</v>
      </c>
      <c r="AC274" s="126">
        <f t="shared" si="512"/>
        <v>2424.7460000000001</v>
      </c>
      <c r="AD274" s="126">
        <f t="shared" si="512"/>
        <v>2063.63</v>
      </c>
      <c r="AE274" s="126">
        <f t="shared" si="512"/>
        <v>2159.5120000000002</v>
      </c>
      <c r="AF274" s="126">
        <f t="shared" si="512"/>
        <v>2588.3679999999995</v>
      </c>
      <c r="AG274" s="126">
        <f t="shared" ref="AG274:AM274" si="513">SUM(AG264:AG273)</f>
        <v>2307.67</v>
      </c>
      <c r="AH274" s="126">
        <f t="shared" si="513"/>
        <v>2271.3099999999995</v>
      </c>
      <c r="AI274" s="126">
        <f t="shared" si="513"/>
        <v>1810.5390000000004</v>
      </c>
      <c r="AJ274" s="126">
        <f t="shared" si="513"/>
        <v>2054.8879999999999</v>
      </c>
      <c r="AK274" s="126">
        <f t="shared" si="513"/>
        <v>1863.1849999999997</v>
      </c>
      <c r="AL274" s="126">
        <f t="shared" si="513"/>
        <v>1715.3330000000005</v>
      </c>
      <c r="AM274" s="126">
        <f t="shared" si="513"/>
        <v>1692.2310000000002</v>
      </c>
      <c r="AN274" s="126">
        <f t="shared" ref="AN274:BS274" si="514">SUM(AN264:AN273)</f>
        <v>1831.4640000000004</v>
      </c>
      <c r="AO274" s="126">
        <f t="shared" si="514"/>
        <v>1670.3820000000001</v>
      </c>
      <c r="AP274" s="126">
        <f t="shared" si="514"/>
        <v>1611.9069999999999</v>
      </c>
      <c r="AQ274" s="126">
        <f t="shared" si="514"/>
        <v>1493.3259999999998</v>
      </c>
      <c r="AR274" s="126">
        <f t="shared" si="514"/>
        <v>1578.6720000000003</v>
      </c>
      <c r="AS274" s="126">
        <f t="shared" si="514"/>
        <v>1483.1589999999999</v>
      </c>
      <c r="AT274" s="126">
        <f t="shared" si="514"/>
        <v>1422.8180000000002</v>
      </c>
      <c r="AU274" s="126">
        <f t="shared" si="514"/>
        <v>1345.8079999999998</v>
      </c>
      <c r="AV274" s="126">
        <f t="shared" si="514"/>
        <v>1338.2840000000001</v>
      </c>
      <c r="AW274" s="126">
        <f t="shared" si="514"/>
        <v>1242.8609999999999</v>
      </c>
      <c r="AX274" s="126">
        <f t="shared" si="514"/>
        <v>1178.9579999999999</v>
      </c>
      <c r="AY274" s="126">
        <f t="shared" si="514"/>
        <v>1012.235</v>
      </c>
      <c r="AZ274" s="126">
        <f t="shared" si="514"/>
        <v>1312.5620000000006</v>
      </c>
      <c r="BA274" s="126">
        <f t="shared" si="514"/>
        <v>1126.5339999999997</v>
      </c>
      <c r="BB274" s="126">
        <f t="shared" si="514"/>
        <v>1052.7749999999999</v>
      </c>
      <c r="BC274" s="126">
        <f t="shared" si="514"/>
        <v>928.71599999999989</v>
      </c>
      <c r="BD274" s="126">
        <f t="shared" si="514"/>
        <v>933.60399999999981</v>
      </c>
      <c r="BE274" s="126">
        <f t="shared" si="514"/>
        <v>805.62900000000013</v>
      </c>
      <c r="BF274" s="126">
        <f t="shared" si="514"/>
        <v>749.76699999999994</v>
      </c>
      <c r="BG274" s="126">
        <f t="shared" si="514"/>
        <v>683.4559999999999</v>
      </c>
      <c r="BH274" s="126">
        <f t="shared" si="514"/>
        <v>822.07299999999998</v>
      </c>
      <c r="BI274" s="126">
        <f t="shared" si="514"/>
        <v>705.45100000000014</v>
      </c>
      <c r="BJ274" s="126">
        <f t="shared" si="514"/>
        <v>666.39400000000012</v>
      </c>
      <c r="BK274" s="126">
        <f t="shared" si="514"/>
        <v>559.28600000000006</v>
      </c>
      <c r="BL274" s="126">
        <f t="shared" si="514"/>
        <v>726.95100000000025</v>
      </c>
      <c r="BM274" s="126">
        <f t="shared" si="514"/>
        <v>606.57800000000009</v>
      </c>
      <c r="BN274" s="126">
        <f t="shared" si="514"/>
        <v>599.81799999999987</v>
      </c>
      <c r="BO274" s="126">
        <f t="shared" si="514"/>
        <v>498.67500000000001</v>
      </c>
      <c r="BP274" s="126">
        <f t="shared" si="514"/>
        <v>634.18000000000006</v>
      </c>
      <c r="BQ274" s="126">
        <f t="shared" si="514"/>
        <v>469.77499999999998</v>
      </c>
      <c r="BR274" s="126">
        <f t="shared" si="514"/>
        <v>486.86799999999999</v>
      </c>
      <c r="BS274" s="126">
        <f t="shared" si="514"/>
        <v>416.36199999999997</v>
      </c>
    </row>
    <row r="275" spans="1:71" x14ac:dyDescent="0.25">
      <c r="A275" s="74">
        <v>275</v>
      </c>
      <c r="B275" s="75" t="s">
        <v>133</v>
      </c>
      <c r="C275" s="93"/>
      <c r="D275" s="88"/>
      <c r="E275" s="94"/>
      <c r="F275" s="267"/>
      <c r="G275" s="396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267"/>
      <c r="T275" s="440"/>
      <c r="U275" s="440"/>
      <c r="V275" s="440"/>
      <c r="W275" s="440"/>
      <c r="X275" s="267"/>
      <c r="Y275" s="267"/>
      <c r="Z275" s="267"/>
      <c r="AA275" s="267"/>
      <c r="AB275" s="267"/>
      <c r="AC275" s="267"/>
      <c r="AD275" s="267"/>
      <c r="AE275" s="267"/>
      <c r="AF275" s="267"/>
      <c r="AG275" s="267"/>
      <c r="AH275" s="267"/>
      <c r="AI275" s="267"/>
      <c r="AJ275" s="267"/>
      <c r="AK275" s="154"/>
      <c r="AL275" s="154"/>
      <c r="AM275" s="154"/>
      <c r="AN275" s="266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60"/>
      <c r="BC275" s="146"/>
      <c r="BD275" s="88"/>
      <c r="BE275" s="156"/>
      <c r="BF275" s="88"/>
      <c r="BG275" s="79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  <c r="BR275" s="56"/>
      <c r="BS275" s="56"/>
    </row>
    <row r="276" spans="1:71" x14ac:dyDescent="0.25">
      <c r="A276" s="74">
        <v>276</v>
      </c>
      <c r="B276" s="76" t="s">
        <v>395</v>
      </c>
      <c r="C276" s="93">
        <f t="shared" ref="C276:C285" ca="1" si="515">OFFSET($E$7,$A276-$A$7,1,1,1)/OFFSET($E$7,$A276-$A$7,2,1,1)-1</f>
        <v>0.2348993288590604</v>
      </c>
      <c r="D276" s="88"/>
      <c r="E276" s="94">
        <f t="shared" ref="E276:E285" ca="1" si="516">OFFSET($E$7,$A276-$A$7,1,1,1)/OFFSET($E$7,$A276-$A$7,5,1,1)-1</f>
        <v>0.2517006802721089</v>
      </c>
      <c r="F276" s="79">
        <f t="shared" ref="F276:Z282" si="517">SUMIFS(F$248:F$255,$B$248:$B$255,$B276)-SUMIFS(G$248:G$255,$B$248:$B$255,$B276)</f>
        <v>552</v>
      </c>
      <c r="G276" s="330">
        <f t="shared" ref="G276:G283" si="518">SUMIFS(G$248:G$255,$B$248:$B$255,$B276)</f>
        <v>447</v>
      </c>
      <c r="H276" s="79">
        <f t="shared" si="517"/>
        <v>456</v>
      </c>
      <c r="I276" s="79">
        <f t="shared" si="517"/>
        <v>486</v>
      </c>
      <c r="J276" s="79">
        <f t="shared" si="517"/>
        <v>441</v>
      </c>
      <c r="K276" s="79">
        <f t="shared" ref="K276:K283" si="519">SUMIFS(K$248:K$255,$B$248:$B$255,$B276)</f>
        <v>394</v>
      </c>
      <c r="L276" s="79">
        <f t="shared" si="517"/>
        <v>407</v>
      </c>
      <c r="M276" s="79">
        <f t="shared" si="517"/>
        <v>481</v>
      </c>
      <c r="N276" s="79">
        <f t="shared" si="517"/>
        <v>482</v>
      </c>
      <c r="O276" s="79">
        <f t="shared" ref="O276:O283" si="520">SUMIFS(O$248:O$255,$B$248:$B$255,$B276)</f>
        <v>454</v>
      </c>
      <c r="P276" s="79">
        <f t="shared" si="517"/>
        <v>480</v>
      </c>
      <c r="Q276" s="79">
        <f t="shared" si="517"/>
        <v>500</v>
      </c>
      <c r="R276" s="79">
        <f t="shared" si="517"/>
        <v>462</v>
      </c>
      <c r="S276" s="79">
        <f t="shared" ref="S276:S283" si="521">SUMIFS(S$248:S$255,$B$248:$B$255,$B276)</f>
        <v>419</v>
      </c>
      <c r="T276" s="404"/>
      <c r="U276" s="404"/>
      <c r="V276" s="404"/>
      <c r="W276" s="404"/>
      <c r="X276" s="79">
        <f t="shared" si="517"/>
        <v>362</v>
      </c>
      <c r="Y276" s="79">
        <f t="shared" si="517"/>
        <v>388</v>
      </c>
      <c r="Z276" s="79">
        <f t="shared" si="517"/>
        <v>373</v>
      </c>
      <c r="AA276" s="79">
        <f t="shared" ref="AA276:AA282" si="522">SUMIFS(AA$248:AA$255,$B$248:$B$255,$B276)</f>
        <v>353</v>
      </c>
      <c r="AB276" s="79">
        <f t="shared" ref="AB276:AD282" si="523">SUMIFS(AB$248:AB$255,$B$248:$B$255,$B276)-SUMIFS(AC$248:AC$255,$B$248:$B$255,$B276)</f>
        <v>342.56700000000001</v>
      </c>
      <c r="AC276" s="79">
        <f t="shared" si="523"/>
        <v>323.33500000000004</v>
      </c>
      <c r="AD276" s="79">
        <f t="shared" si="523"/>
        <v>237.50399999999996</v>
      </c>
      <c r="AE276" s="79">
        <f t="shared" ref="AE276:AE282" si="524">SUMIFS(AE$248:AE$255,$B$248:$B$255,$B276)</f>
        <v>310.59399999999999</v>
      </c>
      <c r="AF276" s="79">
        <f t="shared" ref="AF276:AH282" si="525">SUMIFS(AF$248:AF$255,$B$248:$B$255,$B276)-SUMIFS(AG$248:AG$255,$B$248:$B$255,$B276)</f>
        <v>290.36199999999997</v>
      </c>
      <c r="AG276" s="79">
        <f t="shared" si="525"/>
        <v>271.30399999999997</v>
      </c>
      <c r="AH276" s="79">
        <f t="shared" si="525"/>
        <v>250.20000000000002</v>
      </c>
      <c r="AI276" s="79">
        <f t="shared" ref="AI276:AI282" si="526">SUMIFS(AI$248:AI$255,$B$248:$B$255,$B276)</f>
        <v>235.02</v>
      </c>
      <c r="AJ276" s="79">
        <f t="shared" ref="AJ276:AL282" si="527">SUMIFS(AJ$248:AJ$255,$B$248:$B$255,$B276)-SUMIFS(AK$248:AK$255,$B$248:$B$255,$B276)</f>
        <v>259.24799999999993</v>
      </c>
      <c r="AK276" s="79">
        <f t="shared" si="527"/>
        <v>258.13200000000006</v>
      </c>
      <c r="AL276" s="79">
        <f t="shared" si="527"/>
        <v>242.07299999999998</v>
      </c>
      <c r="AM276" s="79">
        <f t="shared" ref="AM276:AM282" si="528">SUMIFS(AM$248:AM$255,$B$248:$B$255,$B276)</f>
        <v>207.37</v>
      </c>
      <c r="AN276" s="79">
        <f t="shared" ref="AN276:AP282" si="529">SUMIFS(AN$248:AN$255,$B$248:$B$255,$B276)-SUMIFS(AO$248:AO$255,$B$248:$B$255,$B276)</f>
        <v>223.59400000000005</v>
      </c>
      <c r="AO276" s="79">
        <f t="shared" si="529"/>
        <v>205.46800000000002</v>
      </c>
      <c r="AP276" s="79">
        <f t="shared" si="529"/>
        <v>189.39</v>
      </c>
      <c r="AQ276" s="79">
        <f t="shared" ref="AQ276:AQ282" si="530">SUMIFS(AQ$248:AQ$255,$B$248:$B$255,$B276)</f>
        <v>166.166</v>
      </c>
      <c r="AR276" s="79">
        <f t="shared" ref="AR276:AT282" si="531">SUMIFS(AR$248:AR$255,$B$248:$B$255,$B276)-SUMIFS(AS$248:AS$255,$B$248:$B$255,$B276)</f>
        <v>173.41399999999999</v>
      </c>
      <c r="AS276" s="79">
        <f t="shared" si="531"/>
        <v>164.346</v>
      </c>
      <c r="AT276" s="79">
        <f t="shared" si="531"/>
        <v>138.88500000000002</v>
      </c>
      <c r="AU276" s="79">
        <f t="shared" ref="AU276:AU282" si="532">SUMIFS(AU$248:AU$255,$B$248:$B$255,$B276)</f>
        <v>123.489</v>
      </c>
      <c r="AV276" s="79">
        <f t="shared" ref="AV276:AX282" si="533">SUMIFS(AV$248:AV$255,$B$248:$B$255,$B276)-SUMIFS(AW$248:AW$255,$B$248:$B$255,$B276)</f>
        <v>114.02300000000002</v>
      </c>
      <c r="AW276" s="79">
        <f t="shared" si="533"/>
        <v>123.24799999999999</v>
      </c>
      <c r="AX276" s="79">
        <f t="shared" si="533"/>
        <v>100.776</v>
      </c>
      <c r="AY276" s="79">
        <f t="shared" ref="AY276:AY282" si="534">SUMIFS(AY$248:AY$255,$B$248:$B$255,$B276)</f>
        <v>111.2</v>
      </c>
      <c r="AZ276" s="79">
        <f t="shared" ref="AZ276:BB282" si="535">SUMIFS(AZ$248:AZ$255,$B$248:$B$255,$B276)-SUMIFS(BA$248:BA$255,$B$248:$B$255,$B276)</f>
        <v>127.173</v>
      </c>
      <c r="BA276" s="79">
        <f t="shared" si="535"/>
        <v>96.888000000000005</v>
      </c>
      <c r="BB276" s="79">
        <f t="shared" si="535"/>
        <v>95.34099999999998</v>
      </c>
      <c r="BC276" s="79">
        <f t="shared" ref="BC276:BC282" si="536">SUMIFS(BC$248:BC$255,$B$248:$B$255,$B276)</f>
        <v>83.668000000000006</v>
      </c>
      <c r="BD276" s="79">
        <f t="shared" ref="BD276:BF282" si="537">SUMIFS(BD$248:BD$255,$B$248:$B$255,$B276)-SUMIFS(BE$248:BE$255,$B$248:$B$255,$B276)</f>
        <v>69.954000000000008</v>
      </c>
      <c r="BE276" s="79">
        <f t="shared" si="537"/>
        <v>91.143000000000015</v>
      </c>
      <c r="BF276" s="79">
        <f t="shared" si="537"/>
        <v>56.184999999999995</v>
      </c>
      <c r="BG276" s="79">
        <f t="shared" ref="BG276:BG282" si="538">SUMIFS(BG$248:BG$255,$B$248:$B$255,$B276)</f>
        <v>50.573</v>
      </c>
      <c r="BH276" s="56">
        <f t="shared" ref="BH276:BJ282" si="539">SUMIFS(BH$248:BH$255,$B$248:$B$255,$B276)-SUMIFS(BI$248:BI$255,$B$248:$B$255,$B276)</f>
        <v>51.795999999999992</v>
      </c>
      <c r="BI276" s="56">
        <f t="shared" si="539"/>
        <v>43.352999999999994</v>
      </c>
      <c r="BJ276" s="56">
        <f t="shared" si="539"/>
        <v>45.417000000000009</v>
      </c>
      <c r="BK276" s="56">
        <f t="shared" ref="BK276:BK282" si="540">SUMIFS(BK$248:BK$255,$B$248:$B$255,$B276)</f>
        <v>41.122999999999998</v>
      </c>
      <c r="BL276" s="56">
        <f t="shared" ref="BL276:BN282" si="541">SUMIFS(BL$248:BL$255,$B$248:$B$255,$B276)-SUMIFS(BM$248:BM$255,$B$248:$B$255,$B276)</f>
        <v>51.825000000000017</v>
      </c>
      <c r="BM276" s="56">
        <f t="shared" si="541"/>
        <v>44.641999999999996</v>
      </c>
      <c r="BN276" s="56">
        <f t="shared" si="541"/>
        <v>39.685000000000002</v>
      </c>
      <c r="BO276" s="56">
        <f t="shared" ref="BO276:BO282" si="542">SUMIFS(BO$248:BO$255,$B$248:$B$255,$B276)</f>
        <v>29.166</v>
      </c>
      <c r="BP276" s="56">
        <f t="shared" ref="BP276:BR282" si="543">SUMIFS(BP$248:BP$255,$B$248:$B$255,$B276)-SUMIFS(BQ$248:BQ$255,$B$248:$B$255,$B276)</f>
        <v>29.793000000000006</v>
      </c>
      <c r="BQ276" s="56">
        <f t="shared" si="543"/>
        <v>24.22</v>
      </c>
      <c r="BR276" s="56">
        <f t="shared" si="543"/>
        <v>20.832999999999998</v>
      </c>
      <c r="BS276" s="56">
        <f t="shared" ref="BS276:BS282" si="544">SUMIFS(BS$248:BS$255,$B$248:$B$255,$B276)</f>
        <v>19.613</v>
      </c>
    </row>
    <row r="277" spans="1:71" x14ac:dyDescent="0.25">
      <c r="A277" s="74">
        <v>277</v>
      </c>
      <c r="B277" s="76" t="s">
        <v>401</v>
      </c>
      <c r="C277" s="93">
        <f t="shared" ca="1" si="515"/>
        <v>0.14615384615384608</v>
      </c>
      <c r="D277" s="88"/>
      <c r="E277" s="94">
        <f t="shared" ca="1" si="516"/>
        <v>-8.0246913580246937E-2</v>
      </c>
      <c r="F277" s="79">
        <f t="shared" si="517"/>
        <v>149</v>
      </c>
      <c r="G277" s="330">
        <f t="shared" si="518"/>
        <v>130</v>
      </c>
      <c r="H277" s="79">
        <f t="shared" si="517"/>
        <v>134</v>
      </c>
      <c r="I277" s="79">
        <f t="shared" si="517"/>
        <v>166</v>
      </c>
      <c r="J277" s="79">
        <f t="shared" si="517"/>
        <v>162</v>
      </c>
      <c r="K277" s="79">
        <f t="shared" si="519"/>
        <v>145</v>
      </c>
      <c r="L277" s="79">
        <f t="shared" si="517"/>
        <v>43</v>
      </c>
      <c r="M277" s="79">
        <f t="shared" si="517"/>
        <v>67</v>
      </c>
      <c r="N277" s="79">
        <f t="shared" si="517"/>
        <v>64</v>
      </c>
      <c r="O277" s="79">
        <f t="shared" si="520"/>
        <v>111</v>
      </c>
      <c r="P277" s="79">
        <f t="shared" si="517"/>
        <v>130</v>
      </c>
      <c r="Q277" s="79">
        <f t="shared" si="517"/>
        <v>94</v>
      </c>
      <c r="R277" s="79">
        <f t="shared" si="517"/>
        <v>94</v>
      </c>
      <c r="S277" s="79">
        <f t="shared" si="521"/>
        <v>72</v>
      </c>
      <c r="T277" s="404"/>
      <c r="U277" s="404"/>
      <c r="V277" s="404"/>
      <c r="W277" s="404"/>
      <c r="X277" s="79">
        <f t="shared" si="517"/>
        <v>34</v>
      </c>
      <c r="Y277" s="79">
        <f t="shared" si="517"/>
        <v>108</v>
      </c>
      <c r="Z277" s="79">
        <f t="shared" si="517"/>
        <v>90</v>
      </c>
      <c r="AA277" s="79">
        <f t="shared" si="522"/>
        <v>69</v>
      </c>
      <c r="AB277" s="79">
        <f t="shared" si="523"/>
        <v>60.11099999999999</v>
      </c>
      <c r="AC277" s="79">
        <f t="shared" si="523"/>
        <v>43.724000000000018</v>
      </c>
      <c r="AD277" s="79">
        <f t="shared" si="523"/>
        <v>45.011999999999986</v>
      </c>
      <c r="AE277" s="79">
        <f t="shared" si="524"/>
        <v>28.153000000000006</v>
      </c>
      <c r="AF277" s="79">
        <f t="shared" si="525"/>
        <v>155.63600000000002</v>
      </c>
      <c r="AG277" s="79">
        <f t="shared" si="525"/>
        <v>116.166</v>
      </c>
      <c r="AH277" s="79">
        <f t="shared" si="525"/>
        <v>118.78</v>
      </c>
      <c r="AI277" s="79">
        <f t="shared" si="526"/>
        <v>156.33099999999999</v>
      </c>
      <c r="AJ277" s="79">
        <f t="shared" si="527"/>
        <v>152.53049999999996</v>
      </c>
      <c r="AK277" s="79">
        <f t="shared" si="527"/>
        <v>152.53050000000002</v>
      </c>
      <c r="AL277" s="79">
        <f t="shared" si="527"/>
        <v>152.53049999999999</v>
      </c>
      <c r="AM277" s="79">
        <f t="shared" si="528"/>
        <v>152.53049999999999</v>
      </c>
      <c r="AN277" s="79">
        <f t="shared" si="529"/>
        <v>0</v>
      </c>
      <c r="AO277" s="79">
        <f t="shared" si="529"/>
        <v>0</v>
      </c>
      <c r="AP277" s="79">
        <f t="shared" si="529"/>
        <v>0</v>
      </c>
      <c r="AQ277" s="79">
        <f t="shared" si="530"/>
        <v>0</v>
      </c>
      <c r="AR277" s="79">
        <f t="shared" si="531"/>
        <v>0</v>
      </c>
      <c r="AS277" s="79">
        <f t="shared" si="531"/>
        <v>0</v>
      </c>
      <c r="AT277" s="79">
        <f t="shared" si="531"/>
        <v>0</v>
      </c>
      <c r="AU277" s="79">
        <f t="shared" si="532"/>
        <v>0</v>
      </c>
      <c r="AV277" s="79">
        <f t="shared" si="533"/>
        <v>0</v>
      </c>
      <c r="AW277" s="79">
        <f t="shared" si="533"/>
        <v>0</v>
      </c>
      <c r="AX277" s="79">
        <f t="shared" si="533"/>
        <v>0</v>
      </c>
      <c r="AY277" s="79">
        <f t="shared" si="534"/>
        <v>0</v>
      </c>
      <c r="AZ277" s="79">
        <f t="shared" si="535"/>
        <v>0</v>
      </c>
      <c r="BA277" s="79">
        <f t="shared" si="535"/>
        <v>0</v>
      </c>
      <c r="BB277" s="79">
        <f t="shared" si="535"/>
        <v>0</v>
      </c>
      <c r="BC277" s="79">
        <f t="shared" si="536"/>
        <v>0</v>
      </c>
      <c r="BD277" s="79">
        <f t="shared" si="537"/>
        <v>0</v>
      </c>
      <c r="BE277" s="79">
        <f t="shared" si="537"/>
        <v>0</v>
      </c>
      <c r="BF277" s="79">
        <f t="shared" si="537"/>
        <v>0</v>
      </c>
      <c r="BG277" s="79">
        <f t="shared" si="538"/>
        <v>0</v>
      </c>
      <c r="BH277" s="56">
        <f t="shared" si="539"/>
        <v>0</v>
      </c>
      <c r="BI277" s="56">
        <f t="shared" si="539"/>
        <v>0</v>
      </c>
      <c r="BJ277" s="56">
        <f t="shared" si="539"/>
        <v>0</v>
      </c>
      <c r="BK277" s="56">
        <f t="shared" si="540"/>
        <v>0</v>
      </c>
      <c r="BL277" s="56">
        <f t="shared" si="541"/>
        <v>0</v>
      </c>
      <c r="BM277" s="56">
        <f t="shared" si="541"/>
        <v>0</v>
      </c>
      <c r="BN277" s="56">
        <f t="shared" si="541"/>
        <v>0</v>
      </c>
      <c r="BO277" s="56">
        <f t="shared" si="542"/>
        <v>0</v>
      </c>
      <c r="BP277" s="56">
        <f t="shared" si="543"/>
        <v>0</v>
      </c>
      <c r="BQ277" s="56">
        <f t="shared" si="543"/>
        <v>0</v>
      </c>
      <c r="BR277" s="56">
        <f t="shared" si="543"/>
        <v>0</v>
      </c>
      <c r="BS277" s="56">
        <f t="shared" si="544"/>
        <v>0</v>
      </c>
    </row>
    <row r="278" spans="1:71" x14ac:dyDescent="0.25">
      <c r="A278" s="74">
        <v>278</v>
      </c>
      <c r="B278" s="76" t="s">
        <v>206</v>
      </c>
      <c r="C278" s="93">
        <f t="shared" ca="1" si="515"/>
        <v>0.323943661971831</v>
      </c>
      <c r="D278" s="88"/>
      <c r="E278" s="94">
        <f t="shared" ca="1" si="516"/>
        <v>1.4102564102564101</v>
      </c>
      <c r="F278" s="79">
        <f t="shared" si="517"/>
        <v>94</v>
      </c>
      <c r="G278" s="330">
        <f t="shared" si="518"/>
        <v>71</v>
      </c>
      <c r="H278" s="79">
        <f t="shared" si="517"/>
        <v>43</v>
      </c>
      <c r="I278" s="79">
        <f t="shared" si="517"/>
        <v>38</v>
      </c>
      <c r="J278" s="79">
        <f t="shared" si="517"/>
        <v>39</v>
      </c>
      <c r="K278" s="79">
        <f t="shared" si="519"/>
        <v>31</v>
      </c>
      <c r="L278" s="79">
        <f t="shared" si="517"/>
        <v>40</v>
      </c>
      <c r="M278" s="79">
        <f t="shared" si="517"/>
        <v>38</v>
      </c>
      <c r="N278" s="79">
        <f t="shared" si="517"/>
        <v>50</v>
      </c>
      <c r="O278" s="79">
        <f t="shared" si="520"/>
        <v>35</v>
      </c>
      <c r="P278" s="79">
        <f t="shared" si="517"/>
        <v>36</v>
      </c>
      <c r="Q278" s="79">
        <f t="shared" si="517"/>
        <v>32</v>
      </c>
      <c r="R278" s="79">
        <f t="shared" si="517"/>
        <v>42</v>
      </c>
      <c r="S278" s="79">
        <f t="shared" si="521"/>
        <v>71</v>
      </c>
      <c r="T278" s="404"/>
      <c r="U278" s="404"/>
      <c r="V278" s="404"/>
      <c r="W278" s="404"/>
      <c r="X278" s="79">
        <f t="shared" si="517"/>
        <v>58</v>
      </c>
      <c r="Y278" s="79">
        <f t="shared" si="517"/>
        <v>53</v>
      </c>
      <c r="Z278" s="79">
        <f t="shared" si="517"/>
        <v>51</v>
      </c>
      <c r="AA278" s="79">
        <f t="shared" si="522"/>
        <v>36</v>
      </c>
      <c r="AB278" s="79">
        <f t="shared" si="523"/>
        <v>54.504999999999995</v>
      </c>
      <c r="AC278" s="79">
        <f t="shared" si="523"/>
        <v>48.622</v>
      </c>
      <c r="AD278" s="79">
        <f t="shared" si="523"/>
        <v>41.951000000000008</v>
      </c>
      <c r="AE278" s="79">
        <f t="shared" si="524"/>
        <v>35.921999999999997</v>
      </c>
      <c r="AF278" s="79">
        <f t="shared" si="525"/>
        <v>51.366000000000014</v>
      </c>
      <c r="AG278" s="79">
        <f t="shared" si="525"/>
        <v>42.510999999999981</v>
      </c>
      <c r="AH278" s="79">
        <f t="shared" si="525"/>
        <v>44.297000000000004</v>
      </c>
      <c r="AI278" s="79">
        <f t="shared" si="526"/>
        <v>41.243000000000002</v>
      </c>
      <c r="AJ278" s="79">
        <f t="shared" si="527"/>
        <v>50.207999999999984</v>
      </c>
      <c r="AK278" s="79">
        <f t="shared" si="527"/>
        <v>45.56</v>
      </c>
      <c r="AL278" s="79">
        <f t="shared" si="527"/>
        <v>41.542999999999999</v>
      </c>
      <c r="AM278" s="79">
        <f t="shared" si="528"/>
        <v>27.341000000000001</v>
      </c>
      <c r="AN278" s="79">
        <f t="shared" si="529"/>
        <v>43.311999999999998</v>
      </c>
      <c r="AO278" s="79">
        <f t="shared" si="529"/>
        <v>42.638999999999996</v>
      </c>
      <c r="AP278" s="79">
        <f t="shared" si="529"/>
        <v>40.422000000000004</v>
      </c>
      <c r="AQ278" s="79">
        <f t="shared" si="530"/>
        <v>30.768999999999998</v>
      </c>
      <c r="AR278" s="79">
        <f t="shared" si="531"/>
        <v>55.625</v>
      </c>
      <c r="AS278" s="79">
        <f t="shared" si="531"/>
        <v>41.817999999999998</v>
      </c>
      <c r="AT278" s="79">
        <f t="shared" si="531"/>
        <v>38.775000000000006</v>
      </c>
      <c r="AU278" s="79">
        <f t="shared" si="532"/>
        <v>28.64</v>
      </c>
      <c r="AV278" s="79">
        <f t="shared" si="533"/>
        <v>43.641000000000005</v>
      </c>
      <c r="AW278" s="79">
        <f t="shared" si="533"/>
        <v>41.678999999999995</v>
      </c>
      <c r="AX278" s="79">
        <f t="shared" si="533"/>
        <v>25.817</v>
      </c>
      <c r="AY278" s="79">
        <f t="shared" si="534"/>
        <v>25.332999999999998</v>
      </c>
      <c r="AZ278" s="79">
        <f t="shared" si="535"/>
        <v>34.11</v>
      </c>
      <c r="BA278" s="79">
        <f t="shared" si="535"/>
        <v>28.341000000000008</v>
      </c>
      <c r="BB278" s="79">
        <f t="shared" si="535"/>
        <v>29.248999999999999</v>
      </c>
      <c r="BC278" s="79">
        <f t="shared" si="536"/>
        <v>20.593</v>
      </c>
      <c r="BD278" s="79">
        <f t="shared" si="537"/>
        <v>25.729999999999997</v>
      </c>
      <c r="BE278" s="79">
        <f t="shared" si="537"/>
        <v>19.416999999999998</v>
      </c>
      <c r="BF278" s="79">
        <f t="shared" si="537"/>
        <v>17.953000000000003</v>
      </c>
      <c r="BG278" s="79">
        <f t="shared" si="538"/>
        <v>11.67</v>
      </c>
      <c r="BH278" s="56">
        <f t="shared" si="539"/>
        <v>21.774999999999999</v>
      </c>
      <c r="BI278" s="56">
        <f t="shared" si="539"/>
        <v>20.994</v>
      </c>
      <c r="BJ278" s="56">
        <f t="shared" si="539"/>
        <v>15.715999999999998</v>
      </c>
      <c r="BK278" s="56">
        <f t="shared" si="540"/>
        <v>17.693000000000001</v>
      </c>
      <c r="BL278" s="56">
        <f t="shared" si="541"/>
        <v>29.268000000000001</v>
      </c>
      <c r="BM278" s="56">
        <f t="shared" si="541"/>
        <v>17.616999999999997</v>
      </c>
      <c r="BN278" s="56">
        <f t="shared" si="541"/>
        <v>15.619000000000003</v>
      </c>
      <c r="BO278" s="56">
        <f t="shared" si="542"/>
        <v>17.654</v>
      </c>
      <c r="BP278" s="56">
        <f t="shared" si="543"/>
        <v>19.989000000000004</v>
      </c>
      <c r="BQ278" s="56">
        <f t="shared" si="543"/>
        <v>13.811999999999998</v>
      </c>
      <c r="BR278" s="56">
        <f t="shared" si="543"/>
        <v>12.22</v>
      </c>
      <c r="BS278" s="56">
        <f t="shared" si="544"/>
        <v>10.590999999999999</v>
      </c>
    </row>
    <row r="279" spans="1:71" x14ac:dyDescent="0.25">
      <c r="A279" s="74">
        <v>279</v>
      </c>
      <c r="B279" s="62" t="s">
        <v>211</v>
      </c>
      <c r="C279" s="93">
        <f t="shared" ca="1" si="515"/>
        <v>-0.189873417721519</v>
      </c>
      <c r="D279" s="88"/>
      <c r="E279" s="94">
        <f t="shared" ca="1" si="516"/>
        <v>-0.36</v>
      </c>
      <c r="F279" s="79">
        <f t="shared" si="517"/>
        <v>64</v>
      </c>
      <c r="G279" s="330">
        <f t="shared" si="518"/>
        <v>79</v>
      </c>
      <c r="H279" s="79">
        <f t="shared" si="517"/>
        <v>95</v>
      </c>
      <c r="I279" s="79">
        <f t="shared" si="517"/>
        <v>120</v>
      </c>
      <c r="J279" s="79">
        <f t="shared" si="517"/>
        <v>100</v>
      </c>
      <c r="K279" s="79">
        <f t="shared" si="519"/>
        <v>73</v>
      </c>
      <c r="L279" s="79">
        <f t="shared" si="517"/>
        <v>126</v>
      </c>
      <c r="M279" s="79">
        <f t="shared" si="517"/>
        <v>85</v>
      </c>
      <c r="N279" s="79">
        <f t="shared" si="517"/>
        <v>86</v>
      </c>
      <c r="O279" s="79">
        <f t="shared" si="520"/>
        <v>52</v>
      </c>
      <c r="P279" s="79">
        <f t="shared" si="517"/>
        <v>89</v>
      </c>
      <c r="Q279" s="79">
        <f t="shared" si="517"/>
        <v>58</v>
      </c>
      <c r="R279" s="79">
        <f t="shared" si="517"/>
        <v>39</v>
      </c>
      <c r="S279" s="79">
        <f t="shared" si="521"/>
        <v>28</v>
      </c>
      <c r="T279" s="404"/>
      <c r="U279" s="404"/>
      <c r="V279" s="404"/>
      <c r="W279" s="404"/>
      <c r="X279" s="79">
        <f t="shared" si="517"/>
        <v>90</v>
      </c>
      <c r="Y279" s="79">
        <f t="shared" si="517"/>
        <v>59</v>
      </c>
      <c r="Z279" s="79">
        <f t="shared" si="517"/>
        <v>67</v>
      </c>
      <c r="AA279" s="79">
        <f t="shared" si="522"/>
        <v>51</v>
      </c>
      <c r="AB279" s="79">
        <f t="shared" si="523"/>
        <v>59.599999999999994</v>
      </c>
      <c r="AC279" s="79">
        <f t="shared" si="523"/>
        <v>58.288000000000011</v>
      </c>
      <c r="AD279" s="79">
        <f t="shared" si="523"/>
        <v>45.868999999999993</v>
      </c>
      <c r="AE279" s="79">
        <f t="shared" si="524"/>
        <v>42.243000000000002</v>
      </c>
      <c r="AF279" s="79">
        <f t="shared" si="525"/>
        <v>63.302999999999997</v>
      </c>
      <c r="AG279" s="79">
        <f t="shared" si="525"/>
        <v>47.227999999999994</v>
      </c>
      <c r="AH279" s="79">
        <f t="shared" si="525"/>
        <v>49.523000000000003</v>
      </c>
      <c r="AI279" s="79">
        <f t="shared" si="526"/>
        <v>55.658999999999999</v>
      </c>
      <c r="AJ279" s="79">
        <f t="shared" si="527"/>
        <v>60.561999999999983</v>
      </c>
      <c r="AK279" s="79">
        <f t="shared" si="527"/>
        <v>46.604000000000013</v>
      </c>
      <c r="AL279" s="79">
        <f t="shared" si="527"/>
        <v>57.001999999999995</v>
      </c>
      <c r="AM279" s="79">
        <f t="shared" si="528"/>
        <v>34.182000000000002</v>
      </c>
      <c r="AN279" s="79">
        <f t="shared" si="529"/>
        <v>51.225999999999999</v>
      </c>
      <c r="AO279" s="79">
        <f t="shared" si="529"/>
        <v>55.790999999999997</v>
      </c>
      <c r="AP279" s="79">
        <f t="shared" si="529"/>
        <v>63.353000000000002</v>
      </c>
      <c r="AQ279" s="79">
        <f t="shared" si="530"/>
        <v>59.273000000000003</v>
      </c>
      <c r="AR279" s="79">
        <f t="shared" si="531"/>
        <v>75.123999999999995</v>
      </c>
      <c r="AS279" s="79">
        <f t="shared" si="531"/>
        <v>52.259</v>
      </c>
      <c r="AT279" s="79">
        <f t="shared" si="531"/>
        <v>39.361999999999995</v>
      </c>
      <c r="AU279" s="79">
        <f t="shared" si="532"/>
        <v>28.283000000000001</v>
      </c>
      <c r="AV279" s="79">
        <f t="shared" si="533"/>
        <v>12.161000000000001</v>
      </c>
      <c r="AW279" s="79">
        <f t="shared" si="533"/>
        <v>17.015999999999998</v>
      </c>
      <c r="AX279" s="79">
        <f t="shared" si="533"/>
        <v>12.507000000000001</v>
      </c>
      <c r="AY279" s="79">
        <f t="shared" si="534"/>
        <v>12.413</v>
      </c>
      <c r="AZ279" s="79">
        <f t="shared" si="535"/>
        <v>13.097000000000001</v>
      </c>
      <c r="BA279" s="79">
        <f t="shared" si="535"/>
        <v>10.779</v>
      </c>
      <c r="BB279" s="79">
        <f t="shared" si="535"/>
        <v>11.651999999999999</v>
      </c>
      <c r="BC279" s="79">
        <f t="shared" si="536"/>
        <v>9.2430000000000003</v>
      </c>
      <c r="BD279" s="79">
        <f t="shared" si="537"/>
        <v>11.327999999999999</v>
      </c>
      <c r="BE279" s="79">
        <f t="shared" si="537"/>
        <v>9.3989999999999991</v>
      </c>
      <c r="BF279" s="79">
        <f t="shared" si="537"/>
        <v>11.2</v>
      </c>
      <c r="BG279" s="79">
        <f t="shared" si="538"/>
        <v>2.452</v>
      </c>
      <c r="BH279" s="56">
        <f t="shared" si="539"/>
        <v>10.405000000000001</v>
      </c>
      <c r="BI279" s="56">
        <f t="shared" si="539"/>
        <v>8.6189999999999998</v>
      </c>
      <c r="BJ279" s="56">
        <f t="shared" si="539"/>
        <v>9.593</v>
      </c>
      <c r="BK279" s="56">
        <f t="shared" si="540"/>
        <v>4.8460000000000001</v>
      </c>
      <c r="BL279" s="56">
        <f t="shared" si="541"/>
        <v>9.1260000000000012</v>
      </c>
      <c r="BM279" s="56">
        <f t="shared" si="541"/>
        <v>4.7680000000000007</v>
      </c>
      <c r="BN279" s="56">
        <f t="shared" si="541"/>
        <v>5.2209999999999992</v>
      </c>
      <c r="BO279" s="56">
        <f t="shared" si="542"/>
        <v>3.194</v>
      </c>
      <c r="BP279" s="56">
        <f t="shared" si="543"/>
        <v>6.3099999999999987</v>
      </c>
      <c r="BQ279" s="56">
        <f t="shared" si="543"/>
        <v>4.4079999999999995</v>
      </c>
      <c r="BR279" s="56">
        <f t="shared" si="543"/>
        <v>6.1150000000000002</v>
      </c>
      <c r="BS279" s="56">
        <f t="shared" si="544"/>
        <v>3.762</v>
      </c>
    </row>
    <row r="280" spans="1:71" x14ac:dyDescent="0.25">
      <c r="A280" s="74">
        <v>280</v>
      </c>
      <c r="B280" s="76" t="s">
        <v>212</v>
      </c>
      <c r="C280" s="93">
        <f t="shared" ca="1" si="515"/>
        <v>0.18181818181818188</v>
      </c>
      <c r="D280" s="88"/>
      <c r="E280" s="94">
        <f t="shared" ca="1" si="516"/>
        <v>0.44444444444444442</v>
      </c>
      <c r="F280" s="79">
        <f t="shared" si="517"/>
        <v>13</v>
      </c>
      <c r="G280" s="330">
        <f t="shared" si="518"/>
        <v>11</v>
      </c>
      <c r="H280" s="79">
        <f t="shared" si="517"/>
        <v>13</v>
      </c>
      <c r="I280" s="79">
        <f t="shared" si="517"/>
        <v>8</v>
      </c>
      <c r="J280" s="79">
        <f t="shared" si="517"/>
        <v>9</v>
      </c>
      <c r="K280" s="79">
        <f t="shared" si="519"/>
        <v>7</v>
      </c>
      <c r="L280" s="79">
        <f t="shared" si="517"/>
        <v>8</v>
      </c>
      <c r="M280" s="79">
        <f t="shared" si="517"/>
        <v>12</v>
      </c>
      <c r="N280" s="79">
        <f t="shared" si="517"/>
        <v>15</v>
      </c>
      <c r="O280" s="79">
        <f t="shared" si="520"/>
        <v>19</v>
      </c>
      <c r="P280" s="79">
        <f t="shared" si="517"/>
        <v>17</v>
      </c>
      <c r="Q280" s="79">
        <f t="shared" si="517"/>
        <v>15</v>
      </c>
      <c r="R280" s="79">
        <f t="shared" si="517"/>
        <v>14</v>
      </c>
      <c r="S280" s="79">
        <f t="shared" si="521"/>
        <v>17</v>
      </c>
      <c r="T280" s="404"/>
      <c r="U280" s="404"/>
      <c r="V280" s="404"/>
      <c r="W280" s="404"/>
      <c r="X280" s="79">
        <f t="shared" si="517"/>
        <v>15</v>
      </c>
      <c r="Y280" s="79">
        <f t="shared" si="517"/>
        <v>13</v>
      </c>
      <c r="Z280" s="79">
        <f t="shared" si="517"/>
        <v>25</v>
      </c>
      <c r="AA280" s="79">
        <f t="shared" si="522"/>
        <v>30</v>
      </c>
      <c r="AB280" s="79">
        <f t="shared" si="523"/>
        <v>28.238</v>
      </c>
      <c r="AC280" s="79">
        <f t="shared" si="523"/>
        <v>39.075000000000003</v>
      </c>
      <c r="AD280" s="79">
        <f t="shared" si="523"/>
        <v>37.948</v>
      </c>
      <c r="AE280" s="79">
        <f t="shared" si="524"/>
        <v>40.738999999999997</v>
      </c>
      <c r="AF280" s="79">
        <f t="shared" si="525"/>
        <v>27.449999999999989</v>
      </c>
      <c r="AG280" s="79">
        <f t="shared" si="525"/>
        <v>31.838000000000008</v>
      </c>
      <c r="AH280" s="79">
        <f t="shared" si="525"/>
        <v>34.351999999999997</v>
      </c>
      <c r="AI280" s="79">
        <f t="shared" si="526"/>
        <v>30.055</v>
      </c>
      <c r="AJ280" s="79">
        <f t="shared" si="527"/>
        <v>24.039999999999992</v>
      </c>
      <c r="AK280" s="79">
        <f t="shared" si="527"/>
        <v>21.321000000000005</v>
      </c>
      <c r="AL280" s="79">
        <f t="shared" si="527"/>
        <v>25.940999999999999</v>
      </c>
      <c r="AM280" s="79">
        <f t="shared" si="528"/>
        <v>19.202999999999999</v>
      </c>
      <c r="AN280" s="79">
        <f t="shared" si="529"/>
        <v>23.832000000000008</v>
      </c>
      <c r="AO280" s="79">
        <f t="shared" si="529"/>
        <v>31.521000000000001</v>
      </c>
      <c r="AP280" s="79">
        <f t="shared" si="529"/>
        <v>44.111999999999995</v>
      </c>
      <c r="AQ280" s="79">
        <f t="shared" si="530"/>
        <v>44.459000000000003</v>
      </c>
      <c r="AR280" s="79">
        <f t="shared" si="531"/>
        <v>35.417000000000002</v>
      </c>
      <c r="AS280" s="79">
        <f t="shared" si="531"/>
        <v>24.065000000000005</v>
      </c>
      <c r="AT280" s="79">
        <f t="shared" si="531"/>
        <v>23.653999999999996</v>
      </c>
      <c r="AU280" s="79">
        <f t="shared" si="532"/>
        <v>17.442</v>
      </c>
      <c r="AV280" s="79">
        <f t="shared" si="533"/>
        <v>7.0689999999999991</v>
      </c>
      <c r="AW280" s="79">
        <f t="shared" si="533"/>
        <v>6.3890000000000011</v>
      </c>
      <c r="AX280" s="79">
        <f t="shared" si="533"/>
        <v>5.2610000000000001</v>
      </c>
      <c r="AY280" s="79">
        <f t="shared" si="534"/>
        <v>5.5110000000000001</v>
      </c>
      <c r="AZ280" s="79">
        <f t="shared" si="535"/>
        <v>6.5789999999999988</v>
      </c>
      <c r="BA280" s="79">
        <f t="shared" si="535"/>
        <v>3.1820000000000004</v>
      </c>
      <c r="BB280" s="79">
        <f t="shared" si="535"/>
        <v>6.3959999999999999</v>
      </c>
      <c r="BC280" s="79">
        <f t="shared" si="536"/>
        <v>0.26400000000000001</v>
      </c>
      <c r="BD280" s="79">
        <f t="shared" si="537"/>
        <v>3.0199999999999996</v>
      </c>
      <c r="BE280" s="79">
        <f t="shared" si="537"/>
        <v>2.0149999999999997</v>
      </c>
      <c r="BF280" s="79">
        <f t="shared" si="537"/>
        <v>2.609</v>
      </c>
      <c r="BG280" s="79">
        <f t="shared" si="538"/>
        <v>1.835</v>
      </c>
      <c r="BH280" s="56">
        <f t="shared" si="539"/>
        <v>4.0460000000000012</v>
      </c>
      <c r="BI280" s="56">
        <f t="shared" si="539"/>
        <v>3.2059999999999995</v>
      </c>
      <c r="BJ280" s="56">
        <f t="shared" si="539"/>
        <v>2.194</v>
      </c>
      <c r="BK280" s="56">
        <f t="shared" si="540"/>
        <v>1.248</v>
      </c>
      <c r="BL280" s="56">
        <f t="shared" si="541"/>
        <v>4.8039999999999994</v>
      </c>
      <c r="BM280" s="56">
        <f t="shared" si="541"/>
        <v>0</v>
      </c>
      <c r="BN280" s="56">
        <f t="shared" si="541"/>
        <v>3.4340000000000002</v>
      </c>
      <c r="BO280" s="56">
        <f t="shared" si="542"/>
        <v>1.635</v>
      </c>
      <c r="BP280" s="56">
        <f t="shared" si="543"/>
        <v>0</v>
      </c>
      <c r="BQ280" s="56">
        <f t="shared" si="543"/>
        <v>1.8520000000000003</v>
      </c>
      <c r="BR280" s="56">
        <f t="shared" si="543"/>
        <v>2.5179999999999998</v>
      </c>
      <c r="BS280" s="56">
        <f t="shared" si="544"/>
        <v>2.1779999999999999</v>
      </c>
    </row>
    <row r="281" spans="1:71" x14ac:dyDescent="0.25">
      <c r="A281" s="74">
        <v>281</v>
      </c>
      <c r="B281" s="62" t="s">
        <v>213</v>
      </c>
      <c r="C281" s="93"/>
      <c r="D281" s="88"/>
      <c r="E281" s="94"/>
      <c r="F281" s="79">
        <f t="shared" si="517"/>
        <v>0</v>
      </c>
      <c r="G281" s="330">
        <f t="shared" si="518"/>
        <v>0</v>
      </c>
      <c r="H281" s="79">
        <f t="shared" si="517"/>
        <v>0</v>
      </c>
      <c r="I281" s="79">
        <f t="shared" si="517"/>
        <v>0</v>
      </c>
      <c r="J281" s="79">
        <f t="shared" si="517"/>
        <v>0</v>
      </c>
      <c r="K281" s="79">
        <f t="shared" si="519"/>
        <v>0</v>
      </c>
      <c r="L281" s="79">
        <f t="shared" si="517"/>
        <v>0</v>
      </c>
      <c r="M281" s="79">
        <f t="shared" si="517"/>
        <v>0</v>
      </c>
      <c r="N281" s="79">
        <f t="shared" si="517"/>
        <v>0</v>
      </c>
      <c r="O281" s="79">
        <f t="shared" si="520"/>
        <v>0</v>
      </c>
      <c r="P281" s="79">
        <f t="shared" si="517"/>
        <v>1</v>
      </c>
      <c r="Q281" s="79">
        <f t="shared" si="517"/>
        <v>1</v>
      </c>
      <c r="R281" s="79">
        <f t="shared" si="517"/>
        <v>0</v>
      </c>
      <c r="S281" s="79">
        <f t="shared" si="521"/>
        <v>0</v>
      </c>
      <c r="T281" s="404"/>
      <c r="U281" s="404"/>
      <c r="V281" s="404"/>
      <c r="W281" s="404"/>
      <c r="X281" s="79">
        <f t="shared" si="517"/>
        <v>3</v>
      </c>
      <c r="Y281" s="79">
        <f t="shared" si="517"/>
        <v>3</v>
      </c>
      <c r="Z281" s="79">
        <f t="shared" si="517"/>
        <v>1</v>
      </c>
      <c r="AA281" s="79">
        <f t="shared" si="522"/>
        <v>8</v>
      </c>
      <c r="AB281" s="79">
        <f t="shared" si="523"/>
        <v>3.972999999999999</v>
      </c>
      <c r="AC281" s="79">
        <f t="shared" si="523"/>
        <v>2.9300000000000015</v>
      </c>
      <c r="AD281" s="79">
        <f t="shared" si="523"/>
        <v>5.1439999999999992</v>
      </c>
      <c r="AE281" s="79">
        <f t="shared" si="524"/>
        <v>7.9530000000000003</v>
      </c>
      <c r="AF281" s="79">
        <f t="shared" si="525"/>
        <v>2.9289999999999994</v>
      </c>
      <c r="AG281" s="79">
        <f t="shared" si="525"/>
        <v>2.2070000000000003</v>
      </c>
      <c r="AH281" s="79">
        <f t="shared" si="525"/>
        <v>1.63</v>
      </c>
      <c r="AI281" s="79">
        <f t="shared" si="526"/>
        <v>1.722</v>
      </c>
      <c r="AJ281" s="79">
        <f t="shared" si="527"/>
        <v>3.7889999999999997</v>
      </c>
      <c r="AK281" s="79">
        <f t="shared" si="527"/>
        <v>1.9359999999999999</v>
      </c>
      <c r="AL281" s="79">
        <f t="shared" si="527"/>
        <v>2.41</v>
      </c>
      <c r="AM281" s="79">
        <f t="shared" si="528"/>
        <v>2.2149999999999999</v>
      </c>
      <c r="AN281" s="79">
        <f t="shared" si="529"/>
        <v>1.5469999999999997</v>
      </c>
      <c r="AO281" s="79">
        <f t="shared" si="529"/>
        <v>3.4010000000000007</v>
      </c>
      <c r="AP281" s="79">
        <f t="shared" si="529"/>
        <v>1.7199999999999998</v>
      </c>
      <c r="AQ281" s="79">
        <f t="shared" si="530"/>
        <v>2.2869999999999999</v>
      </c>
      <c r="AR281" s="79">
        <f t="shared" si="531"/>
        <v>1.7389999999999999</v>
      </c>
      <c r="AS281" s="79">
        <f t="shared" si="531"/>
        <v>2.5609999999999999</v>
      </c>
      <c r="AT281" s="79">
        <f t="shared" si="531"/>
        <v>2.1440000000000001</v>
      </c>
      <c r="AU281" s="79">
        <f t="shared" si="532"/>
        <v>1.3480000000000001</v>
      </c>
      <c r="AV281" s="79">
        <f t="shared" si="533"/>
        <v>1.8550000000000004</v>
      </c>
      <c r="AW281" s="79">
        <f t="shared" si="533"/>
        <v>1.1129999999999995</v>
      </c>
      <c r="AX281" s="79">
        <f t="shared" si="533"/>
        <v>2.6840000000000002</v>
      </c>
      <c r="AY281" s="79">
        <f t="shared" si="534"/>
        <v>2.6520000000000001</v>
      </c>
      <c r="AZ281" s="79">
        <f t="shared" si="535"/>
        <v>23.175999999999998</v>
      </c>
      <c r="BA281" s="79">
        <f t="shared" si="535"/>
        <v>4.2140000000000004</v>
      </c>
      <c r="BB281" s="79">
        <f t="shared" si="535"/>
        <v>1.5970000000000004</v>
      </c>
      <c r="BC281" s="79">
        <f t="shared" si="536"/>
        <v>7.1779999999999999</v>
      </c>
      <c r="BD281" s="79">
        <f t="shared" si="537"/>
        <v>2.2800000000000002</v>
      </c>
      <c r="BE281" s="79">
        <f t="shared" si="537"/>
        <v>2.3769999999999998</v>
      </c>
      <c r="BF281" s="79">
        <f t="shared" si="537"/>
        <v>2.0350000000000001</v>
      </c>
      <c r="BG281" s="79">
        <f t="shared" si="538"/>
        <v>1.4359999999999999</v>
      </c>
      <c r="BH281" s="56">
        <f t="shared" si="539"/>
        <v>2.8340000000000005</v>
      </c>
      <c r="BI281" s="56">
        <f t="shared" si="539"/>
        <v>2.4459999999999997</v>
      </c>
      <c r="BJ281" s="56">
        <f t="shared" si="539"/>
        <v>1.395</v>
      </c>
      <c r="BK281" s="56">
        <f t="shared" si="540"/>
        <v>0.90300000000000002</v>
      </c>
      <c r="BL281" s="56">
        <f t="shared" si="541"/>
        <v>1.5329999999999999</v>
      </c>
      <c r="BM281" s="56">
        <f t="shared" si="541"/>
        <v>1.0750000000000002</v>
      </c>
      <c r="BN281" s="56">
        <f t="shared" si="541"/>
        <v>0.96199999999999997</v>
      </c>
      <c r="BO281" s="56">
        <f t="shared" si="542"/>
        <v>0.65900000000000003</v>
      </c>
      <c r="BP281" s="56">
        <f t="shared" si="543"/>
        <v>1.4909999999999997</v>
      </c>
      <c r="BQ281" s="56">
        <f t="shared" si="543"/>
        <v>0.79999999999999982</v>
      </c>
      <c r="BR281" s="56">
        <f t="shared" si="543"/>
        <v>1.2620000000000002</v>
      </c>
      <c r="BS281" s="56">
        <f t="shared" si="544"/>
        <v>1.361</v>
      </c>
    </row>
    <row r="282" spans="1:71" x14ac:dyDescent="0.25">
      <c r="A282" s="74">
        <v>282</v>
      </c>
      <c r="B282" s="76" t="s">
        <v>207</v>
      </c>
      <c r="C282" s="93">
        <f t="shared" ca="1" si="515"/>
        <v>0</v>
      </c>
      <c r="D282" s="88"/>
      <c r="E282" s="94">
        <f t="shared" ca="1" si="516"/>
        <v>7.6923076923076872E-2</v>
      </c>
      <c r="F282" s="79">
        <f t="shared" si="517"/>
        <v>14</v>
      </c>
      <c r="G282" s="330">
        <v>14</v>
      </c>
      <c r="H282" s="79">
        <f t="shared" si="517"/>
        <v>14</v>
      </c>
      <c r="I282" s="79">
        <f t="shared" si="517"/>
        <v>15</v>
      </c>
      <c r="J282" s="79">
        <f t="shared" si="517"/>
        <v>13</v>
      </c>
      <c r="K282" s="79">
        <f t="shared" si="519"/>
        <v>12</v>
      </c>
      <c r="L282" s="79">
        <f t="shared" si="517"/>
        <v>12</v>
      </c>
      <c r="M282" s="79">
        <f t="shared" si="517"/>
        <v>10</v>
      </c>
      <c r="N282" s="79">
        <f t="shared" si="517"/>
        <v>70</v>
      </c>
      <c r="O282" s="79">
        <f t="shared" si="520"/>
        <v>11</v>
      </c>
      <c r="P282" s="79">
        <f t="shared" si="517"/>
        <v>11</v>
      </c>
      <c r="Q282" s="79">
        <f t="shared" si="517"/>
        <v>11</v>
      </c>
      <c r="R282" s="79">
        <f t="shared" si="517"/>
        <v>5</v>
      </c>
      <c r="S282" s="79">
        <f t="shared" si="521"/>
        <v>6</v>
      </c>
      <c r="T282" s="404"/>
      <c r="U282" s="404"/>
      <c r="V282" s="404"/>
      <c r="W282" s="404"/>
      <c r="X282" s="79">
        <f t="shared" si="517"/>
        <v>6</v>
      </c>
      <c r="Y282" s="79">
        <f t="shared" si="517"/>
        <v>5</v>
      </c>
      <c r="Z282" s="79">
        <f t="shared" si="517"/>
        <v>6</v>
      </c>
      <c r="AA282" s="79">
        <f t="shared" si="522"/>
        <v>11</v>
      </c>
      <c r="AB282" s="79">
        <f t="shared" si="523"/>
        <v>6.8790000000000013</v>
      </c>
      <c r="AC282" s="79">
        <f t="shared" si="523"/>
        <v>5.581999999999999</v>
      </c>
      <c r="AD282" s="79">
        <f t="shared" si="523"/>
        <v>3.3879999999999999</v>
      </c>
      <c r="AE282" s="79">
        <f t="shared" si="524"/>
        <v>7.1509999999999998</v>
      </c>
      <c r="AF282" s="79">
        <f t="shared" si="525"/>
        <v>0.22100000000000009</v>
      </c>
      <c r="AG282" s="79">
        <f t="shared" si="525"/>
        <v>3.9830000000000005</v>
      </c>
      <c r="AH282" s="79">
        <f t="shared" si="525"/>
        <v>1.0439999999999996</v>
      </c>
      <c r="AI282" s="79">
        <f t="shared" si="526"/>
        <v>5.367</v>
      </c>
      <c r="AJ282" s="79">
        <f t="shared" si="527"/>
        <v>0.40599999999999881</v>
      </c>
      <c r="AK282" s="79">
        <f t="shared" si="527"/>
        <v>6.4610000000000003</v>
      </c>
      <c r="AL282" s="79">
        <f t="shared" si="527"/>
        <v>1.0590000000000002</v>
      </c>
      <c r="AM282" s="79">
        <f t="shared" si="528"/>
        <v>7.0910000000000002</v>
      </c>
      <c r="AN282" s="79">
        <f t="shared" si="529"/>
        <v>2.8219999999999992</v>
      </c>
      <c r="AO282" s="79">
        <f t="shared" si="529"/>
        <v>10.082000000000001</v>
      </c>
      <c r="AP282" s="79">
        <f t="shared" si="529"/>
        <v>3.3719999999999999</v>
      </c>
      <c r="AQ282" s="79">
        <f t="shared" si="530"/>
        <v>9.9209999999999994</v>
      </c>
      <c r="AR282" s="79">
        <f t="shared" si="531"/>
        <v>1.6069999999999993</v>
      </c>
      <c r="AS282" s="79">
        <f t="shared" si="531"/>
        <v>11.085999999999999</v>
      </c>
      <c r="AT282" s="79">
        <f t="shared" si="531"/>
        <v>1.8920000000000012</v>
      </c>
      <c r="AU282" s="79">
        <f t="shared" si="532"/>
        <v>14.289</v>
      </c>
      <c r="AV282" s="79">
        <f t="shared" si="533"/>
        <v>2.4510000000000005</v>
      </c>
      <c r="AW282" s="79">
        <f t="shared" si="533"/>
        <v>14.963000000000001</v>
      </c>
      <c r="AX282" s="79">
        <f t="shared" si="533"/>
        <v>2.5960000000000001</v>
      </c>
      <c r="AY282" s="79">
        <f t="shared" si="534"/>
        <v>17.007999999999999</v>
      </c>
      <c r="AZ282" s="79">
        <f t="shared" si="535"/>
        <v>23.978999999999999</v>
      </c>
      <c r="BA282" s="79">
        <f t="shared" si="535"/>
        <v>13.651999999999997</v>
      </c>
      <c r="BB282" s="79">
        <f t="shared" si="535"/>
        <v>10.037000000000001</v>
      </c>
      <c r="BC282" s="79">
        <f t="shared" si="536"/>
        <v>9.1349999999999998</v>
      </c>
      <c r="BD282" s="79">
        <f t="shared" si="537"/>
        <v>15.390999999999998</v>
      </c>
      <c r="BE282" s="79">
        <f t="shared" si="537"/>
        <v>23.444000000000003</v>
      </c>
      <c r="BF282" s="79">
        <f t="shared" si="537"/>
        <v>22.542999999999999</v>
      </c>
      <c r="BG282" s="79">
        <f t="shared" si="538"/>
        <v>10.976000000000001</v>
      </c>
      <c r="BH282" s="56">
        <f t="shared" si="539"/>
        <v>18.271999999999991</v>
      </c>
      <c r="BI282" s="56">
        <f t="shared" si="539"/>
        <v>14.717000000000006</v>
      </c>
      <c r="BJ282" s="56">
        <f t="shared" si="539"/>
        <v>31.165999999999997</v>
      </c>
      <c r="BK282" s="56">
        <f t="shared" si="540"/>
        <v>8.9329999999999998</v>
      </c>
      <c r="BL282" s="56">
        <f t="shared" si="541"/>
        <v>37.703999999999994</v>
      </c>
      <c r="BM282" s="56">
        <f t="shared" si="541"/>
        <v>5.9639999999999986</v>
      </c>
      <c r="BN282" s="56">
        <f t="shared" si="541"/>
        <v>30.757000000000001</v>
      </c>
      <c r="BO282" s="56">
        <f t="shared" si="542"/>
        <v>6.657</v>
      </c>
      <c r="BP282" s="56">
        <f t="shared" si="543"/>
        <v>34.807000000000002</v>
      </c>
      <c r="BQ282" s="56">
        <f t="shared" si="543"/>
        <v>6.5169999999999959</v>
      </c>
      <c r="BR282" s="56">
        <f t="shared" si="543"/>
        <v>34.417000000000002</v>
      </c>
      <c r="BS282" s="56">
        <f t="shared" si="544"/>
        <v>9.61</v>
      </c>
    </row>
    <row r="283" spans="1:71" x14ac:dyDescent="0.25">
      <c r="A283" s="74">
        <v>283</v>
      </c>
      <c r="B283" s="62" t="s">
        <v>60</v>
      </c>
      <c r="C283" s="93">
        <f t="shared" ca="1" si="515"/>
        <v>-0.30434782608695654</v>
      </c>
      <c r="D283" s="88"/>
      <c r="E283" s="94">
        <f t="shared" ca="1" si="516"/>
        <v>0.60000000000000009</v>
      </c>
      <c r="F283" s="79">
        <f t="shared" ref="F283:AD283" si="545">SUMIFS(F$248:F$255,$B$248:$B$255,$B283)-SUMIFS(G$248:G$255,$B$248:$B$255,$B283)</f>
        <v>16</v>
      </c>
      <c r="G283" s="330">
        <f t="shared" si="518"/>
        <v>23</v>
      </c>
      <c r="H283" s="79">
        <f t="shared" si="545"/>
        <v>9</v>
      </c>
      <c r="I283" s="79">
        <f t="shared" si="545"/>
        <v>9</v>
      </c>
      <c r="J283" s="79">
        <f t="shared" si="545"/>
        <v>10</v>
      </c>
      <c r="K283" s="79">
        <f t="shared" si="519"/>
        <v>11</v>
      </c>
      <c r="L283" s="79">
        <f t="shared" si="545"/>
        <v>8</v>
      </c>
      <c r="M283" s="79">
        <f t="shared" si="545"/>
        <v>8</v>
      </c>
      <c r="N283" s="79">
        <f t="shared" si="545"/>
        <v>6</v>
      </c>
      <c r="O283" s="79">
        <f t="shared" si="520"/>
        <v>6</v>
      </c>
      <c r="P283" s="79">
        <f t="shared" si="545"/>
        <v>24</v>
      </c>
      <c r="Q283" s="79">
        <f t="shared" si="545"/>
        <v>7</v>
      </c>
      <c r="R283" s="79">
        <f t="shared" si="545"/>
        <v>9</v>
      </c>
      <c r="S283" s="79">
        <f t="shared" si="521"/>
        <v>14</v>
      </c>
      <c r="T283" s="404"/>
      <c r="U283" s="404"/>
      <c r="V283" s="404"/>
      <c r="W283" s="404"/>
      <c r="X283" s="79">
        <f t="shared" si="545"/>
        <v>27</v>
      </c>
      <c r="Y283" s="79">
        <f t="shared" si="545"/>
        <v>15</v>
      </c>
      <c r="Z283" s="79">
        <f t="shared" si="545"/>
        <v>10</v>
      </c>
      <c r="AA283" s="79">
        <f>SUMIFS(AA$248:AA$255,$B$248:$B$255,$B283)</f>
        <v>3</v>
      </c>
      <c r="AB283" s="79">
        <f t="shared" si="545"/>
        <v>8.3719999999999999</v>
      </c>
      <c r="AC283" s="79">
        <f t="shared" si="545"/>
        <v>3.1889999999999219</v>
      </c>
      <c r="AD283" s="79">
        <f t="shared" si="545"/>
        <v>3.8510000000000781</v>
      </c>
      <c r="AE283" s="79">
        <f>SUMIFS(AE$248:AE$255,$B$248:$B$255,$B283)</f>
        <v>4.5880000000000001</v>
      </c>
      <c r="AF283" s="79">
        <f>SUMIFS(AF$248:AF$255,$B$248:$B$255,$B283)-SUMIFS(AG$248:AG$255,$B$248:$B$255,$B283)</f>
        <v>3.8220000000000027</v>
      </c>
      <c r="AG283" s="79">
        <f>SUMIFS(AG$248:AG$255,$B$248:$B$255,$B283)-SUMIFS(AH$248:AH$255,$B$248:$B$255,$B283)</f>
        <v>8.9039999999999999</v>
      </c>
      <c r="AH283" s="79">
        <f>SUMIFS(AH$248:AH$255,$B$248:$B$255,$B283)-SUMIFS(AI$248:AI$255,$B$248:$B$255,$B283)</f>
        <v>7.8209999999999988</v>
      </c>
      <c r="AI283" s="79">
        <f>SUMIFS(AI$248:AI$255,$B$248:$B$255,$B283)</f>
        <v>6.6870000000000003</v>
      </c>
      <c r="AJ283" s="79">
        <f>SUMIFS(AJ$248:AJ$255,$B$248:$B$255,$B283)-SUMIFS(AK$248:AK$255,$B$248:$B$255,$B283)</f>
        <v>7.9750000000000014</v>
      </c>
      <c r="AK283" s="79">
        <f>SUMIFS(AK$248:AK$255,$B$248:$B$255,$B283)-SUMIFS(AL$248:AL$255,$B$248:$B$255,$B283)</f>
        <v>5.0189999999999984</v>
      </c>
      <c r="AL283" s="79">
        <f>SUMIFS(AL$248:AL$255,$B$248:$B$255,$B283)-SUMIFS(AM$248:AM$255,$B$248:$B$255,$B283)</f>
        <v>6.7070000000000007</v>
      </c>
      <c r="AM283" s="79">
        <f>SUMIFS(AM$248:AM$255,$B$248:$B$255,$B283)</f>
        <v>7.0350000000000001</v>
      </c>
      <c r="AN283" s="79">
        <f>SUMIFS(AN$248:AN$255,$B$248:$B$255,$B283)-SUMIFS(AO$248:AO$255,$B$248:$B$255,$B283)</f>
        <v>19.816000000000003</v>
      </c>
      <c r="AO283" s="79">
        <f>SUMIFS(AO$248:AO$255,$B$248:$B$255,$B283)-SUMIFS(AP$248:AP$255,$B$248:$B$255,$B283)</f>
        <v>9.4569999999999972</v>
      </c>
      <c r="AP283" s="79">
        <f>SUMIFS(AP$248:AP$255,$B$248:$B$255,$B283)-SUMIFS(AQ$248:AQ$255,$B$248:$B$255,$B283)</f>
        <v>7.0070000000000014</v>
      </c>
      <c r="AQ283" s="79">
        <f>SUMIFS(AQ$248:AQ$255,$B$248:$B$255,$B283)</f>
        <v>9.2469999999999999</v>
      </c>
      <c r="AR283" s="79">
        <f>SUMIFS(AR$248:AR$255,$B$248:$B$255,$B283)-SUMIFS(AS$248:AS$255,$B$248:$B$255,$B283)</f>
        <v>10.524999999999999</v>
      </c>
      <c r="AS283" s="79">
        <f>SUMIFS(AS$248:AS$255,$B$248:$B$255,$B283)-SUMIFS(AT$248:AT$255,$B$248:$B$255,$B283)</f>
        <v>8.5040000000000013</v>
      </c>
      <c r="AT283" s="79">
        <f>SUMIFS(AT$248:AT$255,$B$248:$B$255,$B283)-SUMIFS(AU$248:AU$255,$B$248:$B$255,$B283)</f>
        <v>10.303000000000001</v>
      </c>
      <c r="AU283" s="79">
        <f>SUMIFS(AU$248:AU$255,$B$248:$B$255,$B283)</f>
        <v>4.3419999999999996</v>
      </c>
      <c r="AV283" s="79">
        <f>SUMIFS(AV$248:AV$255,$B$248:$B$255,$B283)-SUMIFS(AW$248:AW$255,$B$248:$B$255,$B283)</f>
        <v>12.715999999999999</v>
      </c>
      <c r="AW283" s="79">
        <f>SUMIFS(AW$248:AW$255,$B$248:$B$255,$B283)-SUMIFS(AX$248:AX$255,$B$248:$B$255,$B283)</f>
        <v>4.0359999999999996</v>
      </c>
      <c r="AX283" s="79">
        <f>SUMIFS(AX$248:AX$255,$B$248:$B$255,$B283)-SUMIFS(AY$248:AY$255,$B$248:$B$255,$B283)</f>
        <v>2.512</v>
      </c>
      <c r="AY283" s="79">
        <f>SUMIFS(AY$248:AY$255,$B$248:$B$255,$B283)</f>
        <v>1.3980000000000001</v>
      </c>
      <c r="AZ283" s="79">
        <f>SUMIFS(AZ$248:AZ$255,$B$248:$B$255,$B283)-SUMIFS(BA$248:BA$255,$B$248:$B$255,$B283)</f>
        <v>12.063000000000002</v>
      </c>
      <c r="BA283" s="79">
        <f>SUMIFS(BA$248:BA$255,$B$248:$B$255,$B283)-SUMIFS(BB$248:BB$255,$B$248:$B$255,$B283)</f>
        <v>7.1769999999999978</v>
      </c>
      <c r="BB283" s="79">
        <f>SUMIFS(BB$248:BB$255,$B$248:$B$255,$B283)-SUMIFS(BC$248:BC$255,$B$248:$B$255,$B283)</f>
        <v>2.1760000000000002</v>
      </c>
      <c r="BC283" s="79">
        <f>SUMIFS(BC$248:BC$255,$B$248:$B$255,$B283)</f>
        <v>9.0060000000000002</v>
      </c>
      <c r="BD283" s="79">
        <f>SUMIFS(BD$248:BD$255,$B$248:$B$255,$B283)-SUMIFS(BE$248:BE$255,$B$248:$B$255,$B283)</f>
        <v>5.4450000000000003</v>
      </c>
      <c r="BE283" s="79">
        <f>SUMIFS(BE$248:BE$255,$B$248:$B$255,$B283)-SUMIFS(BF$248:BF$255,$B$248:$B$255,$B283)</f>
        <v>6.2920000000000016</v>
      </c>
      <c r="BF283" s="79">
        <f>SUMIFS(BF$248:BF$255,$B$248:$B$255,$B283)-SUMIFS(BG$248:BG$255,$B$248:$B$255,$B283)</f>
        <v>5.8069999999999986</v>
      </c>
      <c r="BG283" s="79">
        <f>SUMIFS(BG$248:BG$255,$B$248:$B$255,$B283)</f>
        <v>10.079000000000001</v>
      </c>
      <c r="BH283" s="56">
        <f>SUMIFS(BH$248:BH$255,$B$248:$B$255,$B283)-SUMIFS(BI$248:BI$255,$B$248:$B$255,$B283)</f>
        <v>8.4140000000000015</v>
      </c>
      <c r="BI283" s="56">
        <f>SUMIFS(BI$248:BI$255,$B$248:$B$255,$B283)-SUMIFS(BJ$248:BJ$255,$B$248:$B$255,$B283)</f>
        <v>3.2720000000000002</v>
      </c>
      <c r="BJ283" s="56">
        <f>SUMIFS(BJ$248:BJ$255,$B$248:$B$255,$B283)-SUMIFS(BK$248:BK$255,$B$248:$B$255,$B283)</f>
        <v>7.218</v>
      </c>
      <c r="BK283" s="56">
        <f>SUMIFS(BK$248:BK$255,$B$248:$B$255,$B283)</f>
        <v>2.4809999999999999</v>
      </c>
      <c r="BL283" s="56">
        <f>SUMIFS(BL$248:BL$255,$B$248:$B$255,$B283)-SUMIFS(BM$248:BM$255,$B$248:$B$255,$B283)</f>
        <v>4.9510000000000005</v>
      </c>
      <c r="BM283" s="56">
        <f>SUMIFS(BM$248:BM$255,$B$248:$B$255,$B283)-SUMIFS(BN$248:BN$255,$B$248:$B$255,$B283)</f>
        <v>7.4489999999999998</v>
      </c>
      <c r="BN283" s="56">
        <f>SUMIFS(BN$248:BN$255,$B$248:$B$255,$B283)-SUMIFS(BO$248:BO$255,$B$248:$B$255,$B283)</f>
        <v>4.4400000000000004</v>
      </c>
      <c r="BO283" s="56">
        <f>SUMIFS(BO$248:BO$255,$B$248:$B$255,$B283)</f>
        <v>0.57899999999999996</v>
      </c>
      <c r="BP283" s="56">
        <f>SUMIFS(BP$248:BP$255,$B$248:$B$255,$B283)-SUMIFS(BQ$248:BQ$255,$B$248:$B$255,$B283)</f>
        <v>7.1609999999999978</v>
      </c>
      <c r="BQ283" s="56">
        <f>SUMIFS(BQ$248:BQ$255,$B$248:$B$255,$B283)-SUMIFS(BR$248:BR$255,$B$248:$B$255,$B283)</f>
        <v>1.1670000000000016</v>
      </c>
      <c r="BR283" s="56">
        <f>SUMIFS(BR$248:BR$255,$B$248:$B$255,$B283)-SUMIFS(BS$248:BS$255,$B$248:$B$255,$B283)</f>
        <v>-16.796999999999997</v>
      </c>
      <c r="BS283" s="56">
        <f>SUMIFS(BS$248:BS$255,$B$248:$B$255,$B283)</f>
        <v>32.049999999999997</v>
      </c>
    </row>
    <row r="284" spans="1:71" x14ac:dyDescent="0.25">
      <c r="A284" s="74">
        <v>284</v>
      </c>
      <c r="B284" s="75" t="s">
        <v>259</v>
      </c>
      <c r="C284" s="96">
        <f t="shared" ca="1" si="515"/>
        <v>0.16387096774193544</v>
      </c>
      <c r="D284" s="96"/>
      <c r="E284" s="96">
        <f t="shared" ca="1" si="516"/>
        <v>0.1653746770025839</v>
      </c>
      <c r="F284" s="126">
        <f t="shared" ref="F284" si="546">SUM(F276:F283)</f>
        <v>902</v>
      </c>
      <c r="G284" s="331">
        <f t="shared" ref="G284" si="547">SUM(G276:G283)</f>
        <v>775</v>
      </c>
      <c r="H284" s="126">
        <f t="shared" ref="H284" si="548">SUM(H276:H283)</f>
        <v>764</v>
      </c>
      <c r="I284" s="126">
        <f t="shared" ref="I284" si="549">SUM(I276:I283)</f>
        <v>842</v>
      </c>
      <c r="J284" s="126">
        <f t="shared" ref="J284" si="550">SUM(J276:J283)</f>
        <v>774</v>
      </c>
      <c r="K284" s="126">
        <f t="shared" ref="K284" si="551">SUM(K276:K283)</f>
        <v>673</v>
      </c>
      <c r="L284" s="126">
        <f t="shared" ref="L284:AI284" si="552">SUM(L276:L283)</f>
        <v>644</v>
      </c>
      <c r="M284" s="126">
        <f t="shared" si="552"/>
        <v>701</v>
      </c>
      <c r="N284" s="126">
        <f t="shared" si="552"/>
        <v>773</v>
      </c>
      <c r="O284" s="126">
        <f t="shared" si="552"/>
        <v>688</v>
      </c>
      <c r="P284" s="126">
        <f t="shared" si="552"/>
        <v>788</v>
      </c>
      <c r="Q284" s="126">
        <f t="shared" si="552"/>
        <v>718</v>
      </c>
      <c r="R284" s="126">
        <f t="shared" si="552"/>
        <v>665</v>
      </c>
      <c r="S284" s="126">
        <f t="shared" si="552"/>
        <v>627</v>
      </c>
      <c r="T284" s="436"/>
      <c r="U284" s="436"/>
      <c r="V284" s="436"/>
      <c r="W284" s="436"/>
      <c r="X284" s="126">
        <f t="shared" si="552"/>
        <v>595</v>
      </c>
      <c r="Y284" s="126">
        <f t="shared" si="552"/>
        <v>644</v>
      </c>
      <c r="Z284" s="126">
        <f t="shared" si="552"/>
        <v>623</v>
      </c>
      <c r="AA284" s="126">
        <f t="shared" si="552"/>
        <v>561</v>
      </c>
      <c r="AB284" s="126">
        <f t="shared" si="552"/>
        <v>564.24499999999989</v>
      </c>
      <c r="AC284" s="126">
        <f t="shared" si="552"/>
        <v>524.745</v>
      </c>
      <c r="AD284" s="126">
        <f t="shared" si="552"/>
        <v>420.66699999999997</v>
      </c>
      <c r="AE284" s="126">
        <f t="shared" si="552"/>
        <v>477.34299999999996</v>
      </c>
      <c r="AF284" s="126">
        <f t="shared" si="552"/>
        <v>595.08899999999994</v>
      </c>
      <c r="AG284" s="126">
        <f t="shared" si="552"/>
        <v>524.14099999999996</v>
      </c>
      <c r="AH284" s="126">
        <f t="shared" si="552"/>
        <v>507.64700000000005</v>
      </c>
      <c r="AI284" s="126">
        <f t="shared" si="552"/>
        <v>532.08399999999995</v>
      </c>
      <c r="AJ284" s="126">
        <f t="shared" ref="AJ284:BS284" si="553">SUM(AJ276:AJ283)</f>
        <v>558.7584999999998</v>
      </c>
      <c r="AK284" s="126">
        <f t="shared" si="553"/>
        <v>537.5635000000002</v>
      </c>
      <c r="AL284" s="126">
        <f t="shared" si="553"/>
        <v>529.26549999999986</v>
      </c>
      <c r="AM284" s="126">
        <f t="shared" si="553"/>
        <v>456.96749999999997</v>
      </c>
      <c r="AN284" s="126">
        <f t="shared" si="553"/>
        <v>366.14900000000011</v>
      </c>
      <c r="AO284" s="126">
        <f t="shared" si="553"/>
        <v>358.35900000000004</v>
      </c>
      <c r="AP284" s="126">
        <f t="shared" si="553"/>
        <v>349.37599999999998</v>
      </c>
      <c r="AQ284" s="126">
        <f t="shared" si="553"/>
        <v>322.12200000000001</v>
      </c>
      <c r="AR284" s="126">
        <f t="shared" si="553"/>
        <v>353.45100000000002</v>
      </c>
      <c r="AS284" s="126">
        <f t="shared" si="553"/>
        <v>304.63900000000001</v>
      </c>
      <c r="AT284" s="126">
        <f t="shared" si="553"/>
        <v>255.01500000000001</v>
      </c>
      <c r="AU284" s="126">
        <f t="shared" si="553"/>
        <v>217.83300000000006</v>
      </c>
      <c r="AV284" s="126">
        <f t="shared" si="553"/>
        <v>193.91600000000003</v>
      </c>
      <c r="AW284" s="126">
        <f t="shared" si="553"/>
        <v>208.44399999999999</v>
      </c>
      <c r="AX284" s="126">
        <f t="shared" si="553"/>
        <v>152.15299999999999</v>
      </c>
      <c r="AY284" s="126">
        <f t="shared" si="553"/>
        <v>175.51500000000001</v>
      </c>
      <c r="AZ284" s="126">
        <f t="shared" si="553"/>
        <v>240.17700000000002</v>
      </c>
      <c r="BA284" s="126">
        <f t="shared" si="553"/>
        <v>164.23299999999998</v>
      </c>
      <c r="BB284" s="126">
        <f t="shared" si="553"/>
        <v>156.44799999999995</v>
      </c>
      <c r="BC284" s="126">
        <f t="shared" si="553"/>
        <v>139.08699999999999</v>
      </c>
      <c r="BD284" s="126">
        <f t="shared" si="553"/>
        <v>133.148</v>
      </c>
      <c r="BE284" s="126">
        <f t="shared" si="553"/>
        <v>154.08700000000002</v>
      </c>
      <c r="BF284" s="126">
        <f t="shared" si="553"/>
        <v>118.33200000000001</v>
      </c>
      <c r="BG284" s="126">
        <f t="shared" si="553"/>
        <v>89.021000000000015</v>
      </c>
      <c r="BH284" s="78">
        <f t="shared" si="553"/>
        <v>117.542</v>
      </c>
      <c r="BI284" s="78">
        <f t="shared" si="553"/>
        <v>96.607000000000014</v>
      </c>
      <c r="BJ284" s="78">
        <f t="shared" si="553"/>
        <v>112.69900000000001</v>
      </c>
      <c r="BK284" s="78">
        <f t="shared" si="553"/>
        <v>77.227000000000004</v>
      </c>
      <c r="BL284" s="78">
        <f t="shared" si="553"/>
        <v>139.21100000000001</v>
      </c>
      <c r="BM284" s="78">
        <f t="shared" si="553"/>
        <v>81.514999999999986</v>
      </c>
      <c r="BN284" s="78">
        <f t="shared" si="553"/>
        <v>100.11799999999999</v>
      </c>
      <c r="BO284" s="78">
        <f t="shared" si="553"/>
        <v>59.544000000000004</v>
      </c>
      <c r="BP284" s="78">
        <f t="shared" si="553"/>
        <v>99.551000000000016</v>
      </c>
      <c r="BQ284" s="78">
        <f t="shared" si="553"/>
        <v>52.775999999999996</v>
      </c>
      <c r="BR284" s="78">
        <f t="shared" si="553"/>
        <v>60.568000000000012</v>
      </c>
      <c r="BS284" s="78">
        <f t="shared" si="553"/>
        <v>79.164999999999992</v>
      </c>
    </row>
    <row r="285" spans="1:71" x14ac:dyDescent="0.25">
      <c r="A285" s="74">
        <v>285</v>
      </c>
      <c r="B285" s="75" t="s">
        <v>260</v>
      </c>
      <c r="C285" s="96">
        <f t="shared" ca="1" si="515"/>
        <v>0.12558139534883717</v>
      </c>
      <c r="D285" s="96"/>
      <c r="E285" s="96">
        <f t="shared" ca="1" si="516"/>
        <v>0.10735656458993303</v>
      </c>
      <c r="F285" s="126">
        <f t="shared" ref="F285" si="554">F274-F284</f>
        <v>3146</v>
      </c>
      <c r="G285" s="331">
        <f t="shared" ref="G285" si="555">G274-G284</f>
        <v>2795</v>
      </c>
      <c r="H285" s="126">
        <f t="shared" ref="H285" si="556">H274-H284</f>
        <v>3312</v>
      </c>
      <c r="I285" s="126">
        <f t="shared" ref="I285" si="557">I274-I284</f>
        <v>2873</v>
      </c>
      <c r="J285" s="126">
        <f t="shared" ref="J285" si="558">J274-J284</f>
        <v>2841</v>
      </c>
      <c r="K285" s="126">
        <f t="shared" ref="K285" si="559">K274-K284</f>
        <v>2761</v>
      </c>
      <c r="L285" s="126">
        <f t="shared" ref="L285:AG285" si="560">L274-L284</f>
        <v>3075</v>
      </c>
      <c r="M285" s="126">
        <f t="shared" si="560"/>
        <v>3156</v>
      </c>
      <c r="N285" s="126">
        <f t="shared" si="560"/>
        <v>2709</v>
      </c>
      <c r="O285" s="126">
        <f t="shared" si="560"/>
        <v>2659</v>
      </c>
      <c r="P285" s="126">
        <f t="shared" si="560"/>
        <v>3057</v>
      </c>
      <c r="Q285" s="126">
        <f t="shared" si="560"/>
        <v>2972</v>
      </c>
      <c r="R285" s="126">
        <f t="shared" si="560"/>
        <v>2892</v>
      </c>
      <c r="S285" s="126">
        <f t="shared" si="560"/>
        <v>3566</v>
      </c>
      <c r="T285" s="436"/>
      <c r="U285" s="436"/>
      <c r="V285" s="436"/>
      <c r="W285" s="436"/>
      <c r="X285" s="126">
        <f t="shared" si="560"/>
        <v>2600</v>
      </c>
      <c r="Y285" s="126">
        <f t="shared" si="560"/>
        <v>2196</v>
      </c>
      <c r="Z285" s="126">
        <f t="shared" si="560"/>
        <v>2308</v>
      </c>
      <c r="AA285" s="126">
        <f t="shared" si="560"/>
        <v>1905</v>
      </c>
      <c r="AB285" s="126">
        <f t="shared" si="560"/>
        <v>2314.8670000000002</v>
      </c>
      <c r="AC285" s="126">
        <f t="shared" si="560"/>
        <v>1900.0010000000002</v>
      </c>
      <c r="AD285" s="126">
        <f t="shared" si="560"/>
        <v>1642.9630000000002</v>
      </c>
      <c r="AE285" s="126">
        <f t="shared" si="560"/>
        <v>1682.1690000000003</v>
      </c>
      <c r="AF285" s="126">
        <f t="shared" si="560"/>
        <v>1993.2789999999995</v>
      </c>
      <c r="AG285" s="126">
        <f t="shared" si="560"/>
        <v>1783.529</v>
      </c>
      <c r="AH285" s="126">
        <f t="shared" ref="AH285:BS285" si="561">AH274-AH284</f>
        <v>1763.6629999999996</v>
      </c>
      <c r="AI285" s="126">
        <f t="shared" si="561"/>
        <v>1278.4550000000004</v>
      </c>
      <c r="AJ285" s="126">
        <f t="shared" si="561"/>
        <v>1496.1295</v>
      </c>
      <c r="AK285" s="126">
        <f t="shared" si="561"/>
        <v>1325.6214999999995</v>
      </c>
      <c r="AL285" s="126">
        <f t="shared" si="561"/>
        <v>1186.0675000000006</v>
      </c>
      <c r="AM285" s="126">
        <f t="shared" si="561"/>
        <v>1235.2635000000002</v>
      </c>
      <c r="AN285" s="126">
        <f t="shared" si="561"/>
        <v>1465.3150000000003</v>
      </c>
      <c r="AO285" s="126">
        <f t="shared" si="561"/>
        <v>1312.0230000000001</v>
      </c>
      <c r="AP285" s="126">
        <f t="shared" si="561"/>
        <v>1262.5309999999999</v>
      </c>
      <c r="AQ285" s="126">
        <f t="shared" si="561"/>
        <v>1171.2039999999997</v>
      </c>
      <c r="AR285" s="126">
        <f t="shared" si="561"/>
        <v>1225.2210000000002</v>
      </c>
      <c r="AS285" s="126">
        <f t="shared" si="561"/>
        <v>1178.52</v>
      </c>
      <c r="AT285" s="126">
        <f t="shared" si="561"/>
        <v>1167.8030000000001</v>
      </c>
      <c r="AU285" s="126">
        <f t="shared" si="561"/>
        <v>1127.9749999999997</v>
      </c>
      <c r="AV285" s="126">
        <f t="shared" si="561"/>
        <v>1144.3680000000002</v>
      </c>
      <c r="AW285" s="126">
        <f t="shared" si="561"/>
        <v>1034.4169999999999</v>
      </c>
      <c r="AX285" s="126">
        <f t="shared" si="561"/>
        <v>1026.8049999999998</v>
      </c>
      <c r="AY285" s="126">
        <f t="shared" si="561"/>
        <v>836.72</v>
      </c>
      <c r="AZ285" s="126">
        <f t="shared" si="561"/>
        <v>1072.3850000000007</v>
      </c>
      <c r="BA285" s="126">
        <f t="shared" si="561"/>
        <v>962.3009999999997</v>
      </c>
      <c r="BB285" s="126">
        <f t="shared" si="561"/>
        <v>896.32699999999988</v>
      </c>
      <c r="BC285" s="126">
        <f t="shared" si="561"/>
        <v>789.62899999999991</v>
      </c>
      <c r="BD285" s="126">
        <f t="shared" si="561"/>
        <v>800.45599999999979</v>
      </c>
      <c r="BE285" s="126">
        <f t="shared" si="561"/>
        <v>651.54200000000014</v>
      </c>
      <c r="BF285" s="126">
        <f t="shared" si="561"/>
        <v>631.43499999999995</v>
      </c>
      <c r="BG285" s="126">
        <f t="shared" si="561"/>
        <v>594.43499999999995</v>
      </c>
      <c r="BH285" s="78">
        <f t="shared" si="561"/>
        <v>704.53099999999995</v>
      </c>
      <c r="BI285" s="78">
        <f t="shared" si="561"/>
        <v>608.84400000000016</v>
      </c>
      <c r="BJ285" s="78">
        <f t="shared" si="561"/>
        <v>553.69500000000016</v>
      </c>
      <c r="BK285" s="78">
        <f t="shared" si="561"/>
        <v>482.05900000000008</v>
      </c>
      <c r="BL285" s="78">
        <f t="shared" si="561"/>
        <v>587.74000000000024</v>
      </c>
      <c r="BM285" s="78">
        <f t="shared" si="561"/>
        <v>525.0630000000001</v>
      </c>
      <c r="BN285" s="78">
        <f t="shared" si="561"/>
        <v>499.69999999999987</v>
      </c>
      <c r="BO285" s="78">
        <f t="shared" si="561"/>
        <v>439.13100000000003</v>
      </c>
      <c r="BP285" s="78">
        <f t="shared" si="561"/>
        <v>534.62900000000002</v>
      </c>
      <c r="BQ285" s="78">
        <f t="shared" si="561"/>
        <v>416.99899999999997</v>
      </c>
      <c r="BR285" s="78">
        <f t="shared" si="561"/>
        <v>426.29999999999995</v>
      </c>
      <c r="BS285" s="78">
        <f t="shared" si="561"/>
        <v>337.197</v>
      </c>
    </row>
    <row r="286" spans="1:71" x14ac:dyDescent="0.25">
      <c r="B286" s="166"/>
      <c r="C286" s="166"/>
      <c r="D286" s="166"/>
      <c r="E286" s="166"/>
      <c r="F286" s="357"/>
      <c r="G286" s="357"/>
      <c r="H286" s="357"/>
      <c r="I286" s="357"/>
      <c r="J286" s="357"/>
      <c r="K286" s="357"/>
      <c r="L286" s="357"/>
      <c r="M286" s="357"/>
      <c r="N286" s="357"/>
      <c r="O286" s="357"/>
      <c r="P286" s="357"/>
      <c r="Q286" s="357"/>
      <c r="R286" s="357"/>
      <c r="S286" s="357"/>
      <c r="T286" s="361"/>
      <c r="U286" s="357"/>
      <c r="V286" s="357"/>
      <c r="W286" s="357"/>
      <c r="X286" s="357"/>
      <c r="Y286" s="357"/>
      <c r="Z286" s="357"/>
      <c r="AA286" s="357"/>
      <c r="AB286" s="357"/>
      <c r="AC286" s="357"/>
      <c r="AD286" s="357"/>
      <c r="AE286" s="357"/>
      <c r="AF286" s="357"/>
      <c r="AG286" s="357"/>
      <c r="AH286" s="357"/>
      <c r="AI286" s="357"/>
      <c r="AJ286" s="357"/>
      <c r="AK286" s="357"/>
      <c r="AL286" s="357"/>
      <c r="AM286" s="357"/>
      <c r="AN286" s="357"/>
      <c r="AO286" s="357"/>
      <c r="AP286" s="357"/>
      <c r="AQ286" s="357"/>
      <c r="AR286" s="357"/>
      <c r="AS286" s="357"/>
      <c r="AT286" s="357"/>
      <c r="AU286" s="357"/>
      <c r="AV286" s="357"/>
      <c r="AW286" s="357"/>
    </row>
    <row r="287" spans="1:71" x14ac:dyDescent="0.25"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166"/>
    </row>
    <row r="288" spans="1:71" x14ac:dyDescent="0.25"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</row>
    <row r="289" spans="2:31" x14ac:dyDescent="0.25"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</row>
    <row r="290" spans="2:31" x14ac:dyDescent="0.25"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</row>
    <row r="291" spans="2:31" x14ac:dyDescent="0.25"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</row>
    <row r="292" spans="2:31" x14ac:dyDescent="0.25"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</row>
    <row r="293" spans="2:31" x14ac:dyDescent="0.25"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</row>
    <row r="294" spans="2:31" x14ac:dyDescent="0.25"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</row>
    <row r="295" spans="2:31" x14ac:dyDescent="0.25"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</row>
    <row r="296" spans="2:31" x14ac:dyDescent="0.25"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</row>
    <row r="297" spans="2:31" x14ac:dyDescent="0.25"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</row>
    <row r="298" spans="2:31" x14ac:dyDescent="0.25"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</row>
    <row r="299" spans="2:31" x14ac:dyDescent="0.25"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</row>
    <row r="300" spans="2:31" x14ac:dyDescent="0.25"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</row>
    <row r="301" spans="2:31" x14ac:dyDescent="0.25"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</row>
    <row r="302" spans="2:31" x14ac:dyDescent="0.25"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</row>
    <row r="303" spans="2:31" x14ac:dyDescent="0.25"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</row>
    <row r="304" spans="2:31" x14ac:dyDescent="0.25"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</row>
    <row r="305" spans="1:48" x14ac:dyDescent="0.25">
      <c r="B305" s="82"/>
      <c r="C305" s="166"/>
      <c r="D305" s="166"/>
      <c r="E305" s="166"/>
      <c r="F305" s="166"/>
      <c r="G305" s="166"/>
      <c r="H305" s="166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166"/>
      <c r="AE305" s="166"/>
    </row>
    <row r="306" spans="1:48" x14ac:dyDescent="0.25">
      <c r="B306" s="82"/>
      <c r="C306" s="166"/>
      <c r="D306" s="166"/>
      <c r="E306" s="166"/>
      <c r="F306" s="166"/>
      <c r="G306" s="166"/>
      <c r="H306" s="166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166"/>
      <c r="AE306" s="166"/>
    </row>
    <row r="307" spans="1:48" x14ac:dyDescent="0.25">
      <c r="B307" s="82"/>
      <c r="C307" s="166"/>
      <c r="D307" s="166"/>
      <c r="E307" s="166"/>
      <c r="F307" s="166"/>
      <c r="G307" s="166"/>
      <c r="H307" s="166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166"/>
      <c r="AE307" s="166"/>
    </row>
    <row r="308" spans="1:48" x14ac:dyDescent="0.25">
      <c r="B308" s="82"/>
      <c r="C308" s="166"/>
      <c r="D308" s="166"/>
      <c r="E308" s="166"/>
      <c r="F308" s="166"/>
      <c r="G308" s="166"/>
      <c r="H308" s="166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166"/>
      <c r="AE308" s="166"/>
    </row>
    <row r="309" spans="1:48" x14ac:dyDescent="0.25">
      <c r="B309" s="82"/>
      <c r="C309" s="166"/>
      <c r="D309" s="166"/>
      <c r="E309" s="166"/>
      <c r="F309" s="166"/>
      <c r="G309" s="166"/>
      <c r="H309" s="166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166"/>
      <c r="AE309" s="166"/>
    </row>
    <row r="310" spans="1:48" x14ac:dyDescent="0.25">
      <c r="B310" s="82"/>
      <c r="C310" s="166"/>
      <c r="D310" s="166"/>
      <c r="E310" s="166"/>
      <c r="F310" s="166"/>
      <c r="G310" s="166"/>
      <c r="H310" s="166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166"/>
      <c r="AE310" s="166"/>
    </row>
    <row r="311" spans="1:48" x14ac:dyDescent="0.25">
      <c r="B311" s="82"/>
      <c r="C311" s="166"/>
      <c r="D311" s="166"/>
      <c r="E311" s="166"/>
      <c r="F311" s="166"/>
      <c r="G311" s="166"/>
      <c r="H311" s="166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166"/>
      <c r="AE311" s="166"/>
    </row>
    <row r="312" spans="1:48" x14ac:dyDescent="0.25">
      <c r="B312" s="82"/>
      <c r="C312" s="166"/>
      <c r="D312" s="166"/>
      <c r="E312" s="166"/>
      <c r="F312" s="166"/>
      <c r="G312" s="166"/>
      <c r="H312" s="166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166"/>
      <c r="AE312" s="166"/>
    </row>
    <row r="313" spans="1:48" x14ac:dyDescent="0.25">
      <c r="B313" s="82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166"/>
      <c r="AE313" s="166"/>
      <c r="AF313" s="74"/>
      <c r="AG313" s="74"/>
      <c r="AH313" s="74"/>
      <c r="AI313" s="74"/>
    </row>
    <row r="314" spans="1:48" x14ac:dyDescent="0.25">
      <c r="B314" s="82"/>
      <c r="C314" s="166"/>
      <c r="D314" s="166"/>
      <c r="E314" s="169"/>
      <c r="F314" s="169"/>
      <c r="G314" s="169"/>
      <c r="H314" s="169"/>
      <c r="I314" s="169"/>
      <c r="J314" s="169"/>
      <c r="K314" s="169"/>
      <c r="L314" s="169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169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2"/>
      <c r="AR314" s="82"/>
    </row>
    <row r="315" spans="1:48" s="74" customFormat="1" x14ac:dyDescent="0.25">
      <c r="B315" s="82"/>
      <c r="C315" s="166"/>
      <c r="D315" s="166"/>
      <c r="E315" s="283"/>
      <c r="F315" s="283"/>
      <c r="G315" s="283"/>
      <c r="H315" s="283"/>
      <c r="I315" s="283"/>
      <c r="J315" s="283"/>
      <c r="K315" s="283"/>
      <c r="L315" s="283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2"/>
      <c r="AR315" s="82"/>
    </row>
    <row r="316" spans="1:48" s="74" customFormat="1" x14ac:dyDescent="0.25">
      <c r="B316" s="82"/>
      <c r="C316" s="166"/>
      <c r="D316" s="166"/>
      <c r="E316" s="283"/>
      <c r="F316" s="328"/>
      <c r="G316" s="283"/>
      <c r="H316" s="283"/>
      <c r="I316" s="283"/>
      <c r="J316" s="283"/>
      <c r="K316" s="283"/>
      <c r="L316" s="283"/>
      <c r="M316" s="283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</row>
    <row r="317" spans="1:48" s="166" customFormat="1" x14ac:dyDescent="0.25">
      <c r="A317" s="1"/>
      <c r="B317" s="82"/>
    </row>
    <row r="318" spans="1:48" s="166" customFormat="1" x14ac:dyDescent="0.25">
      <c r="A318" s="1"/>
      <c r="B318" s="82"/>
      <c r="F318" s="333"/>
      <c r="G318" s="334"/>
      <c r="H318" s="334"/>
      <c r="I318" s="325"/>
      <c r="J318" s="325"/>
      <c r="K318" s="326"/>
      <c r="L318" s="326"/>
      <c r="M318" s="287"/>
      <c r="N318" s="287"/>
      <c r="O318" s="287"/>
      <c r="P318" s="287"/>
      <c r="Q318" s="287"/>
      <c r="R318" s="287"/>
      <c r="S318" s="287"/>
      <c r="T318" s="287"/>
      <c r="U318" s="287"/>
      <c r="V318" s="287"/>
      <c r="W318" s="287"/>
      <c r="X318" s="287"/>
      <c r="Y318" s="287"/>
      <c r="Z318" s="287"/>
      <c r="AA318" s="287"/>
      <c r="AB318" s="287"/>
      <c r="AC318" s="287"/>
      <c r="AD318" s="287"/>
      <c r="AE318" s="287"/>
      <c r="AF318" s="287"/>
      <c r="AG318" s="287"/>
      <c r="AH318" s="287"/>
      <c r="AI318" s="287"/>
      <c r="AJ318" s="287"/>
      <c r="AK318" s="287"/>
      <c r="AL318" s="287"/>
      <c r="AM318" s="287"/>
      <c r="AN318" s="287"/>
      <c r="AO318" s="287"/>
      <c r="AP318" s="287"/>
      <c r="AQ318" s="287"/>
      <c r="AR318" s="287"/>
      <c r="AS318" s="287"/>
      <c r="AT318" s="287"/>
      <c r="AU318" s="287"/>
      <c r="AV318" s="287"/>
    </row>
    <row r="319" spans="1:48" s="166" customFormat="1" x14ac:dyDescent="0.25">
      <c r="A319" s="1"/>
      <c r="B319" s="82"/>
      <c r="F319" s="335"/>
      <c r="G319" s="335"/>
      <c r="H319" s="335"/>
      <c r="I319" s="327"/>
      <c r="J319" s="327"/>
      <c r="K319" s="327"/>
      <c r="L319" s="327"/>
      <c r="M319" s="288"/>
      <c r="N319" s="288"/>
      <c r="O319" s="288"/>
      <c r="P319" s="288"/>
      <c r="Q319" s="288"/>
      <c r="R319" s="288"/>
      <c r="S319" s="288"/>
      <c r="T319" s="288"/>
      <c r="U319" s="288"/>
      <c r="V319" s="288"/>
      <c r="W319" s="288"/>
      <c r="X319" s="288"/>
      <c r="Y319" s="288"/>
      <c r="Z319" s="288"/>
      <c r="AA319" s="288"/>
      <c r="AB319" s="288"/>
      <c r="AC319" s="288"/>
      <c r="AD319" s="288"/>
      <c r="AE319" s="288"/>
      <c r="AF319" s="288"/>
      <c r="AG319" s="288"/>
      <c r="AH319" s="288"/>
      <c r="AI319" s="288"/>
      <c r="AJ319" s="288"/>
      <c r="AK319" s="288"/>
      <c r="AL319" s="288"/>
      <c r="AM319" s="288"/>
      <c r="AN319" s="288"/>
      <c r="AO319" s="288"/>
      <c r="AP319" s="288"/>
      <c r="AQ319" s="288"/>
      <c r="AR319" s="288"/>
      <c r="AS319" s="288"/>
      <c r="AT319" s="288"/>
      <c r="AU319" s="288"/>
      <c r="AV319" s="289"/>
    </row>
    <row r="320" spans="1:48" s="166" customFormat="1" x14ac:dyDescent="0.25">
      <c r="A320" s="1"/>
      <c r="B320" s="82"/>
      <c r="F320" s="335"/>
      <c r="G320" s="335"/>
      <c r="H320" s="335"/>
      <c r="I320" s="327"/>
      <c r="J320" s="327"/>
      <c r="K320" s="327"/>
      <c r="L320" s="327"/>
      <c r="M320" s="288"/>
      <c r="N320" s="288"/>
      <c r="O320" s="288"/>
      <c r="P320" s="288"/>
      <c r="Q320" s="288"/>
      <c r="R320" s="288"/>
      <c r="S320" s="288"/>
      <c r="T320" s="288"/>
      <c r="U320" s="288"/>
      <c r="V320" s="288"/>
      <c r="W320" s="288"/>
      <c r="X320" s="288"/>
      <c r="Y320" s="288"/>
      <c r="Z320" s="288"/>
      <c r="AA320" s="288"/>
      <c r="AB320" s="288"/>
      <c r="AC320" s="288"/>
      <c r="AD320" s="288"/>
      <c r="AE320" s="288"/>
      <c r="AF320" s="288"/>
      <c r="AG320" s="288"/>
      <c r="AH320" s="288"/>
      <c r="AI320" s="288"/>
      <c r="AJ320" s="288"/>
      <c r="AK320" s="288"/>
      <c r="AL320" s="288"/>
      <c r="AM320" s="288"/>
      <c r="AN320" s="288"/>
      <c r="AO320" s="288"/>
      <c r="AP320" s="288"/>
      <c r="AQ320" s="288"/>
      <c r="AR320" s="288"/>
      <c r="AS320" s="288"/>
      <c r="AT320" s="288"/>
      <c r="AU320" s="288"/>
      <c r="AV320" s="289"/>
    </row>
    <row r="321" spans="1:44" s="166" customFormat="1" x14ac:dyDescent="0.25">
      <c r="A321" s="1"/>
      <c r="B321" s="82"/>
      <c r="I321" s="82"/>
      <c r="J321" s="82"/>
      <c r="K321" s="82"/>
      <c r="L321" s="82"/>
      <c r="M321" s="82"/>
    </row>
    <row r="322" spans="1:44" x14ac:dyDescent="0.25">
      <c r="B322" s="82"/>
      <c r="C322" s="166"/>
      <c r="D322" s="166"/>
      <c r="E322" s="166"/>
      <c r="F322" s="166"/>
      <c r="G322" s="166"/>
      <c r="H322" s="166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</row>
    <row r="323" spans="1:44" x14ac:dyDescent="0.25">
      <c r="B323" s="82"/>
      <c r="C323" s="166"/>
      <c r="D323" s="166"/>
      <c r="E323" s="166"/>
      <c r="F323" s="166"/>
      <c r="G323" s="166"/>
      <c r="H323" s="166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</row>
    <row r="324" spans="1:44" x14ac:dyDescent="0.25">
      <c r="B324" s="82"/>
      <c r="C324" s="166"/>
      <c r="D324" s="166"/>
      <c r="E324" s="166"/>
      <c r="F324" s="166"/>
      <c r="G324" s="166"/>
      <c r="H324" s="166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</row>
    <row r="325" spans="1:44" x14ac:dyDescent="0.25">
      <c r="B325" s="82"/>
      <c r="C325" s="166"/>
      <c r="D325" s="166"/>
      <c r="E325" s="166"/>
      <c r="F325" s="166"/>
      <c r="G325" s="166"/>
      <c r="H325" s="166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44" x14ac:dyDescent="0.25">
      <c r="B326" s="82"/>
      <c r="C326" s="166"/>
      <c r="D326" s="166"/>
      <c r="E326" s="166"/>
      <c r="F326" s="166"/>
      <c r="G326" s="166"/>
      <c r="H326" s="166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44" x14ac:dyDescent="0.25">
      <c r="B327" s="82"/>
      <c r="C327" s="166"/>
      <c r="D327" s="166"/>
      <c r="E327" s="166"/>
      <c r="F327" s="166"/>
      <c r="G327" s="166"/>
      <c r="H327" s="166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44" x14ac:dyDescent="0.25">
      <c r="B328" s="82"/>
      <c r="C328" s="166"/>
      <c r="D328" s="166"/>
      <c r="E328" s="166"/>
      <c r="F328" s="166"/>
      <c r="G328" s="166"/>
      <c r="H328" s="166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</row>
    <row r="329" spans="1:44" x14ac:dyDescent="0.25">
      <c r="B329" s="82"/>
      <c r="C329" s="166"/>
      <c r="D329" s="166"/>
      <c r="E329" s="166"/>
      <c r="F329" s="166"/>
      <c r="G329" s="166"/>
      <c r="H329" s="166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</row>
    <row r="330" spans="1:44" x14ac:dyDescent="0.25">
      <c r="B330" s="82"/>
      <c r="C330" s="166"/>
      <c r="D330" s="166"/>
      <c r="E330" s="166"/>
      <c r="F330" s="166"/>
      <c r="G330" s="166"/>
      <c r="H330" s="166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</row>
    <row r="331" spans="1:44" x14ac:dyDescent="0.25">
      <c r="B331" s="82"/>
      <c r="C331" s="166"/>
      <c r="D331" s="166"/>
      <c r="E331" s="166"/>
      <c r="F331" s="166"/>
      <c r="G331" s="166"/>
      <c r="H331" s="166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</row>
    <row r="332" spans="1:44" x14ac:dyDescent="0.25">
      <c r="B332" s="82"/>
      <c r="C332" s="166"/>
      <c r="D332" s="166"/>
      <c r="E332" s="166"/>
      <c r="F332" s="166"/>
      <c r="G332" s="166"/>
      <c r="H332" s="166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</row>
    <row r="333" spans="1:44" x14ac:dyDescent="0.25">
      <c r="B333" s="82"/>
      <c r="C333" s="166"/>
      <c r="D333" s="166"/>
      <c r="E333" s="166"/>
      <c r="F333" s="166"/>
      <c r="G333" s="166"/>
      <c r="H333" s="166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</row>
    <row r="334" spans="1:44" x14ac:dyDescent="0.25">
      <c r="B334" s="82"/>
      <c r="C334" s="166"/>
      <c r="D334" s="166"/>
      <c r="E334" s="166"/>
      <c r="F334" s="166"/>
      <c r="G334" s="166"/>
      <c r="H334" s="166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</row>
    <row r="335" spans="1:44" x14ac:dyDescent="0.25">
      <c r="B335" s="82"/>
      <c r="C335" s="166"/>
      <c r="D335" s="166"/>
      <c r="E335" s="166"/>
      <c r="F335" s="166"/>
      <c r="G335" s="166"/>
      <c r="H335" s="166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</row>
    <row r="336" spans="1:44" x14ac:dyDescent="0.25">
      <c r="B336" s="82"/>
      <c r="C336" s="166"/>
      <c r="D336" s="166"/>
      <c r="E336" s="166"/>
      <c r="F336" s="166"/>
      <c r="G336" s="166"/>
      <c r="H336" s="166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</row>
    <row r="337" spans="2:14" x14ac:dyDescent="0.25"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</row>
    <row r="338" spans="2:14" x14ac:dyDescent="0.25"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</row>
    <row r="339" spans="2:14" x14ac:dyDescent="0.25"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</row>
    <row r="340" spans="2:14" x14ac:dyDescent="0.25"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</row>
    <row r="341" spans="2:14" x14ac:dyDescent="0.25"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</row>
    <row r="342" spans="2:14" x14ac:dyDescent="0.25"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</row>
    <row r="343" spans="2:14" x14ac:dyDescent="0.25"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</row>
    <row r="344" spans="2:14" x14ac:dyDescent="0.25"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</row>
    <row r="345" spans="2:14" x14ac:dyDescent="0.25"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</row>
    <row r="346" spans="2:14" x14ac:dyDescent="0.25"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</row>
    <row r="347" spans="2:14" x14ac:dyDescent="0.25"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</row>
    <row r="348" spans="2:14" x14ac:dyDescent="0.25"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</row>
    <row r="349" spans="2:14" x14ac:dyDescent="0.25"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</row>
  </sheetData>
  <sortState ref="A217:BT222">
    <sortCondition descending="1" ref="W217:W222"/>
  </sortState>
  <customSheetViews>
    <customSheetView guid="{E4AC4991-F371-4BAF-8335-AD017EF379C0}" showGridLines="0" fitToPage="1" hiddenRows="1" topLeftCell="A2">
      <selection activeCell="D238" sqref="D238"/>
      <pageMargins left="0.25" right="0.25" top="0.75" bottom="0.75" header="0.3" footer="0.3"/>
      <pageSetup paperSize="9" scale="13" fitToHeight="0" orientation="portrait" r:id="rId1"/>
    </customSheetView>
    <customSheetView guid="{0284F5E2-DB98-486F-B3F7-128FA2A0A465}" showGridLines="0" fitToPage="1" hiddenRows="1" topLeftCell="B223">
      <selection activeCell="E223" sqref="E1:H1048576"/>
      <pageMargins left="0.25" right="0.25" top="0.75" bottom="0.75" header="0.3" footer="0.3"/>
      <pageSetup paperSize="9" scale="13" fitToHeight="0" orientation="portrait" r:id="rId2"/>
    </customSheetView>
  </customSheetViews>
  <mergeCells count="695">
    <mergeCell ref="F260:F261"/>
    <mergeCell ref="F7:F8"/>
    <mergeCell ref="F67:F68"/>
    <mergeCell ref="F127:F128"/>
    <mergeCell ref="F141:F142"/>
    <mergeCell ref="F157:F158"/>
    <mergeCell ref="F166:F167"/>
    <mergeCell ref="F176:F177"/>
    <mergeCell ref="F204:F205"/>
    <mergeCell ref="F232:F233"/>
    <mergeCell ref="G260:G261"/>
    <mergeCell ref="G7:G8"/>
    <mergeCell ref="G67:G68"/>
    <mergeCell ref="G127:G128"/>
    <mergeCell ref="G141:G142"/>
    <mergeCell ref="G157:G158"/>
    <mergeCell ref="G166:G167"/>
    <mergeCell ref="G176:G177"/>
    <mergeCell ref="G204:G205"/>
    <mergeCell ref="G232:G233"/>
    <mergeCell ref="H260:H261"/>
    <mergeCell ref="H7:H8"/>
    <mergeCell ref="H67:H68"/>
    <mergeCell ref="H127:H128"/>
    <mergeCell ref="H141:H142"/>
    <mergeCell ref="H157:H158"/>
    <mergeCell ref="H166:H167"/>
    <mergeCell ref="H176:H177"/>
    <mergeCell ref="H204:H205"/>
    <mergeCell ref="H232:H233"/>
    <mergeCell ref="K260:K261"/>
    <mergeCell ref="K7:K8"/>
    <mergeCell ref="K67:K68"/>
    <mergeCell ref="K127:K128"/>
    <mergeCell ref="K141:K142"/>
    <mergeCell ref="K157:K158"/>
    <mergeCell ref="K166:K167"/>
    <mergeCell ref="K176:K177"/>
    <mergeCell ref="K204:K205"/>
    <mergeCell ref="K232:K233"/>
    <mergeCell ref="M260:M261"/>
    <mergeCell ref="M7:M8"/>
    <mergeCell ref="M67:M68"/>
    <mergeCell ref="M127:M128"/>
    <mergeCell ref="M141:M142"/>
    <mergeCell ref="M157:M158"/>
    <mergeCell ref="M166:M167"/>
    <mergeCell ref="M176:M177"/>
    <mergeCell ref="M204:M205"/>
    <mergeCell ref="M232:M233"/>
    <mergeCell ref="N260:N261"/>
    <mergeCell ref="N7:N8"/>
    <mergeCell ref="N67:N68"/>
    <mergeCell ref="N127:N128"/>
    <mergeCell ref="N141:N142"/>
    <mergeCell ref="N157:N158"/>
    <mergeCell ref="N166:N167"/>
    <mergeCell ref="N176:N177"/>
    <mergeCell ref="N204:N205"/>
    <mergeCell ref="N232:N233"/>
    <mergeCell ref="P260:P261"/>
    <mergeCell ref="P7:P8"/>
    <mergeCell ref="P67:P68"/>
    <mergeCell ref="P127:P128"/>
    <mergeCell ref="P141:P142"/>
    <mergeCell ref="P157:P158"/>
    <mergeCell ref="P166:P167"/>
    <mergeCell ref="P176:P177"/>
    <mergeCell ref="P204:P205"/>
    <mergeCell ref="P232:P233"/>
    <mergeCell ref="T260:T261"/>
    <mergeCell ref="T7:T8"/>
    <mergeCell ref="T67:T68"/>
    <mergeCell ref="T127:T128"/>
    <mergeCell ref="T141:T142"/>
    <mergeCell ref="T157:T158"/>
    <mergeCell ref="T166:T167"/>
    <mergeCell ref="T176:T177"/>
    <mergeCell ref="T204:T205"/>
    <mergeCell ref="T232:T233"/>
    <mergeCell ref="Z260:Z261"/>
    <mergeCell ref="Z7:Z8"/>
    <mergeCell ref="Z127:Z128"/>
    <mergeCell ref="Z157:Z158"/>
    <mergeCell ref="Z176:Z177"/>
    <mergeCell ref="Z232:Z233"/>
    <mergeCell ref="Z67:Z68"/>
    <mergeCell ref="Z141:Z142"/>
    <mergeCell ref="Z166:Z167"/>
    <mergeCell ref="Z204:Z205"/>
    <mergeCell ref="AB260:AB261"/>
    <mergeCell ref="AB7:AB8"/>
    <mergeCell ref="AB127:AB128"/>
    <mergeCell ref="AB157:AB158"/>
    <mergeCell ref="AB176:AB177"/>
    <mergeCell ref="AB232:AB233"/>
    <mergeCell ref="AB67:AB68"/>
    <mergeCell ref="AB141:AB142"/>
    <mergeCell ref="AB166:AB167"/>
    <mergeCell ref="AB204:AB205"/>
    <mergeCell ref="AD260:AD261"/>
    <mergeCell ref="AD7:AD8"/>
    <mergeCell ref="AD67:AD68"/>
    <mergeCell ref="AD127:AD128"/>
    <mergeCell ref="AD157:AD158"/>
    <mergeCell ref="AD176:AD177"/>
    <mergeCell ref="AD232:AD233"/>
    <mergeCell ref="AD141:AD142"/>
    <mergeCell ref="AD166:AD167"/>
    <mergeCell ref="AD204:AD205"/>
    <mergeCell ref="AE260:AE261"/>
    <mergeCell ref="AE7:AE8"/>
    <mergeCell ref="AE67:AE68"/>
    <mergeCell ref="AE127:AE128"/>
    <mergeCell ref="AE141:AE142"/>
    <mergeCell ref="AE157:AE158"/>
    <mergeCell ref="AE166:AE167"/>
    <mergeCell ref="AE176:AE177"/>
    <mergeCell ref="AE204:AE205"/>
    <mergeCell ref="AE232:AE233"/>
    <mergeCell ref="AF260:AF261"/>
    <mergeCell ref="AF7:AF8"/>
    <mergeCell ref="AF127:AF128"/>
    <mergeCell ref="AF157:AF158"/>
    <mergeCell ref="AF176:AF177"/>
    <mergeCell ref="AF232:AF233"/>
    <mergeCell ref="AF67:AF68"/>
    <mergeCell ref="AF141:AF142"/>
    <mergeCell ref="AF166:AF167"/>
    <mergeCell ref="AF204:AF205"/>
    <mergeCell ref="BN260:BN261"/>
    <mergeCell ref="BO260:BO261"/>
    <mergeCell ref="BP260:BP261"/>
    <mergeCell ref="BQ260:BQ261"/>
    <mergeCell ref="BR260:BR261"/>
    <mergeCell ref="BS260:BS261"/>
    <mergeCell ref="BE260:BE261"/>
    <mergeCell ref="BF260:BF261"/>
    <mergeCell ref="BG260:BG261"/>
    <mergeCell ref="BH260:BH261"/>
    <mergeCell ref="BI260:BI261"/>
    <mergeCell ref="BJ260:BJ261"/>
    <mergeCell ref="BK260:BK261"/>
    <mergeCell ref="BL260:BL261"/>
    <mergeCell ref="BM260:BM261"/>
    <mergeCell ref="AV260:AV261"/>
    <mergeCell ref="AW260:AW261"/>
    <mergeCell ref="AX260:AX261"/>
    <mergeCell ref="AY260:AY261"/>
    <mergeCell ref="AZ260:AZ261"/>
    <mergeCell ref="BA260:BA261"/>
    <mergeCell ref="BB260:BB261"/>
    <mergeCell ref="BC260:BC261"/>
    <mergeCell ref="BD260:BD261"/>
    <mergeCell ref="BN204:BN205"/>
    <mergeCell ref="BO204:BO205"/>
    <mergeCell ref="BP204:BP205"/>
    <mergeCell ref="BQ204:BQ205"/>
    <mergeCell ref="BR204:BR205"/>
    <mergeCell ref="BS204:BS205"/>
    <mergeCell ref="B260:B261"/>
    <mergeCell ref="C260:C261"/>
    <mergeCell ref="E260:E261"/>
    <mergeCell ref="AG260:AG261"/>
    <mergeCell ref="AH260:AH261"/>
    <mergeCell ref="AI260:AI261"/>
    <mergeCell ref="AJ260:AJ261"/>
    <mergeCell ref="AK260:AK261"/>
    <mergeCell ref="AL260:AL261"/>
    <mergeCell ref="AM260:AM261"/>
    <mergeCell ref="AN260:AN261"/>
    <mergeCell ref="AO260:AO261"/>
    <mergeCell ref="AP260:AP261"/>
    <mergeCell ref="AQ260:AQ261"/>
    <mergeCell ref="AR260:AR261"/>
    <mergeCell ref="AS260:AS261"/>
    <mergeCell ref="AT260:AT261"/>
    <mergeCell ref="AU260:AU261"/>
    <mergeCell ref="BE204:BE205"/>
    <mergeCell ref="BF204:BF205"/>
    <mergeCell ref="BG204:BG205"/>
    <mergeCell ref="BH204:BH205"/>
    <mergeCell ref="BI204:BI205"/>
    <mergeCell ref="BJ204:BJ205"/>
    <mergeCell ref="BK204:BK205"/>
    <mergeCell ref="BL204:BL205"/>
    <mergeCell ref="BM204:BM205"/>
    <mergeCell ref="AV204:AV205"/>
    <mergeCell ref="AW204:AW205"/>
    <mergeCell ref="AX204:AX205"/>
    <mergeCell ref="AY204:AY205"/>
    <mergeCell ref="AZ204:AZ205"/>
    <mergeCell ref="BA204:BA205"/>
    <mergeCell ref="BB204:BB205"/>
    <mergeCell ref="BC204:BC205"/>
    <mergeCell ref="BD204:BD205"/>
    <mergeCell ref="AM204:AM205"/>
    <mergeCell ref="AN204:AN205"/>
    <mergeCell ref="AO204:AO205"/>
    <mergeCell ref="AP204:AP205"/>
    <mergeCell ref="AQ204:AQ205"/>
    <mergeCell ref="AR204:AR205"/>
    <mergeCell ref="AS204:AS205"/>
    <mergeCell ref="AT204:AT205"/>
    <mergeCell ref="AU204:AU205"/>
    <mergeCell ref="B204:B205"/>
    <mergeCell ref="C204:C205"/>
    <mergeCell ref="E204:E205"/>
    <mergeCell ref="AG204:AG205"/>
    <mergeCell ref="AH204:AH205"/>
    <mergeCell ref="AI204:AI205"/>
    <mergeCell ref="AJ204:AJ205"/>
    <mergeCell ref="AK204:AK205"/>
    <mergeCell ref="AL204:AL205"/>
    <mergeCell ref="AI7:AI8"/>
    <mergeCell ref="AI67:AI68"/>
    <mergeCell ref="AI127:AI128"/>
    <mergeCell ref="AI141:AI142"/>
    <mergeCell ref="AI157:AI158"/>
    <mergeCell ref="AI166:AI167"/>
    <mergeCell ref="AI176:AI177"/>
    <mergeCell ref="AI232:AI233"/>
    <mergeCell ref="AJ7:AJ8"/>
    <mergeCell ref="AJ67:AJ68"/>
    <mergeCell ref="AJ127:AJ128"/>
    <mergeCell ref="AJ141:AJ142"/>
    <mergeCell ref="AJ157:AJ158"/>
    <mergeCell ref="AJ166:AJ167"/>
    <mergeCell ref="AJ176:AJ177"/>
    <mergeCell ref="AJ232:AJ233"/>
    <mergeCell ref="BS67:BS68"/>
    <mergeCell ref="BR127:BR128"/>
    <mergeCell ref="BM157:BM158"/>
    <mergeCell ref="BQ166:BQ167"/>
    <mergeCell ref="BP127:BP128"/>
    <mergeCell ref="BR176:BR177"/>
    <mergeCell ref="BS176:BS177"/>
    <mergeCell ref="BK127:BK128"/>
    <mergeCell ref="BL67:BL68"/>
    <mergeCell ref="BL127:BL128"/>
    <mergeCell ref="BM127:BM128"/>
    <mergeCell ref="BO127:BO128"/>
    <mergeCell ref="BR157:BR158"/>
    <mergeCell ref="BS157:BS158"/>
    <mergeCell ref="BQ157:BQ158"/>
    <mergeCell ref="BP157:BP158"/>
    <mergeCell ref="BO157:BO158"/>
    <mergeCell ref="BL157:BL158"/>
    <mergeCell ref="BS127:BS128"/>
    <mergeCell ref="BQ127:BQ128"/>
    <mergeCell ref="BK157:BK158"/>
    <mergeCell ref="BS141:BS142"/>
    <mergeCell ref="BL141:BL142"/>
    <mergeCell ref="BM141:BM142"/>
    <mergeCell ref="B67:B68"/>
    <mergeCell ref="AQ67:AQ68"/>
    <mergeCell ref="AQ127:AQ128"/>
    <mergeCell ref="BO141:BO142"/>
    <mergeCell ref="AS67:AS68"/>
    <mergeCell ref="AT7:AT8"/>
    <mergeCell ref="BR7:BR8"/>
    <mergeCell ref="BQ67:BQ68"/>
    <mergeCell ref="BR67:BR68"/>
    <mergeCell ref="BN127:BN128"/>
    <mergeCell ref="BP7:BP8"/>
    <mergeCell ref="BP67:BP68"/>
    <mergeCell ref="BM67:BM68"/>
    <mergeCell ref="BN67:BN68"/>
    <mergeCell ref="BM7:BM8"/>
    <mergeCell ref="BN7:BN8"/>
    <mergeCell ref="BO7:BO8"/>
    <mergeCell ref="BO67:BO68"/>
    <mergeCell ref="BQ7:BQ8"/>
    <mergeCell ref="AU7:AU8"/>
    <mergeCell ref="AU67:AU68"/>
    <mergeCell ref="AU127:AU128"/>
    <mergeCell ref="BG7:BG8"/>
    <mergeCell ref="BG67:BG68"/>
    <mergeCell ref="AR7:AR8"/>
    <mergeCell ref="AR67:AR68"/>
    <mergeCell ref="AW67:AW68"/>
    <mergeCell ref="AW127:AW128"/>
    <mergeCell ref="B127:B128"/>
    <mergeCell ref="C127:C128"/>
    <mergeCell ref="E127:E128"/>
    <mergeCell ref="B7:B8"/>
    <mergeCell ref="BR141:BR142"/>
    <mergeCell ref="BQ141:BQ142"/>
    <mergeCell ref="BP141:BP142"/>
    <mergeCell ref="BK141:BK142"/>
    <mergeCell ref="BL7:BL8"/>
    <mergeCell ref="BK67:BK68"/>
    <mergeCell ref="BI127:BI128"/>
    <mergeCell ref="BJ127:BJ128"/>
    <mergeCell ref="BG127:BG128"/>
    <mergeCell ref="BH127:BH128"/>
    <mergeCell ref="AY127:AY128"/>
    <mergeCell ref="AX7:AX8"/>
    <mergeCell ref="AX67:AX68"/>
    <mergeCell ref="AX127:AX128"/>
    <mergeCell ref="AZ7:AZ8"/>
    <mergeCell ref="AQ7:AQ8"/>
    <mergeCell ref="AS7:AS8"/>
    <mergeCell ref="C5:E5"/>
    <mergeCell ref="BB7:BB8"/>
    <mergeCell ref="BB67:BB68"/>
    <mergeCell ref="AX141:AX142"/>
    <mergeCell ref="AW7:AW8"/>
    <mergeCell ref="AT67:AT68"/>
    <mergeCell ref="AU141:AU142"/>
    <mergeCell ref="BN141:BN142"/>
    <mergeCell ref="BF7:BF8"/>
    <mergeCell ref="BF67:BF68"/>
    <mergeCell ref="BF127:BF128"/>
    <mergeCell ref="BE67:BE68"/>
    <mergeCell ref="BE127:BE128"/>
    <mergeCell ref="BD67:BD68"/>
    <mergeCell ref="BD127:BD128"/>
    <mergeCell ref="BA127:BA128"/>
    <mergeCell ref="C7:C8"/>
    <mergeCell ref="E7:E8"/>
    <mergeCell ref="C67:C68"/>
    <mergeCell ref="E67:E68"/>
    <mergeCell ref="AZ127:AZ128"/>
    <mergeCell ref="AY7:AY8"/>
    <mergeCell ref="AY67:AY68"/>
    <mergeCell ref="BK166:BK167"/>
    <mergeCell ref="BA141:BA142"/>
    <mergeCell ref="BA166:BA167"/>
    <mergeCell ref="BA7:BA8"/>
    <mergeCell ref="BA67:BA68"/>
    <mergeCell ref="BB157:BB158"/>
    <mergeCell ref="BI67:BI68"/>
    <mergeCell ref="BK7:BK8"/>
    <mergeCell ref="BC127:BC128"/>
    <mergeCell ref="BC141:BC142"/>
    <mergeCell ref="BE141:BE142"/>
    <mergeCell ref="BD141:BD142"/>
    <mergeCell ref="BG141:BG142"/>
    <mergeCell ref="BF141:BF142"/>
    <mergeCell ref="BC7:BC8"/>
    <mergeCell ref="BE7:BE8"/>
    <mergeCell ref="BB141:BB142"/>
    <mergeCell ref="BB127:BB128"/>
    <mergeCell ref="BI7:BI8"/>
    <mergeCell ref="BJ7:BJ8"/>
    <mergeCell ref="BH7:BH8"/>
    <mergeCell ref="BJ67:BJ68"/>
    <mergeCell ref="BD7:BD8"/>
    <mergeCell ref="BE176:BE177"/>
    <mergeCell ref="BI141:BI142"/>
    <mergeCell ref="BJ141:BJ142"/>
    <mergeCell ref="BI157:BI158"/>
    <mergeCell ref="BF166:BF167"/>
    <mergeCell ref="BG157:BG158"/>
    <mergeCell ref="BC157:BC158"/>
    <mergeCell ref="BG166:BG167"/>
    <mergeCell ref="BF157:BF158"/>
    <mergeCell ref="BH166:BH167"/>
    <mergeCell ref="BE166:BE167"/>
    <mergeCell ref="BC166:BC167"/>
    <mergeCell ref="BJ157:BJ158"/>
    <mergeCell ref="BH141:BH142"/>
    <mergeCell ref="BD166:BD167"/>
    <mergeCell ref="BI166:BI167"/>
    <mergeCell ref="BJ166:BJ167"/>
    <mergeCell ref="BD157:BD158"/>
    <mergeCell ref="BH157:BH158"/>
    <mergeCell ref="AW176:AW177"/>
    <mergeCell ref="AW232:AW233"/>
    <mergeCell ref="AY176:AY177"/>
    <mergeCell ref="AY232:AY233"/>
    <mergeCell ref="AX157:AX158"/>
    <mergeCell ref="AX166:AX167"/>
    <mergeCell ref="AX176:AX177"/>
    <mergeCell ref="BH176:BH177"/>
    <mergeCell ref="BC67:BC68"/>
    <mergeCell ref="BH67:BH68"/>
    <mergeCell ref="AZ67:AZ68"/>
    <mergeCell ref="AX232:AX233"/>
    <mergeCell ref="BE232:BE233"/>
    <mergeCell ref="BG176:BG177"/>
    <mergeCell ref="BF176:BF177"/>
    <mergeCell ref="BA176:BA177"/>
    <mergeCell ref="BA232:BA233"/>
    <mergeCell ref="AZ176:AZ177"/>
    <mergeCell ref="AZ232:AZ233"/>
    <mergeCell ref="BB176:BB177"/>
    <mergeCell ref="BB232:BB233"/>
    <mergeCell ref="BC176:BC177"/>
    <mergeCell ref="BC232:BC233"/>
    <mergeCell ref="BB166:BB167"/>
    <mergeCell ref="C166:C167"/>
    <mergeCell ref="C157:C158"/>
    <mergeCell ref="E157:E158"/>
    <mergeCell ref="BA157:BA158"/>
    <mergeCell ref="AZ157:AZ158"/>
    <mergeCell ref="AZ141:AZ142"/>
    <mergeCell ref="AZ166:AZ167"/>
    <mergeCell ref="E166:E167"/>
    <mergeCell ref="AY157:AY158"/>
    <mergeCell ref="AY166:AY167"/>
    <mergeCell ref="AW141:AW142"/>
    <mergeCell ref="AW157:AW158"/>
    <mergeCell ref="AW166:AW167"/>
    <mergeCell ref="AT157:AT158"/>
    <mergeCell ref="AT166:AT167"/>
    <mergeCell ref="AV141:AV142"/>
    <mergeCell ref="AV157:AV158"/>
    <mergeCell ref="AV166:AV167"/>
    <mergeCell ref="AT141:AT142"/>
    <mergeCell ref="E141:E142"/>
    <mergeCell ref="C141:C142"/>
    <mergeCell ref="AY141:AY142"/>
    <mergeCell ref="AS157:AS158"/>
    <mergeCell ref="AS166:AS167"/>
    <mergeCell ref="BP232:BP233"/>
    <mergeCell ref="BL166:BL167"/>
    <mergeCell ref="BS7:BS8"/>
    <mergeCell ref="B232:B233"/>
    <mergeCell ref="C232:C233"/>
    <mergeCell ref="E232:E233"/>
    <mergeCell ref="BF232:BF233"/>
    <mergeCell ref="BG232:BG233"/>
    <mergeCell ref="B157:B158"/>
    <mergeCell ref="BQ232:BQ233"/>
    <mergeCell ref="BR232:BR233"/>
    <mergeCell ref="BS232:BS233"/>
    <mergeCell ref="B176:B177"/>
    <mergeCell ref="BI176:BI177"/>
    <mergeCell ref="BJ176:BJ177"/>
    <mergeCell ref="BK176:BK177"/>
    <mergeCell ref="BL176:BL177"/>
    <mergeCell ref="C176:C177"/>
    <mergeCell ref="E176:E177"/>
    <mergeCell ref="BD232:BD233"/>
    <mergeCell ref="BD176:BD177"/>
    <mergeCell ref="BE157:BE158"/>
    <mergeCell ref="B141:B142"/>
    <mergeCell ref="B166:B167"/>
    <mergeCell ref="BT232:BT233"/>
    <mergeCell ref="BH232:BH233"/>
    <mergeCell ref="BI232:BI233"/>
    <mergeCell ref="BT157:BT158"/>
    <mergeCell ref="BM166:BM167"/>
    <mergeCell ref="BT204:BT205"/>
    <mergeCell ref="BM176:BM177"/>
    <mergeCell ref="BN176:BN177"/>
    <mergeCell ref="BO176:BO177"/>
    <mergeCell ref="BP176:BP177"/>
    <mergeCell ref="BQ176:BQ177"/>
    <mergeCell ref="BO166:BO167"/>
    <mergeCell ref="BP166:BP167"/>
    <mergeCell ref="BN157:BN158"/>
    <mergeCell ref="BT166:BT167"/>
    <mergeCell ref="BS166:BS167"/>
    <mergeCell ref="BN166:BN167"/>
    <mergeCell ref="BR166:BR167"/>
    <mergeCell ref="BJ232:BJ233"/>
    <mergeCell ref="BK232:BK233"/>
    <mergeCell ref="BL232:BL233"/>
    <mergeCell ref="BM232:BM233"/>
    <mergeCell ref="BN232:BN233"/>
    <mergeCell ref="BO232:BO233"/>
    <mergeCell ref="AV176:AV177"/>
    <mergeCell ref="AV232:AV233"/>
    <mergeCell ref="AP7:AP8"/>
    <mergeCell ref="AP67:AP68"/>
    <mergeCell ref="AP127:AP128"/>
    <mergeCell ref="AP141:AP142"/>
    <mergeCell ref="AP157:AP158"/>
    <mergeCell ref="AP166:AP167"/>
    <mergeCell ref="AP176:AP177"/>
    <mergeCell ref="AP232:AP233"/>
    <mergeCell ref="AU157:AU158"/>
    <mergeCell ref="AU166:AU167"/>
    <mergeCell ref="AU176:AU177"/>
    <mergeCell ref="AU232:AU233"/>
    <mergeCell ref="AT176:AT177"/>
    <mergeCell ref="AT232:AT233"/>
    <mergeCell ref="AT127:AT128"/>
    <mergeCell ref="AQ141:AQ142"/>
    <mergeCell ref="AV7:AV8"/>
    <mergeCell ref="AV67:AV68"/>
    <mergeCell ref="AV127:AV128"/>
    <mergeCell ref="AQ157:AQ158"/>
    <mergeCell ref="AQ166:AQ167"/>
    <mergeCell ref="AQ176:AQ177"/>
    <mergeCell ref="AQ232:AQ233"/>
    <mergeCell ref="AS232:AS233"/>
    <mergeCell ref="AS176:AS177"/>
    <mergeCell ref="AS127:AS128"/>
    <mergeCell ref="AS141:AS142"/>
    <mergeCell ref="AR141:AR142"/>
    <mergeCell ref="AR157:AR158"/>
    <mergeCell ref="AR166:AR167"/>
    <mergeCell ref="AR176:AR177"/>
    <mergeCell ref="AR232:AR233"/>
    <mergeCell ref="AR127:AR128"/>
    <mergeCell ref="AN7:AN8"/>
    <mergeCell ref="AN67:AN68"/>
    <mergeCell ref="AN127:AN128"/>
    <mergeCell ref="AN141:AN142"/>
    <mergeCell ref="AN157:AN158"/>
    <mergeCell ref="AN166:AN167"/>
    <mergeCell ref="AN176:AN177"/>
    <mergeCell ref="AN232:AN233"/>
    <mergeCell ref="AO7:AO8"/>
    <mergeCell ref="AO67:AO68"/>
    <mergeCell ref="AO127:AO128"/>
    <mergeCell ref="AO141:AO142"/>
    <mergeCell ref="AO157:AO158"/>
    <mergeCell ref="AO166:AO167"/>
    <mergeCell ref="AO176:AO177"/>
    <mergeCell ref="AO232:AO233"/>
    <mergeCell ref="AM232:AM233"/>
    <mergeCell ref="AM176:AM177"/>
    <mergeCell ref="AM166:AM167"/>
    <mergeCell ref="AM157:AM158"/>
    <mergeCell ref="AM141:AM142"/>
    <mergeCell ref="AM127:AM128"/>
    <mergeCell ref="AM67:AM68"/>
    <mergeCell ref="AM7:AM8"/>
    <mergeCell ref="AK7:AK8"/>
    <mergeCell ref="AK67:AK68"/>
    <mergeCell ref="AK127:AK128"/>
    <mergeCell ref="AK141:AK142"/>
    <mergeCell ref="AK157:AK158"/>
    <mergeCell ref="AK166:AK167"/>
    <mergeCell ref="AK176:AK177"/>
    <mergeCell ref="AK232:AK233"/>
    <mergeCell ref="AL7:AL8"/>
    <mergeCell ref="AL67:AL68"/>
    <mergeCell ref="AL127:AL128"/>
    <mergeCell ref="AL141:AL142"/>
    <mergeCell ref="AL157:AL158"/>
    <mergeCell ref="AL166:AL167"/>
    <mergeCell ref="AL176:AL177"/>
    <mergeCell ref="AL232:AL233"/>
    <mergeCell ref="AG67:AG68"/>
    <mergeCell ref="AG127:AG128"/>
    <mergeCell ref="AG141:AG142"/>
    <mergeCell ref="AG157:AG158"/>
    <mergeCell ref="AG166:AG167"/>
    <mergeCell ref="AG176:AG177"/>
    <mergeCell ref="AG232:AG233"/>
    <mergeCell ref="AG7:AG8"/>
    <mergeCell ref="AH7:AH8"/>
    <mergeCell ref="AH67:AH68"/>
    <mergeCell ref="AH127:AH128"/>
    <mergeCell ref="AH141:AH142"/>
    <mergeCell ref="AH157:AH158"/>
    <mergeCell ref="AH166:AH167"/>
    <mergeCell ref="AH176:AH177"/>
    <mergeCell ref="AH232:AH233"/>
    <mergeCell ref="AC260:AC261"/>
    <mergeCell ref="AC7:AC8"/>
    <mergeCell ref="AC67:AC68"/>
    <mergeCell ref="AC127:AC128"/>
    <mergeCell ref="AC141:AC142"/>
    <mergeCell ref="AC157:AC158"/>
    <mergeCell ref="AC166:AC167"/>
    <mergeCell ref="AC176:AC177"/>
    <mergeCell ref="AC204:AC205"/>
    <mergeCell ref="AC232:AC233"/>
    <mergeCell ref="AA260:AA261"/>
    <mergeCell ref="AA7:AA8"/>
    <mergeCell ref="AA67:AA68"/>
    <mergeCell ref="AA127:AA128"/>
    <mergeCell ref="AA141:AA142"/>
    <mergeCell ref="AA157:AA158"/>
    <mergeCell ref="AA166:AA167"/>
    <mergeCell ref="AA176:AA177"/>
    <mergeCell ref="AA204:AA205"/>
    <mergeCell ref="AA232:AA233"/>
    <mergeCell ref="Y260:Y261"/>
    <mergeCell ref="Y7:Y8"/>
    <mergeCell ref="Y67:Y68"/>
    <mergeCell ref="Y127:Y128"/>
    <mergeCell ref="Y141:Y142"/>
    <mergeCell ref="Y157:Y158"/>
    <mergeCell ref="Y166:Y167"/>
    <mergeCell ref="Y176:Y177"/>
    <mergeCell ref="Y204:Y205"/>
    <mergeCell ref="Y232:Y233"/>
    <mergeCell ref="X260:X261"/>
    <mergeCell ref="X7:X8"/>
    <mergeCell ref="X67:X68"/>
    <mergeCell ref="X127:X128"/>
    <mergeCell ref="X141:X142"/>
    <mergeCell ref="X157:X158"/>
    <mergeCell ref="X166:X167"/>
    <mergeCell ref="X176:X177"/>
    <mergeCell ref="X204:X205"/>
    <mergeCell ref="X232:X233"/>
    <mergeCell ref="W260:W261"/>
    <mergeCell ref="W7:W8"/>
    <mergeCell ref="W67:W68"/>
    <mergeCell ref="W127:W128"/>
    <mergeCell ref="W141:W142"/>
    <mergeCell ref="W157:W158"/>
    <mergeCell ref="W166:W167"/>
    <mergeCell ref="W176:W177"/>
    <mergeCell ref="W204:W205"/>
    <mergeCell ref="W232:W233"/>
    <mergeCell ref="V260:V261"/>
    <mergeCell ref="V7:V8"/>
    <mergeCell ref="V127:V128"/>
    <mergeCell ref="V157:V158"/>
    <mergeCell ref="V176:V177"/>
    <mergeCell ref="V232:V233"/>
    <mergeCell ref="V67:V68"/>
    <mergeCell ref="V141:V142"/>
    <mergeCell ref="V166:V167"/>
    <mergeCell ref="V204:V205"/>
    <mergeCell ref="U260:U261"/>
    <mergeCell ref="U7:U8"/>
    <mergeCell ref="U67:U68"/>
    <mergeCell ref="U127:U128"/>
    <mergeCell ref="U141:U142"/>
    <mergeCell ref="U157:U158"/>
    <mergeCell ref="U166:U167"/>
    <mergeCell ref="U176:U177"/>
    <mergeCell ref="U204:U205"/>
    <mergeCell ref="U232:U233"/>
    <mergeCell ref="S260:S261"/>
    <mergeCell ref="S7:S8"/>
    <mergeCell ref="S67:S68"/>
    <mergeCell ref="S127:S128"/>
    <mergeCell ref="S141:S142"/>
    <mergeCell ref="S157:S158"/>
    <mergeCell ref="S166:S167"/>
    <mergeCell ref="S176:S177"/>
    <mergeCell ref="S204:S205"/>
    <mergeCell ref="S232:S233"/>
    <mergeCell ref="R260:R261"/>
    <mergeCell ref="R7:R8"/>
    <mergeCell ref="R67:R68"/>
    <mergeCell ref="R127:R128"/>
    <mergeCell ref="R141:R142"/>
    <mergeCell ref="R157:R158"/>
    <mergeCell ref="R166:R167"/>
    <mergeCell ref="R176:R177"/>
    <mergeCell ref="R204:R205"/>
    <mergeCell ref="R232:R233"/>
    <mergeCell ref="Q260:Q261"/>
    <mergeCell ref="Q7:Q8"/>
    <mergeCell ref="Q67:Q68"/>
    <mergeCell ref="Q127:Q128"/>
    <mergeCell ref="Q141:Q142"/>
    <mergeCell ref="Q157:Q158"/>
    <mergeCell ref="Q166:Q167"/>
    <mergeCell ref="Q176:Q177"/>
    <mergeCell ref="Q204:Q205"/>
    <mergeCell ref="Q232:Q233"/>
    <mergeCell ref="O260:O261"/>
    <mergeCell ref="O7:O8"/>
    <mergeCell ref="O67:O68"/>
    <mergeCell ref="O127:O128"/>
    <mergeCell ref="O141:O142"/>
    <mergeCell ref="O157:O158"/>
    <mergeCell ref="O166:O167"/>
    <mergeCell ref="O176:O177"/>
    <mergeCell ref="O204:O205"/>
    <mergeCell ref="O232:O233"/>
    <mergeCell ref="L260:L261"/>
    <mergeCell ref="L7:L8"/>
    <mergeCell ref="L67:L68"/>
    <mergeCell ref="L127:L128"/>
    <mergeCell ref="L141:L142"/>
    <mergeCell ref="L157:L158"/>
    <mergeCell ref="L166:L167"/>
    <mergeCell ref="L176:L177"/>
    <mergeCell ref="L204:L205"/>
    <mergeCell ref="L232:L233"/>
    <mergeCell ref="J260:J261"/>
    <mergeCell ref="J7:J8"/>
    <mergeCell ref="J67:J68"/>
    <mergeCell ref="J127:J128"/>
    <mergeCell ref="J141:J142"/>
    <mergeCell ref="J157:J158"/>
    <mergeCell ref="J166:J167"/>
    <mergeCell ref="J176:J177"/>
    <mergeCell ref="J204:J205"/>
    <mergeCell ref="J232:J233"/>
    <mergeCell ref="I260:I261"/>
    <mergeCell ref="I7:I8"/>
    <mergeCell ref="I67:I68"/>
    <mergeCell ref="I127:I128"/>
    <mergeCell ref="I141:I142"/>
    <mergeCell ref="I157:I158"/>
    <mergeCell ref="I166:I167"/>
    <mergeCell ref="I176:I177"/>
    <mergeCell ref="I204:I205"/>
    <mergeCell ref="I232:I233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</hyperlinks>
  <pageMargins left="0.25" right="0.25" top="0.75" bottom="0.75" header="0.3" footer="0.3"/>
  <pageSetup paperSize="9" scale="13" fitToHeight="0" orientation="portrait" r:id="rId3"/>
  <ignoredErrors>
    <ignoredError sqref="BF16:BS16 AM13:AU13 AM16:BA16 BM139 AN14:BS14" formula="1"/>
    <ignoredError sqref="AS100:BM100" formulaRange="1"/>
    <ignoredError sqref="AN47:BE47 AM49:BE49 AN48:BE48" evalError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Contents</vt:lpstr>
      <vt:lpstr>Key Financials</vt:lpstr>
      <vt:lpstr>Assets and Liabili-s structure</vt:lpstr>
      <vt:lpstr>Loan Portfolio IFRS 9</vt:lpstr>
      <vt:lpstr>Loan Portfolio IAS 39</vt:lpstr>
      <vt:lpstr>Customer Deposits</vt:lpstr>
      <vt:lpstr>Capital</vt:lpstr>
      <vt:lpstr>Income and Expenses structure</vt:lpstr>
      <vt:lpstr>'Key Financials'!Область_печати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Руслан Юрьевич</dc:creator>
  <cp:lastModifiedBy>Курбатов Кирилл Владимирович</cp:lastModifiedBy>
  <cp:lastPrinted>2019-03-19T18:11:21Z</cp:lastPrinted>
  <dcterms:created xsi:type="dcterms:W3CDTF">2012-11-22T07:49:35Z</dcterms:created>
  <dcterms:modified xsi:type="dcterms:W3CDTF">2026-08-19T11:54:35Z</dcterms:modified>
</cp:coreProperties>
</file>