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bookViews>
    <workbookView xWindow="3156" yWindow="0" windowWidth="12240" windowHeight="12792" tabRatio="871" activeTab="1"/>
  </bookViews>
  <sheets>
    <sheet name="Городские Сосновоборск" sheetId="40" r:id="rId1"/>
    <sheet name="Краевые Сосновоборск" sheetId="33" r:id="rId2"/>
    <sheet name="Отчет_ЦСП" sheetId="36" r:id="rId3"/>
    <sheet name="Отчет_ГСК_Первенство" sheetId="22" r:id="rId4"/>
    <sheet name="Ведомость 6" sheetId="28" r:id="rId5"/>
    <sheet name="Именная по возраст группам" sheetId="19" r:id="rId6"/>
    <sheet name="Техническая параллельный зачет" sheetId="37" r:id="rId7"/>
    <sheet name="Нормативы" sheetId="31" r:id="rId8"/>
    <sheet name="Карточка эстафеты" sheetId="24" r:id="rId9"/>
    <sheet name="Дистанции взрослые" sheetId="10" r:id="rId10"/>
    <sheet name="Рекорды" sheetId="25" r:id="rId11"/>
    <sheet name="Ст. секундометрист" sheetId="34" r:id="rId12"/>
    <sheet name="Очки" sheetId="16" r:id="rId13"/>
    <sheet name="Протокол прохождения марафон" sheetId="26" r:id="rId14"/>
    <sheet name="Протокол_прохождения" sheetId="20" r:id="rId15"/>
    <sheet name="нормы_с_28.02.20" sheetId="38" r:id="rId16"/>
    <sheet name="Нормы 2018-1921" sheetId="17" r:id="rId17"/>
  </sheets>
  <externalReferences>
    <externalReference r:id="rId18"/>
    <externalReference r:id="rId19"/>
    <externalReference r:id="rId20"/>
    <externalReference r:id="rId21"/>
    <externalReference r:id="rId22"/>
    <externalReference r:id="rId23"/>
  </externalReferences>
  <definedNames>
    <definedName name="_ftn1" localSheetId="15">нормы_с_28.02.20!#REF!</definedName>
    <definedName name="_ftnref1" localSheetId="15">нормы_с_28.02.20!#REF!</definedName>
    <definedName name="_xlnm._FilterDatabase" localSheetId="0" hidden="1">'Городские Сосновоборск'!$A$492:$K$893</definedName>
    <definedName name="_xlnm._FilterDatabase" localSheetId="1" hidden="1">'Краевые Сосновоборск'!$A$354:$L$394</definedName>
    <definedName name="_xlnm.Print_Titles" localSheetId="5">'Именная по возраст группам'!$8:$8</definedName>
    <definedName name="_xlnm.Print_Titles" localSheetId="6">'Техническая параллельный зачет'!$31:$32</definedName>
    <definedName name="_xlnm.Print_Area" localSheetId="15">нормы_с_28.02.20!$A$1:$V$109</definedName>
  </definedNames>
  <calcPr calcId="145621"/>
</workbook>
</file>

<file path=xl/calcChain.xml><?xml version="1.0" encoding="utf-8"?>
<calcChain xmlns="http://schemas.openxmlformats.org/spreadsheetml/2006/main">
  <c r="J353" i="33" l="1"/>
  <c r="J873" i="33" l="1"/>
  <c r="J874" i="33"/>
  <c r="J875" i="33"/>
  <c r="J876" i="33"/>
  <c r="J877" i="33"/>
  <c r="J878" i="33"/>
  <c r="J872" i="33"/>
  <c r="J863" i="33"/>
  <c r="J864" i="33"/>
  <c r="J865" i="33"/>
  <c r="J866" i="33"/>
  <c r="J867" i="33"/>
  <c r="J868" i="33"/>
  <c r="J862" i="33"/>
  <c r="J853" i="33"/>
  <c r="J854" i="33"/>
  <c r="J855" i="33"/>
  <c r="J856" i="33"/>
  <c r="J857" i="33"/>
  <c r="J858" i="33"/>
  <c r="J852" i="33"/>
  <c r="J844" i="33"/>
  <c r="J845" i="33"/>
  <c r="J846" i="33"/>
  <c r="J847" i="33"/>
  <c r="J848" i="33"/>
  <c r="J843" i="33"/>
  <c r="J839" i="33" l="1"/>
  <c r="J838" i="33"/>
  <c r="J829" i="33"/>
  <c r="J830" i="33"/>
  <c r="J831" i="33"/>
  <c r="J832" i="33"/>
  <c r="J833" i="33"/>
  <c r="J834" i="33"/>
  <c r="J828" i="33"/>
  <c r="J557" i="40"/>
  <c r="J558" i="40"/>
  <c r="J559" i="40"/>
  <c r="J560" i="40"/>
  <c r="J561" i="40"/>
  <c r="J556" i="40"/>
  <c r="F561" i="40"/>
  <c r="J821" i="33"/>
  <c r="J820" i="33"/>
  <c r="J824" i="33"/>
  <c r="J822" i="33"/>
  <c r="J823" i="33"/>
  <c r="J816" i="33"/>
  <c r="J815" i="33"/>
  <c r="J551" i="40"/>
  <c r="J552" i="40"/>
  <c r="J550" i="40"/>
  <c r="J771" i="33"/>
  <c r="J772" i="33"/>
  <c r="J773" i="33"/>
  <c r="J774" i="33"/>
  <c r="J775" i="33"/>
  <c r="J776" i="33"/>
  <c r="J777" i="33"/>
  <c r="J778" i="33"/>
  <c r="J779" i="33"/>
  <c r="J780" i="33"/>
  <c r="J781" i="33"/>
  <c r="J782" i="33"/>
  <c r="J783" i="33"/>
  <c r="J784" i="33"/>
  <c r="J785" i="33"/>
  <c r="J786" i="33"/>
  <c r="J787" i="33"/>
  <c r="J788" i="33"/>
  <c r="J789" i="33"/>
  <c r="J790" i="33"/>
  <c r="J791" i="33"/>
  <c r="J792" i="33"/>
  <c r="J793" i="33"/>
  <c r="J794" i="33"/>
  <c r="J795" i="33"/>
  <c r="J796" i="33"/>
  <c r="J797" i="33"/>
  <c r="J798" i="33"/>
  <c r="J799" i="33"/>
  <c r="J800" i="33"/>
  <c r="J801" i="33"/>
  <c r="J802" i="33"/>
  <c r="J803" i="33"/>
  <c r="J804" i="33"/>
  <c r="J805" i="33"/>
  <c r="J806" i="33"/>
  <c r="J807" i="33"/>
  <c r="J808" i="33"/>
  <c r="J809" i="33"/>
  <c r="J770" i="33"/>
  <c r="J519" i="40"/>
  <c r="J520" i="40"/>
  <c r="J521" i="40"/>
  <c r="J522" i="40"/>
  <c r="J523" i="40"/>
  <c r="J524" i="40"/>
  <c r="J525" i="40"/>
  <c r="J526" i="40"/>
  <c r="J527" i="40"/>
  <c r="J528" i="40"/>
  <c r="J529" i="40"/>
  <c r="J530" i="40"/>
  <c r="J531" i="40"/>
  <c r="J532" i="40"/>
  <c r="J533" i="40"/>
  <c r="J534" i="40"/>
  <c r="J535" i="40"/>
  <c r="J536" i="40"/>
  <c r="J537" i="40"/>
  <c r="J538" i="40"/>
  <c r="J539" i="40"/>
  <c r="J540" i="40"/>
  <c r="J541" i="40"/>
  <c r="J542" i="40"/>
  <c r="J543" i="40"/>
  <c r="J544" i="40"/>
  <c r="J545" i="40"/>
  <c r="J518" i="40"/>
  <c r="J499" i="40"/>
  <c r="J500" i="40"/>
  <c r="J501" i="40"/>
  <c r="J502" i="40"/>
  <c r="J503" i="40"/>
  <c r="J504" i="40"/>
  <c r="J505" i="40"/>
  <c r="J506" i="40"/>
  <c r="J507" i="40"/>
  <c r="J508" i="40"/>
  <c r="J509" i="40"/>
  <c r="J510" i="40"/>
  <c r="J511" i="40"/>
  <c r="J512" i="40"/>
  <c r="J513" i="40"/>
  <c r="J514" i="40"/>
  <c r="J498" i="40"/>
  <c r="J475" i="40"/>
  <c r="J476" i="40"/>
  <c r="J477" i="40"/>
  <c r="J478" i="40"/>
  <c r="J479" i="40"/>
  <c r="J480" i="40"/>
  <c r="J481" i="40"/>
  <c r="J482" i="40"/>
  <c r="J483" i="40"/>
  <c r="J484" i="40"/>
  <c r="J485" i="40"/>
  <c r="J486" i="40"/>
  <c r="J487" i="40"/>
  <c r="J488" i="40"/>
  <c r="J489" i="40"/>
  <c r="J490" i="40"/>
  <c r="J491" i="40"/>
  <c r="J492" i="40"/>
  <c r="J493" i="40"/>
  <c r="J494" i="40"/>
  <c r="J474" i="40"/>
  <c r="J461" i="40"/>
  <c r="J462" i="40"/>
  <c r="J463" i="40"/>
  <c r="J464" i="40"/>
  <c r="J465" i="40"/>
  <c r="J466" i="40"/>
  <c r="J467" i="40"/>
  <c r="J468" i="40"/>
  <c r="J469" i="40"/>
  <c r="J470" i="40"/>
  <c r="J460" i="40"/>
  <c r="J450" i="40"/>
  <c r="J451" i="40"/>
  <c r="J452" i="40"/>
  <c r="J453" i="40"/>
  <c r="J454" i="40"/>
  <c r="J455" i="40"/>
  <c r="J456" i="40"/>
  <c r="J449" i="40"/>
  <c r="J442" i="40"/>
  <c r="J443" i="40"/>
  <c r="J444" i="40"/>
  <c r="J441" i="40"/>
  <c r="J433" i="40"/>
  <c r="J434" i="40"/>
  <c r="J435" i="40"/>
  <c r="J436" i="40"/>
  <c r="J437" i="40"/>
  <c r="J432" i="40"/>
  <c r="J424" i="40"/>
  <c r="J425" i="40"/>
  <c r="J426" i="40"/>
  <c r="J427" i="40"/>
  <c r="J423" i="40"/>
  <c r="J729" i="33"/>
  <c r="J730" i="33"/>
  <c r="J731" i="33"/>
  <c r="J732" i="33"/>
  <c r="J733" i="33"/>
  <c r="J734" i="33"/>
  <c r="J735" i="33"/>
  <c r="J736" i="33"/>
  <c r="J737" i="33"/>
  <c r="J738" i="33"/>
  <c r="J739" i="33"/>
  <c r="J740" i="33"/>
  <c r="J741" i="33"/>
  <c r="J742" i="33"/>
  <c r="J743" i="33"/>
  <c r="J744" i="33"/>
  <c r="J745" i="33"/>
  <c r="J746" i="33"/>
  <c r="J747" i="33"/>
  <c r="J748" i="33"/>
  <c r="J749" i="33"/>
  <c r="J750" i="33"/>
  <c r="J751" i="33"/>
  <c r="J752" i="33"/>
  <c r="J753" i="33"/>
  <c r="J754" i="33"/>
  <c r="J755" i="33"/>
  <c r="J756" i="33"/>
  <c r="J757" i="33"/>
  <c r="J758" i="33"/>
  <c r="J759" i="33"/>
  <c r="J760" i="33"/>
  <c r="J761" i="33"/>
  <c r="J762" i="33"/>
  <c r="J763" i="33"/>
  <c r="J764" i="33"/>
  <c r="J765" i="33"/>
  <c r="J766" i="33"/>
  <c r="J728" i="33"/>
  <c r="J710" i="33"/>
  <c r="J711" i="33"/>
  <c r="J712" i="33"/>
  <c r="J713" i="33"/>
  <c r="J714" i="33"/>
  <c r="J715" i="33"/>
  <c r="J716" i="33"/>
  <c r="J717" i="33"/>
  <c r="J718" i="33"/>
  <c r="J719" i="33"/>
  <c r="J720" i="33"/>
  <c r="J721" i="33"/>
  <c r="J722" i="33"/>
  <c r="J723" i="33"/>
  <c r="J724" i="33"/>
  <c r="J709" i="33"/>
  <c r="J692" i="33"/>
  <c r="J693" i="33"/>
  <c r="J694" i="33"/>
  <c r="J695" i="33"/>
  <c r="J696" i="33"/>
  <c r="J697" i="33"/>
  <c r="J698" i="33"/>
  <c r="J699" i="33"/>
  <c r="J700" i="33"/>
  <c r="J701" i="33"/>
  <c r="J702" i="33"/>
  <c r="J703" i="33"/>
  <c r="J704" i="33"/>
  <c r="J705" i="33"/>
  <c r="J691" i="33"/>
  <c r="J685" i="33"/>
  <c r="J686" i="33"/>
  <c r="J687" i="33"/>
  <c r="J684" i="33"/>
  <c r="J668" i="33"/>
  <c r="J669" i="33"/>
  <c r="J670" i="33"/>
  <c r="J671" i="33"/>
  <c r="J672" i="33"/>
  <c r="J673" i="33"/>
  <c r="J674" i="33"/>
  <c r="J675" i="33"/>
  <c r="J676" i="33"/>
  <c r="J677" i="33"/>
  <c r="J678" i="33"/>
  <c r="J679" i="33"/>
  <c r="J680" i="33"/>
  <c r="J667" i="33"/>
  <c r="J660" i="33"/>
  <c r="J661" i="33"/>
  <c r="J662" i="33"/>
  <c r="J663" i="33"/>
  <c r="J659" i="33"/>
  <c r="J653" i="33"/>
  <c r="J654" i="33"/>
  <c r="J655" i="33"/>
  <c r="J652" i="33"/>
  <c r="F534" i="40" l="1"/>
  <c r="F525" i="40"/>
  <c r="J423" i="33"/>
  <c r="J426" i="33"/>
  <c r="F212" i="40"/>
  <c r="F213" i="40"/>
  <c r="J648" i="33" l="1"/>
  <c r="J643" i="33"/>
  <c r="J644" i="33"/>
  <c r="J642" i="33"/>
  <c r="J635" i="33"/>
  <c r="J636" i="33"/>
  <c r="J634" i="33"/>
  <c r="J629" i="33"/>
  <c r="J630" i="33"/>
  <c r="J628" i="33"/>
  <c r="J587" i="33"/>
  <c r="J588" i="33"/>
  <c r="J589" i="33"/>
  <c r="J590" i="33"/>
  <c r="J591" i="33"/>
  <c r="J592" i="33"/>
  <c r="J593" i="33"/>
  <c r="J594" i="33"/>
  <c r="J595" i="33"/>
  <c r="J596" i="33"/>
  <c r="J597" i="33"/>
  <c r="J598" i="33"/>
  <c r="J599" i="33"/>
  <c r="J600" i="33"/>
  <c r="J601" i="33"/>
  <c r="J602" i="33"/>
  <c r="J603" i="33"/>
  <c r="J604" i="33"/>
  <c r="J605" i="33"/>
  <c r="J606" i="33"/>
  <c r="J607" i="33"/>
  <c r="J608" i="33"/>
  <c r="J609" i="33"/>
  <c r="J610" i="33"/>
  <c r="J611" i="33"/>
  <c r="J612" i="33"/>
  <c r="J613" i="33"/>
  <c r="J614" i="33"/>
  <c r="J615" i="33"/>
  <c r="J616" i="33"/>
  <c r="J617" i="33"/>
  <c r="J618" i="33"/>
  <c r="J619" i="33"/>
  <c r="J620" i="33"/>
  <c r="J621" i="33"/>
  <c r="J622" i="33"/>
  <c r="J623" i="33"/>
  <c r="J624" i="33"/>
  <c r="J586" i="33"/>
  <c r="H113" i="33" l="1"/>
  <c r="J553" i="33" l="1"/>
  <c r="J554" i="33"/>
  <c r="J555" i="33"/>
  <c r="J556" i="33"/>
  <c r="J557" i="33"/>
  <c r="J558" i="33"/>
  <c r="J559" i="33"/>
  <c r="J560" i="33"/>
  <c r="J561" i="33"/>
  <c r="J562" i="33"/>
  <c r="J563" i="33"/>
  <c r="J564" i="33"/>
  <c r="J565" i="33"/>
  <c r="J566" i="33"/>
  <c r="J567" i="33"/>
  <c r="J568" i="33"/>
  <c r="J569" i="33"/>
  <c r="J570" i="33"/>
  <c r="J571" i="33"/>
  <c r="J572" i="33"/>
  <c r="J573" i="33"/>
  <c r="J574" i="33"/>
  <c r="J575" i="33"/>
  <c r="J576" i="33"/>
  <c r="J577" i="33"/>
  <c r="J578" i="33"/>
  <c r="J579" i="33"/>
  <c r="J580" i="33"/>
  <c r="J581" i="33"/>
  <c r="J552" i="33"/>
  <c r="J419" i="40" l="1"/>
  <c r="J418" i="40"/>
  <c r="J417" i="40"/>
  <c r="J416" i="40"/>
  <c r="J415" i="40"/>
  <c r="J414" i="40"/>
  <c r="J413" i="40"/>
  <c r="J412" i="40"/>
  <c r="J411" i="40"/>
  <c r="J410" i="40"/>
  <c r="J409" i="40"/>
  <c r="J408" i="40"/>
  <c r="J407" i="40"/>
  <c r="J406" i="40"/>
  <c r="J405" i="40"/>
  <c r="J404" i="40"/>
  <c r="J403" i="40"/>
  <c r="J402" i="40"/>
  <c r="J401" i="40"/>
  <c r="J400" i="40"/>
  <c r="J539" i="33"/>
  <c r="J540" i="33"/>
  <c r="J541" i="33"/>
  <c r="J542" i="33"/>
  <c r="J543" i="33"/>
  <c r="J544" i="33"/>
  <c r="J545" i="33"/>
  <c r="J546" i="33"/>
  <c r="J547" i="33"/>
  <c r="J548" i="33"/>
  <c r="J538" i="33"/>
  <c r="J384" i="40"/>
  <c r="J385" i="40"/>
  <c r="J386" i="40"/>
  <c r="J387" i="40"/>
  <c r="J388" i="40"/>
  <c r="J389" i="40"/>
  <c r="J390" i="40"/>
  <c r="J391" i="40"/>
  <c r="J392" i="40"/>
  <c r="J393" i="40"/>
  <c r="J394" i="40"/>
  <c r="J395" i="40"/>
  <c r="J396" i="40"/>
  <c r="J383" i="40"/>
  <c r="J526" i="33"/>
  <c r="J527" i="33"/>
  <c r="J528" i="33"/>
  <c r="J529" i="33"/>
  <c r="J530" i="33"/>
  <c r="J531" i="33"/>
  <c r="J532" i="33"/>
  <c r="J533" i="33"/>
  <c r="J525" i="33"/>
  <c r="J379" i="40"/>
  <c r="J378" i="40"/>
  <c r="J377" i="40"/>
  <c r="F377" i="40"/>
  <c r="J376" i="40"/>
  <c r="J375" i="40"/>
  <c r="J374" i="40"/>
  <c r="J373" i="40"/>
  <c r="J372" i="40"/>
  <c r="J371" i="40"/>
  <c r="J367" i="40"/>
  <c r="J366" i="40"/>
  <c r="J362" i="40"/>
  <c r="J361" i="40"/>
  <c r="J360" i="40"/>
  <c r="J359" i="40"/>
  <c r="J358" i="40"/>
  <c r="J357" i="40"/>
  <c r="J353" i="40"/>
  <c r="J352" i="40"/>
  <c r="J351" i="40"/>
  <c r="J350" i="40"/>
  <c r="J296" i="40"/>
  <c r="J297" i="40"/>
  <c r="J298" i="40"/>
  <c r="J299" i="40"/>
  <c r="J300" i="40"/>
  <c r="J301" i="40"/>
  <c r="J302" i="40"/>
  <c r="J303" i="40"/>
  <c r="J304" i="40"/>
  <c r="J305" i="40"/>
  <c r="J306" i="40"/>
  <c r="J307" i="40"/>
  <c r="J308" i="40"/>
  <c r="J309" i="40"/>
  <c r="J310" i="40"/>
  <c r="J311" i="40"/>
  <c r="J316" i="40"/>
  <c r="J317" i="40"/>
  <c r="J318" i="40"/>
  <c r="J319" i="40"/>
  <c r="J320" i="40"/>
  <c r="F321" i="40"/>
  <c r="J321" i="40"/>
  <c r="J322" i="40"/>
  <c r="J323" i="40"/>
  <c r="J324" i="40"/>
  <c r="J325" i="40"/>
  <c r="J326" i="40"/>
  <c r="J327" i="40"/>
  <c r="J328" i="40"/>
  <c r="J329" i="40"/>
  <c r="J330" i="40"/>
  <c r="J331" i="40"/>
  <c r="J332" i="40"/>
  <c r="J333" i="40"/>
  <c r="F334" i="40"/>
  <c r="J334" i="40"/>
  <c r="J335" i="40"/>
  <c r="J336" i="40"/>
  <c r="J337" i="40"/>
  <c r="J338" i="40"/>
  <c r="J339" i="40"/>
  <c r="J340" i="40"/>
  <c r="J341" i="40"/>
  <c r="J342" i="40"/>
  <c r="J343" i="40"/>
  <c r="J344" i="40"/>
  <c r="J345" i="40"/>
  <c r="J291" i="40"/>
  <c r="J290" i="40"/>
  <c r="J289" i="40"/>
  <c r="J288" i="40"/>
  <c r="J287" i="40"/>
  <c r="J286" i="40"/>
  <c r="J285" i="40"/>
  <c r="J284" i="40"/>
  <c r="J283" i="40"/>
  <c r="J282" i="40"/>
  <c r="J281" i="40"/>
  <c r="J280" i="40"/>
  <c r="J279" i="40"/>
  <c r="J278" i="40"/>
  <c r="J277" i="40"/>
  <c r="J276" i="40"/>
  <c r="J275" i="40"/>
  <c r="J274" i="40"/>
  <c r="J273" i="40"/>
  <c r="J272" i="40"/>
  <c r="J271" i="40"/>
  <c r="J270" i="40"/>
  <c r="J269" i="40"/>
  <c r="J268" i="40"/>
  <c r="J263" i="40"/>
  <c r="J262" i="40"/>
  <c r="J261" i="40"/>
  <c r="J260" i="40"/>
  <c r="J259" i="40"/>
  <c r="J258" i="40"/>
  <c r="J257" i="40"/>
  <c r="J256" i="40"/>
  <c r="J255" i="40"/>
  <c r="J254" i="40"/>
  <c r="J253" i="40"/>
  <c r="J252" i="40"/>
  <c r="J251" i="40"/>
  <c r="J250" i="40"/>
  <c r="J518" i="33"/>
  <c r="J519" i="33"/>
  <c r="J520" i="33"/>
  <c r="J517" i="33"/>
  <c r="J506" i="33"/>
  <c r="J507" i="33"/>
  <c r="J508" i="33"/>
  <c r="J509" i="33"/>
  <c r="J510" i="33"/>
  <c r="J511" i="33"/>
  <c r="J512" i="33"/>
  <c r="J513" i="33"/>
  <c r="J505" i="33"/>
  <c r="J499" i="33"/>
  <c r="J500" i="33"/>
  <c r="J501" i="33"/>
  <c r="J498" i="33"/>
  <c r="J493" i="33"/>
  <c r="J494" i="33"/>
  <c r="J492" i="33"/>
  <c r="J444" i="33"/>
  <c r="J445" i="33"/>
  <c r="J446" i="33"/>
  <c r="J447" i="33"/>
  <c r="J448" i="33"/>
  <c r="J449" i="33"/>
  <c r="J450" i="33"/>
  <c r="J451" i="33"/>
  <c r="J452" i="33"/>
  <c r="J453" i="33"/>
  <c r="J454" i="33"/>
  <c r="J455" i="33"/>
  <c r="J456" i="33"/>
  <c r="J457" i="33"/>
  <c r="J458" i="33"/>
  <c r="J459" i="33"/>
  <c r="J460" i="33"/>
  <c r="J461" i="33"/>
  <c r="J462" i="33"/>
  <c r="J463" i="33"/>
  <c r="J464" i="33"/>
  <c r="J465" i="33"/>
  <c r="J466" i="33"/>
  <c r="J467" i="33"/>
  <c r="J468" i="33"/>
  <c r="J469" i="33"/>
  <c r="J470" i="33"/>
  <c r="J471" i="33"/>
  <c r="J472" i="33"/>
  <c r="J473" i="33"/>
  <c r="J474" i="33"/>
  <c r="J475" i="33"/>
  <c r="J476" i="33"/>
  <c r="J477" i="33"/>
  <c r="J478" i="33"/>
  <c r="J479" i="33"/>
  <c r="J480" i="33"/>
  <c r="J481" i="33"/>
  <c r="J482" i="33"/>
  <c r="J483" i="33"/>
  <c r="J484" i="33"/>
  <c r="J485" i="33"/>
  <c r="J486" i="33"/>
  <c r="J487" i="33"/>
  <c r="J488" i="33"/>
  <c r="J443" i="33"/>
  <c r="J394" i="33"/>
  <c r="J395" i="33"/>
  <c r="J396" i="33"/>
  <c r="J397" i="33"/>
  <c r="J398" i="33"/>
  <c r="J399" i="33"/>
  <c r="J400" i="33"/>
  <c r="J401" i="33"/>
  <c r="J402" i="33"/>
  <c r="J403" i="33"/>
  <c r="J404" i="33"/>
  <c r="J405" i="33"/>
  <c r="J406" i="33"/>
  <c r="J407" i="33"/>
  <c r="J408" i="33"/>
  <c r="J409" i="33"/>
  <c r="J410" i="33"/>
  <c r="J411" i="33"/>
  <c r="J412" i="33"/>
  <c r="J413" i="33"/>
  <c r="J414" i="33"/>
  <c r="J415" i="33"/>
  <c r="J416" i="33"/>
  <c r="J417" i="33"/>
  <c r="J418" i="33"/>
  <c r="J419" i="33"/>
  <c r="J420" i="33"/>
  <c r="J421" i="33"/>
  <c r="J422" i="33"/>
  <c r="J424" i="33"/>
  <c r="J425" i="33"/>
  <c r="J427" i="33"/>
  <c r="J428" i="33"/>
  <c r="J429" i="33"/>
  <c r="J430" i="33"/>
  <c r="J431" i="33"/>
  <c r="J432" i="33"/>
  <c r="J433" i="33"/>
  <c r="J434" i="33"/>
  <c r="J435" i="33"/>
  <c r="J436" i="33"/>
  <c r="J437" i="33"/>
  <c r="J438" i="33"/>
  <c r="J393" i="33"/>
  <c r="J373" i="33"/>
  <c r="J374" i="33"/>
  <c r="J375" i="33"/>
  <c r="J376" i="33"/>
  <c r="J377" i="33"/>
  <c r="J378" i="33"/>
  <c r="J379" i="33"/>
  <c r="J380" i="33"/>
  <c r="J381" i="33"/>
  <c r="J382" i="33"/>
  <c r="J383" i="33"/>
  <c r="J384" i="33"/>
  <c r="J385" i="33"/>
  <c r="J386" i="33"/>
  <c r="J387" i="33"/>
  <c r="J372" i="33"/>
  <c r="J352" i="33"/>
  <c r="J354" i="33"/>
  <c r="J355" i="33"/>
  <c r="J356" i="33"/>
  <c r="J357" i="33"/>
  <c r="J358" i="33"/>
  <c r="J359" i="33"/>
  <c r="J360" i="33"/>
  <c r="J361" i="33"/>
  <c r="J362" i="33"/>
  <c r="J363" i="33"/>
  <c r="J364" i="33"/>
  <c r="J365" i="33"/>
  <c r="J366" i="33"/>
  <c r="J367" i="33"/>
  <c r="J368" i="33"/>
  <c r="J351" i="33"/>
  <c r="N346" i="31" l="1"/>
  <c r="N347" i="31"/>
  <c r="N348" i="31"/>
  <c r="N349" i="31"/>
  <c r="N350" i="31"/>
  <c r="N351" i="31"/>
  <c r="M346" i="31"/>
  <c r="M347" i="31"/>
  <c r="M348" i="31"/>
  <c r="M349" i="31"/>
  <c r="M350" i="31"/>
  <c r="M351" i="31"/>
  <c r="N338" i="31"/>
  <c r="N339" i="31"/>
  <c r="N340" i="31"/>
  <c r="N341" i="31"/>
  <c r="N342" i="31"/>
  <c r="N343" i="31"/>
  <c r="M343" i="31"/>
  <c r="M338" i="31"/>
  <c r="M339" i="31"/>
  <c r="M340" i="31"/>
  <c r="M341" i="31"/>
  <c r="M342" i="31"/>
  <c r="J378" i="31"/>
  <c r="J379" i="31"/>
  <c r="J380" i="31"/>
  <c r="J381" i="31"/>
  <c r="J382" i="31"/>
  <c r="J383" i="31"/>
  <c r="I378" i="31"/>
  <c r="I379" i="31"/>
  <c r="I380" i="31"/>
  <c r="I381" i="31"/>
  <c r="I382" i="31"/>
  <c r="I383" i="31"/>
  <c r="L381" i="31"/>
  <c r="N381" i="31" s="1"/>
  <c r="J370" i="31"/>
  <c r="J371" i="31"/>
  <c r="J372" i="31"/>
  <c r="J373" i="31"/>
  <c r="J374" i="31"/>
  <c r="J375" i="31"/>
  <c r="I370" i="31"/>
  <c r="I371" i="31"/>
  <c r="I372" i="31"/>
  <c r="I373" i="31"/>
  <c r="I374" i="31"/>
  <c r="I375" i="31"/>
  <c r="L372" i="31"/>
  <c r="N372" i="31" s="1"/>
  <c r="L383" i="31"/>
  <c r="N383" i="31" s="1"/>
  <c r="L382" i="31"/>
  <c r="M382" i="31" s="1"/>
  <c r="L380" i="31"/>
  <c r="M380" i="31" s="1"/>
  <c r="L379" i="31"/>
  <c r="N379" i="31" s="1"/>
  <c r="L378" i="31"/>
  <c r="M378" i="31" s="1"/>
  <c r="L375" i="31"/>
  <c r="N375" i="31" s="1"/>
  <c r="L374" i="31"/>
  <c r="N374" i="31" s="1"/>
  <c r="L373" i="31"/>
  <c r="N373" i="31" s="1"/>
  <c r="L371" i="31"/>
  <c r="N371" i="31" s="1"/>
  <c r="L370" i="31"/>
  <c r="N370" i="31" s="1"/>
  <c r="J362" i="31"/>
  <c r="J363" i="31"/>
  <c r="J364" i="31"/>
  <c r="J365" i="31"/>
  <c r="J366" i="31"/>
  <c r="J367" i="31"/>
  <c r="I362" i="31"/>
  <c r="I363" i="31"/>
  <c r="I364" i="31"/>
  <c r="I365" i="31"/>
  <c r="I366" i="31"/>
  <c r="I367" i="31"/>
  <c r="J355" i="31"/>
  <c r="J356" i="31"/>
  <c r="J357" i="31"/>
  <c r="J358" i="31"/>
  <c r="J359" i="31"/>
  <c r="J354" i="31"/>
  <c r="I355" i="31"/>
  <c r="I356" i="31"/>
  <c r="I357" i="31"/>
  <c r="I358" i="31"/>
  <c r="I359" i="31"/>
  <c r="I354" i="31"/>
  <c r="M330" i="31"/>
  <c r="N330" i="31"/>
  <c r="M331" i="31"/>
  <c r="N331" i="31"/>
  <c r="M332" i="31"/>
  <c r="N332" i="31"/>
  <c r="M333" i="31"/>
  <c r="N333" i="31"/>
  <c r="M334" i="31"/>
  <c r="N334" i="31"/>
  <c r="N335" i="31"/>
  <c r="M335" i="31"/>
  <c r="N322" i="31"/>
  <c r="N323" i="31"/>
  <c r="N324" i="31"/>
  <c r="N325" i="31"/>
  <c r="N326" i="31"/>
  <c r="N327" i="31"/>
  <c r="M322" i="31"/>
  <c r="M323" i="31"/>
  <c r="M324" i="31"/>
  <c r="M325" i="31"/>
  <c r="M326" i="31"/>
  <c r="M327" i="31"/>
  <c r="N314" i="31"/>
  <c r="N315" i="31"/>
  <c r="N316" i="31"/>
  <c r="N317" i="31"/>
  <c r="N318" i="31"/>
  <c r="N319" i="31"/>
  <c r="M314" i="31"/>
  <c r="M315" i="31"/>
  <c r="M316" i="31"/>
  <c r="M317" i="31"/>
  <c r="M318" i="31"/>
  <c r="M319" i="31"/>
  <c r="N306" i="31"/>
  <c r="N307" i="31"/>
  <c r="N308" i="31"/>
  <c r="N309" i="31"/>
  <c r="N310" i="31"/>
  <c r="N311" i="31"/>
  <c r="M307" i="31"/>
  <c r="M308" i="31"/>
  <c r="M309" i="31"/>
  <c r="M310" i="31"/>
  <c r="M311" i="31"/>
  <c r="M306" i="31"/>
  <c r="J231" i="31"/>
  <c r="J232" i="31"/>
  <c r="J233" i="31"/>
  <c r="J234" i="31"/>
  <c r="J235" i="31"/>
  <c r="J236" i="31"/>
  <c r="J237" i="31"/>
  <c r="J238" i="31"/>
  <c r="J239" i="31"/>
  <c r="I231" i="31"/>
  <c r="I232" i="31"/>
  <c r="I233" i="31"/>
  <c r="I234" i="31"/>
  <c r="I235" i="31"/>
  <c r="I236" i="31"/>
  <c r="I237" i="31"/>
  <c r="I238" i="31"/>
  <c r="I239" i="31"/>
  <c r="J220" i="31"/>
  <c r="J221" i="31"/>
  <c r="J222" i="31"/>
  <c r="J223" i="31"/>
  <c r="J224" i="31"/>
  <c r="J225" i="31"/>
  <c r="J226" i="31"/>
  <c r="J227" i="31"/>
  <c r="J228" i="31"/>
  <c r="I220" i="31"/>
  <c r="I221" i="31"/>
  <c r="I222" i="31"/>
  <c r="I223" i="31"/>
  <c r="I224" i="31"/>
  <c r="I225" i="31"/>
  <c r="I226" i="31"/>
  <c r="I227" i="31"/>
  <c r="I228" i="31"/>
  <c r="J192" i="31"/>
  <c r="J193" i="31"/>
  <c r="J194" i="31"/>
  <c r="J195" i="31"/>
  <c r="J196" i="31"/>
  <c r="J197" i="31"/>
  <c r="J198" i="31"/>
  <c r="J199" i="31"/>
  <c r="J200" i="31"/>
  <c r="I192" i="31"/>
  <c r="I193" i="31"/>
  <c r="I194" i="31"/>
  <c r="I195" i="31"/>
  <c r="I196" i="31"/>
  <c r="I197" i="31"/>
  <c r="I198" i="31"/>
  <c r="I199" i="31"/>
  <c r="I200" i="31"/>
  <c r="J181" i="31"/>
  <c r="J182" i="31"/>
  <c r="J183" i="31"/>
  <c r="J184" i="31"/>
  <c r="J185" i="31"/>
  <c r="J186" i="31"/>
  <c r="J187" i="31"/>
  <c r="J188" i="31"/>
  <c r="J189" i="31"/>
  <c r="I181" i="31"/>
  <c r="I182" i="31"/>
  <c r="I183" i="31"/>
  <c r="I184" i="31"/>
  <c r="I185" i="31"/>
  <c r="I186" i="31"/>
  <c r="I187" i="31"/>
  <c r="I188" i="31"/>
  <c r="I189" i="31"/>
  <c r="J170" i="31"/>
  <c r="J171" i="31"/>
  <c r="J172" i="31"/>
  <c r="J173" i="31"/>
  <c r="J174" i="31"/>
  <c r="J175" i="31"/>
  <c r="J176" i="31"/>
  <c r="J177" i="31"/>
  <c r="J178" i="31"/>
  <c r="I170" i="31"/>
  <c r="I171" i="31"/>
  <c r="I172" i="31"/>
  <c r="I173" i="31"/>
  <c r="I174" i="31"/>
  <c r="I175" i="31"/>
  <c r="I176" i="31"/>
  <c r="I177" i="31"/>
  <c r="I178" i="31"/>
  <c r="J159" i="31"/>
  <c r="J160" i="31"/>
  <c r="J161" i="31"/>
  <c r="J162" i="31"/>
  <c r="J163" i="31"/>
  <c r="J164" i="31"/>
  <c r="J165" i="31"/>
  <c r="J166" i="31"/>
  <c r="J167" i="31"/>
  <c r="I159" i="31"/>
  <c r="I160" i="31"/>
  <c r="I161" i="31"/>
  <c r="I162" i="31"/>
  <c r="I163" i="31"/>
  <c r="I164" i="31"/>
  <c r="I165" i="31"/>
  <c r="I166" i="31"/>
  <c r="I167" i="31"/>
  <c r="J148" i="31"/>
  <c r="J149" i="31"/>
  <c r="J150" i="31"/>
  <c r="J151" i="31"/>
  <c r="J152" i="31"/>
  <c r="J153" i="31"/>
  <c r="J154" i="31"/>
  <c r="J155" i="31"/>
  <c r="J156" i="31"/>
  <c r="I148" i="31"/>
  <c r="I149" i="31"/>
  <c r="I150" i="31"/>
  <c r="I151" i="31"/>
  <c r="I152" i="31"/>
  <c r="I153" i="31"/>
  <c r="I154" i="31"/>
  <c r="I155" i="31"/>
  <c r="I156" i="31"/>
  <c r="J137" i="31"/>
  <c r="J138" i="31"/>
  <c r="J139" i="31"/>
  <c r="J140" i="31"/>
  <c r="J141" i="31"/>
  <c r="J142" i="31"/>
  <c r="J143" i="31"/>
  <c r="J144" i="31"/>
  <c r="J145" i="31"/>
  <c r="I137" i="31"/>
  <c r="I138" i="31"/>
  <c r="I139" i="31"/>
  <c r="I140" i="31"/>
  <c r="I141" i="31"/>
  <c r="I142" i="31"/>
  <c r="I143" i="31"/>
  <c r="I144" i="31"/>
  <c r="I145" i="31"/>
  <c r="J126" i="31"/>
  <c r="J127" i="31"/>
  <c r="J128" i="31"/>
  <c r="J129" i="31"/>
  <c r="J130" i="31"/>
  <c r="J131" i="31"/>
  <c r="J132" i="31"/>
  <c r="J133" i="31"/>
  <c r="J134" i="31"/>
  <c r="I126" i="31"/>
  <c r="I127" i="31"/>
  <c r="I128" i="31"/>
  <c r="I129" i="31"/>
  <c r="I130" i="31"/>
  <c r="I131" i="31"/>
  <c r="I132" i="31"/>
  <c r="I133" i="31"/>
  <c r="I134" i="31"/>
  <c r="J115" i="31"/>
  <c r="J116" i="31"/>
  <c r="J117" i="31"/>
  <c r="J118" i="31"/>
  <c r="J119" i="31"/>
  <c r="J120" i="31"/>
  <c r="J121" i="31"/>
  <c r="J122" i="31"/>
  <c r="J123" i="31"/>
  <c r="I115" i="31"/>
  <c r="I116" i="31"/>
  <c r="I117" i="31"/>
  <c r="I118" i="31"/>
  <c r="I119" i="31"/>
  <c r="I120" i="31"/>
  <c r="I121" i="31"/>
  <c r="I122" i="31"/>
  <c r="I123" i="31"/>
  <c r="J104" i="31"/>
  <c r="J105" i="31"/>
  <c r="J106" i="31"/>
  <c r="J107" i="31"/>
  <c r="J108" i="31"/>
  <c r="J109" i="31"/>
  <c r="J110" i="31"/>
  <c r="J111" i="31"/>
  <c r="J112" i="31"/>
  <c r="I104" i="31"/>
  <c r="I105" i="31"/>
  <c r="I106" i="31"/>
  <c r="I107" i="31"/>
  <c r="I108" i="31"/>
  <c r="I109" i="31"/>
  <c r="I110" i="31"/>
  <c r="I111" i="31"/>
  <c r="I112" i="31"/>
  <c r="J93" i="31"/>
  <c r="J94" i="31"/>
  <c r="J95" i="31"/>
  <c r="J96" i="31"/>
  <c r="J97" i="31"/>
  <c r="J98" i="31"/>
  <c r="J99" i="31"/>
  <c r="J100" i="31"/>
  <c r="J101" i="31"/>
  <c r="I93" i="31"/>
  <c r="I94" i="31"/>
  <c r="I95" i="31"/>
  <c r="I96" i="31"/>
  <c r="I97" i="31"/>
  <c r="I98" i="31"/>
  <c r="I99" i="31"/>
  <c r="I100" i="31"/>
  <c r="I101" i="31"/>
  <c r="J82" i="31"/>
  <c r="J83" i="31"/>
  <c r="J84" i="31"/>
  <c r="J85" i="31"/>
  <c r="J86" i="31"/>
  <c r="J87" i="31"/>
  <c r="J88" i="31"/>
  <c r="J89" i="31"/>
  <c r="J90" i="31"/>
  <c r="I82" i="31"/>
  <c r="I83" i="31"/>
  <c r="I84" i="31"/>
  <c r="I85" i="31"/>
  <c r="I86" i="31"/>
  <c r="I87" i="31"/>
  <c r="I88" i="31"/>
  <c r="I89" i="31"/>
  <c r="I90" i="31"/>
  <c r="J71" i="31"/>
  <c r="J72" i="31"/>
  <c r="J73" i="31"/>
  <c r="J74" i="31"/>
  <c r="J75" i="31"/>
  <c r="J76" i="31"/>
  <c r="J77" i="31"/>
  <c r="J78" i="31"/>
  <c r="J79" i="31"/>
  <c r="I71" i="31"/>
  <c r="I72" i="31"/>
  <c r="I73" i="31"/>
  <c r="I74" i="31"/>
  <c r="I75" i="31"/>
  <c r="I76" i="31"/>
  <c r="I77" i="31"/>
  <c r="I78" i="31"/>
  <c r="I79" i="31"/>
  <c r="J60" i="31"/>
  <c r="J61" i="31"/>
  <c r="J62" i="31"/>
  <c r="J63" i="31"/>
  <c r="J64" i="31"/>
  <c r="J65" i="31"/>
  <c r="J66" i="31"/>
  <c r="J67" i="31"/>
  <c r="J68" i="31"/>
  <c r="I60" i="31"/>
  <c r="I61" i="31"/>
  <c r="I62" i="31"/>
  <c r="I63" i="31"/>
  <c r="I64" i="31"/>
  <c r="I65" i="31"/>
  <c r="I66" i="31"/>
  <c r="I67" i="31"/>
  <c r="I68" i="31"/>
  <c r="J49" i="31"/>
  <c r="J50" i="31"/>
  <c r="J51" i="31"/>
  <c r="J52" i="31"/>
  <c r="J53" i="31"/>
  <c r="J54" i="31"/>
  <c r="J55" i="31"/>
  <c r="J56" i="31"/>
  <c r="J57" i="31"/>
  <c r="I49" i="31"/>
  <c r="I50" i="31"/>
  <c r="I51" i="31"/>
  <c r="I52" i="31"/>
  <c r="I53" i="31"/>
  <c r="I54" i="31"/>
  <c r="I56" i="31"/>
  <c r="I57" i="31"/>
  <c r="I55" i="31"/>
  <c r="J38" i="31"/>
  <c r="J39" i="31"/>
  <c r="J40" i="31"/>
  <c r="J41" i="31"/>
  <c r="J42" i="31"/>
  <c r="J43" i="31"/>
  <c r="J44" i="31"/>
  <c r="J45" i="31"/>
  <c r="J46" i="31"/>
  <c r="I38" i="31"/>
  <c r="I39" i="31"/>
  <c r="I40" i="31"/>
  <c r="I41" i="31"/>
  <c r="I42" i="31"/>
  <c r="I43" i="31"/>
  <c r="I44" i="31"/>
  <c r="I45" i="31"/>
  <c r="I46" i="31"/>
  <c r="J27" i="31"/>
  <c r="J28" i="31"/>
  <c r="J29" i="31"/>
  <c r="J30" i="31"/>
  <c r="J31" i="31"/>
  <c r="J32" i="31"/>
  <c r="J33" i="31"/>
  <c r="J34" i="31"/>
  <c r="J35" i="31"/>
  <c r="I35" i="31"/>
  <c r="I27" i="31"/>
  <c r="I28" i="31"/>
  <c r="I29" i="31"/>
  <c r="I30" i="31"/>
  <c r="I31" i="31"/>
  <c r="I32" i="31"/>
  <c r="I33" i="31"/>
  <c r="I34" i="31"/>
  <c r="J16" i="31"/>
  <c r="J17" i="31"/>
  <c r="J18" i="31"/>
  <c r="J19" i="31"/>
  <c r="J20" i="31"/>
  <c r="J21" i="31"/>
  <c r="J22" i="31"/>
  <c r="J23" i="31"/>
  <c r="J24" i="31"/>
  <c r="I16" i="31"/>
  <c r="I17" i="31"/>
  <c r="I18" i="31"/>
  <c r="I19" i="31"/>
  <c r="I20" i="31"/>
  <c r="I21" i="31"/>
  <c r="I22" i="31"/>
  <c r="I23" i="31"/>
  <c r="I24" i="31"/>
  <c r="J5" i="31"/>
  <c r="J6" i="31"/>
  <c r="J7" i="31"/>
  <c r="J8" i="31"/>
  <c r="J9" i="31"/>
  <c r="J10" i="31"/>
  <c r="J11" i="31"/>
  <c r="J12" i="31"/>
  <c r="J13" i="31"/>
  <c r="I5" i="31"/>
  <c r="I6" i="31"/>
  <c r="I7" i="31"/>
  <c r="I8" i="31"/>
  <c r="I9" i="31"/>
  <c r="I10" i="31"/>
  <c r="I11" i="31"/>
  <c r="I12" i="31"/>
  <c r="I13" i="31"/>
  <c r="L239" i="31"/>
  <c r="L238" i="31"/>
  <c r="L237" i="31"/>
  <c r="L236" i="31"/>
  <c r="L235" i="31"/>
  <c r="L234" i="31"/>
  <c r="L233" i="31"/>
  <c r="L232" i="31"/>
  <c r="L231" i="31"/>
  <c r="L228" i="31"/>
  <c r="L226" i="31"/>
  <c r="L225" i="31"/>
  <c r="L224" i="31"/>
  <c r="L223" i="31"/>
  <c r="L222" i="31"/>
  <c r="L221" i="31"/>
  <c r="L220" i="31"/>
  <c r="L367" i="31"/>
  <c r="M367" i="31" s="1"/>
  <c r="L366" i="31"/>
  <c r="N366" i="31" s="1"/>
  <c r="L365" i="31"/>
  <c r="N365" i="31" s="1"/>
  <c r="L364" i="31"/>
  <c r="N364" i="31" s="1"/>
  <c r="L363" i="31"/>
  <c r="M363" i="31" s="1"/>
  <c r="L362" i="31"/>
  <c r="N362" i="31" s="1"/>
  <c r="L359" i="31"/>
  <c r="M359" i="31" s="1"/>
  <c r="L358" i="31"/>
  <c r="N358" i="31" s="1"/>
  <c r="L357" i="31"/>
  <c r="N357" i="31" s="1"/>
  <c r="L356" i="31"/>
  <c r="N356" i="31" s="1"/>
  <c r="L355" i="31"/>
  <c r="M355" i="31" s="1"/>
  <c r="L354" i="31"/>
  <c r="N354" i="31" s="1"/>
  <c r="L303" i="31"/>
  <c r="L302" i="31"/>
  <c r="L301" i="31"/>
  <c r="L300" i="31"/>
  <c r="L299" i="31"/>
  <c r="L298" i="31"/>
  <c r="L295" i="31"/>
  <c r="L294" i="31"/>
  <c r="L293" i="31"/>
  <c r="L292" i="31"/>
  <c r="L291" i="31"/>
  <c r="L290" i="31"/>
  <c r="L271" i="31"/>
  <c r="L270" i="31"/>
  <c r="L269" i="31"/>
  <c r="L268" i="31"/>
  <c r="L267" i="31"/>
  <c r="L266" i="31"/>
  <c r="L263" i="31"/>
  <c r="L262" i="31"/>
  <c r="L261" i="31"/>
  <c r="L260" i="31"/>
  <c r="L259" i="31"/>
  <c r="L258" i="31"/>
  <c r="L217" i="31"/>
  <c r="L216" i="31"/>
  <c r="L215" i="31"/>
  <c r="L214" i="31"/>
  <c r="L213" i="31"/>
  <c r="L212" i="31"/>
  <c r="L208" i="31"/>
  <c r="L207" i="31"/>
  <c r="L206" i="31"/>
  <c r="L205" i="31"/>
  <c r="L204" i="31"/>
  <c r="L203" i="31"/>
  <c r="L200" i="31"/>
  <c r="L199" i="31"/>
  <c r="L198" i="31"/>
  <c r="L197" i="31"/>
  <c r="L196" i="31"/>
  <c r="L195" i="31"/>
  <c r="L194" i="31"/>
  <c r="L193" i="31"/>
  <c r="L192" i="31"/>
  <c r="L189" i="31"/>
  <c r="L188" i="31"/>
  <c r="L187" i="31"/>
  <c r="L186" i="31"/>
  <c r="L185" i="31"/>
  <c r="L184" i="31"/>
  <c r="L183" i="31"/>
  <c r="L182" i="31"/>
  <c r="L181" i="31"/>
  <c r="L178" i="31"/>
  <c r="N178" i="31" s="1"/>
  <c r="L177" i="31"/>
  <c r="M177" i="31" s="1"/>
  <c r="L176" i="31"/>
  <c r="N176" i="31" s="1"/>
  <c r="L175" i="31"/>
  <c r="M175" i="31" s="1"/>
  <c r="L174" i="31"/>
  <c r="N174" i="31" s="1"/>
  <c r="L173" i="31"/>
  <c r="M173" i="31" s="1"/>
  <c r="L172" i="31"/>
  <c r="N172" i="31" s="1"/>
  <c r="L171" i="31"/>
  <c r="M171" i="31" s="1"/>
  <c r="L170" i="31"/>
  <c r="N170" i="31" s="1"/>
  <c r="L167" i="31"/>
  <c r="N167" i="31" s="1"/>
  <c r="L166" i="31"/>
  <c r="M166" i="31" s="1"/>
  <c r="L165" i="31"/>
  <c r="N165" i="31" s="1"/>
  <c r="L164" i="31"/>
  <c r="M164" i="31" s="1"/>
  <c r="L163" i="31"/>
  <c r="N163" i="31" s="1"/>
  <c r="L162" i="31"/>
  <c r="M162" i="31" s="1"/>
  <c r="L161" i="31"/>
  <c r="N161" i="31" s="1"/>
  <c r="L160" i="31"/>
  <c r="M160" i="31" s="1"/>
  <c r="L159" i="31"/>
  <c r="N159" i="31" s="1"/>
  <c r="L156" i="31"/>
  <c r="L155" i="31"/>
  <c r="L154" i="31"/>
  <c r="L153" i="31"/>
  <c r="L152" i="31"/>
  <c r="L151" i="31"/>
  <c r="L150" i="31"/>
  <c r="L149" i="31"/>
  <c r="L148" i="31"/>
  <c r="L145" i="31"/>
  <c r="L144" i="31"/>
  <c r="L143" i="31"/>
  <c r="L142" i="31"/>
  <c r="L141" i="31"/>
  <c r="L140" i="31"/>
  <c r="L139" i="31"/>
  <c r="L138" i="31"/>
  <c r="L137" i="31"/>
  <c r="L134" i="31"/>
  <c r="N134" i="31" s="1"/>
  <c r="L133" i="31"/>
  <c r="M133" i="31" s="1"/>
  <c r="L132" i="31"/>
  <c r="N132" i="31" s="1"/>
  <c r="L131" i="31"/>
  <c r="M131" i="31" s="1"/>
  <c r="L130" i="31"/>
  <c r="N130" i="31" s="1"/>
  <c r="L129" i="31"/>
  <c r="M129" i="31" s="1"/>
  <c r="L128" i="31"/>
  <c r="N128" i="31" s="1"/>
  <c r="L127" i="31"/>
  <c r="M127" i="31" s="1"/>
  <c r="L126" i="31"/>
  <c r="N126" i="31" s="1"/>
  <c r="L123" i="31"/>
  <c r="N123" i="31" s="1"/>
  <c r="L122" i="31"/>
  <c r="M122" i="31" s="1"/>
  <c r="L121" i="31"/>
  <c r="N121" i="31" s="1"/>
  <c r="L120" i="31"/>
  <c r="M120" i="31" s="1"/>
  <c r="L119" i="31"/>
  <c r="N119" i="31" s="1"/>
  <c r="L118" i="31"/>
  <c r="M118" i="31" s="1"/>
  <c r="L117" i="31"/>
  <c r="N117" i="31" s="1"/>
  <c r="L116" i="31"/>
  <c r="M116" i="31" s="1"/>
  <c r="L115" i="31"/>
  <c r="N115" i="31" s="1"/>
  <c r="L112" i="31"/>
  <c r="L111" i="31"/>
  <c r="L110" i="31"/>
  <c r="L109" i="31"/>
  <c r="L108" i="31"/>
  <c r="L107" i="31"/>
  <c r="L106" i="31"/>
  <c r="L105" i="31"/>
  <c r="L104" i="31"/>
  <c r="L101" i="31"/>
  <c r="L100" i="31"/>
  <c r="L99" i="31"/>
  <c r="L98" i="31"/>
  <c r="L97" i="31"/>
  <c r="L96" i="31"/>
  <c r="L95" i="31"/>
  <c r="L94" i="31"/>
  <c r="L93" i="31"/>
  <c r="L90" i="31"/>
  <c r="N90" i="31" s="1"/>
  <c r="L89" i="31"/>
  <c r="M89" i="31" s="1"/>
  <c r="L88" i="31"/>
  <c r="N88" i="31" s="1"/>
  <c r="L87" i="31"/>
  <c r="M87" i="31" s="1"/>
  <c r="L86" i="31"/>
  <c r="N86" i="31" s="1"/>
  <c r="L85" i="31"/>
  <c r="M85" i="31" s="1"/>
  <c r="L84" i="31"/>
  <c r="N84" i="31" s="1"/>
  <c r="L83" i="31"/>
  <c r="M83" i="31" s="1"/>
  <c r="L82" i="31"/>
  <c r="N82" i="31" s="1"/>
  <c r="L79" i="31"/>
  <c r="N79" i="31" s="1"/>
  <c r="L78" i="31"/>
  <c r="M78" i="31" s="1"/>
  <c r="L77" i="31"/>
  <c r="N77" i="31" s="1"/>
  <c r="L76" i="31"/>
  <c r="M76" i="31" s="1"/>
  <c r="L75" i="31"/>
  <c r="N75" i="31" s="1"/>
  <c r="L74" i="31"/>
  <c r="M74" i="31" s="1"/>
  <c r="L73" i="31"/>
  <c r="N73" i="31" s="1"/>
  <c r="L72" i="31"/>
  <c r="M72" i="31" s="1"/>
  <c r="L71" i="31"/>
  <c r="N71" i="31" s="1"/>
  <c r="L68" i="31"/>
  <c r="L67" i="31"/>
  <c r="L66" i="31"/>
  <c r="L65" i="31"/>
  <c r="L64" i="31"/>
  <c r="L63" i="31"/>
  <c r="L62" i="31"/>
  <c r="L61" i="31"/>
  <c r="L60" i="31"/>
  <c r="L57" i="31"/>
  <c r="M57" i="31" s="1"/>
  <c r="L56" i="31"/>
  <c r="L54" i="31"/>
  <c r="L53" i="31"/>
  <c r="L52" i="31"/>
  <c r="L51" i="31"/>
  <c r="L50" i="31"/>
  <c r="L49" i="31"/>
  <c r="L46" i="31"/>
  <c r="M46" i="31" s="1"/>
  <c r="L45" i="31"/>
  <c r="N45" i="31" s="1"/>
  <c r="L44" i="31"/>
  <c r="M44" i="31" s="1"/>
  <c r="L43" i="31"/>
  <c r="N43" i="31" s="1"/>
  <c r="L42" i="31"/>
  <c r="M42" i="31" s="1"/>
  <c r="L41" i="31"/>
  <c r="N41" i="31" s="1"/>
  <c r="L40" i="31"/>
  <c r="M40" i="31" s="1"/>
  <c r="L39" i="31"/>
  <c r="N39" i="31" s="1"/>
  <c r="L38" i="31"/>
  <c r="M38" i="31" s="1"/>
  <c r="L35" i="31"/>
  <c r="M35" i="31" s="1"/>
  <c r="L34" i="31"/>
  <c r="N34" i="31" s="1"/>
  <c r="L33" i="31"/>
  <c r="M33" i="31" s="1"/>
  <c r="L32" i="31"/>
  <c r="N32" i="31" s="1"/>
  <c r="L31" i="31"/>
  <c r="M31" i="31" s="1"/>
  <c r="L30" i="31"/>
  <c r="N30" i="31" s="1"/>
  <c r="L29" i="31"/>
  <c r="M29" i="31" s="1"/>
  <c r="L28" i="31"/>
  <c r="N28" i="31" s="1"/>
  <c r="L27" i="31"/>
  <c r="M27" i="31" s="1"/>
  <c r="L24" i="31"/>
  <c r="L23" i="31"/>
  <c r="L22" i="31"/>
  <c r="L21" i="31"/>
  <c r="L20" i="31"/>
  <c r="L19" i="31"/>
  <c r="L18" i="31"/>
  <c r="L17" i="31"/>
  <c r="L16" i="31"/>
  <c r="M16" i="31" s="1"/>
  <c r="L8" i="31"/>
  <c r="L9" i="31"/>
  <c r="L10" i="31"/>
  <c r="L11" i="31"/>
  <c r="L12" i="31"/>
  <c r="L13" i="31"/>
  <c r="L7" i="31"/>
  <c r="L6" i="31"/>
  <c r="L5" i="31"/>
  <c r="A42" i="38"/>
  <c r="A44" i="38" s="1"/>
  <c r="A46" i="38" s="1"/>
  <c r="A48" i="38" s="1"/>
  <c r="A50" i="38" s="1"/>
  <c r="A52" i="38" s="1"/>
  <c r="A54" i="38" s="1"/>
  <c r="A56" i="38" s="1"/>
  <c r="A58" i="38" s="1"/>
  <c r="A60" i="38" s="1"/>
  <c r="A62" i="38" s="1"/>
  <c r="A64" i="38" s="1"/>
  <c r="A66" i="38" s="1"/>
  <c r="A68" i="38" s="1"/>
  <c r="A70" i="38" s="1"/>
  <c r="A32" i="38"/>
  <c r="A21" i="38"/>
  <c r="A22" i="38" s="1"/>
  <c r="A23" i="38" s="1"/>
  <c r="B17" i="38"/>
  <c r="C17" i="38" s="1"/>
  <c r="D17" i="38" s="1"/>
  <c r="E17" i="38" s="1"/>
  <c r="F17" i="38" s="1"/>
  <c r="G17" i="38" s="1"/>
  <c r="H17" i="38" s="1"/>
  <c r="I17" i="38" s="1"/>
  <c r="J17" i="38" s="1"/>
  <c r="K17" i="38" s="1"/>
  <c r="L17" i="38" s="1"/>
  <c r="M17" i="38" s="1"/>
  <c r="N17" i="38" s="1"/>
  <c r="O17" i="38" s="1"/>
  <c r="P17" i="38" s="1"/>
  <c r="Q17" i="38" s="1"/>
  <c r="R17" i="38" s="1"/>
  <c r="S17" i="38" s="1"/>
  <c r="T17" i="38" s="1"/>
  <c r="U17" i="38" s="1"/>
  <c r="V17" i="38" s="1"/>
  <c r="M357" i="31" l="1"/>
  <c r="N367" i="31"/>
  <c r="N359" i="31"/>
  <c r="N363" i="31"/>
  <c r="M375" i="31"/>
  <c r="N355" i="31"/>
  <c r="M373" i="31"/>
  <c r="N382" i="31"/>
  <c r="M381" i="31"/>
  <c r="M379" i="31"/>
  <c r="M365" i="31"/>
  <c r="M371" i="31"/>
  <c r="N378" i="31"/>
  <c r="N380" i="31"/>
  <c r="M383" i="31"/>
  <c r="N16" i="31"/>
  <c r="M374" i="31"/>
  <c r="M372" i="31"/>
  <c r="M370" i="31"/>
  <c r="M30" i="31"/>
  <c r="N42" i="31"/>
  <c r="M75" i="31"/>
  <c r="N87" i="31"/>
  <c r="M34" i="31"/>
  <c r="N46" i="31"/>
  <c r="N38" i="31"/>
  <c r="M79" i="31"/>
  <c r="M71" i="31"/>
  <c r="N83" i="31"/>
  <c r="M358" i="31"/>
  <c r="M356" i="31"/>
  <c r="M354" i="31"/>
  <c r="M366" i="31"/>
  <c r="M364" i="31"/>
  <c r="M362" i="31"/>
  <c r="M32" i="31"/>
  <c r="M28" i="31"/>
  <c r="N44" i="31"/>
  <c r="N40" i="31"/>
  <c r="M77" i="31"/>
  <c r="M73" i="31"/>
  <c r="N89" i="31"/>
  <c r="N85" i="31"/>
  <c r="M123" i="31"/>
  <c r="M121" i="31"/>
  <c r="M119" i="31"/>
  <c r="M117" i="31"/>
  <c r="M115" i="31"/>
  <c r="N122" i="31"/>
  <c r="N120" i="31"/>
  <c r="N118" i="31"/>
  <c r="N116" i="31"/>
  <c r="M134" i="31"/>
  <c r="M132" i="31"/>
  <c r="M130" i="31"/>
  <c r="M128" i="31"/>
  <c r="M126" i="31"/>
  <c r="N133" i="31"/>
  <c r="N131" i="31"/>
  <c r="N129" i="31"/>
  <c r="N127" i="31"/>
  <c r="M167" i="31"/>
  <c r="M165" i="31"/>
  <c r="M163" i="31"/>
  <c r="M161" i="31"/>
  <c r="M159" i="31"/>
  <c r="N166" i="31"/>
  <c r="N164" i="31"/>
  <c r="N162" i="31"/>
  <c r="N160" i="31"/>
  <c r="M178" i="31"/>
  <c r="M176" i="31"/>
  <c r="M174" i="31"/>
  <c r="M172" i="31"/>
  <c r="M170" i="31"/>
  <c r="N177" i="31"/>
  <c r="N175" i="31"/>
  <c r="N173" i="31"/>
  <c r="N171" i="31"/>
  <c r="N35" i="31"/>
  <c r="N33" i="31"/>
  <c r="N31" i="31"/>
  <c r="N29" i="31"/>
  <c r="N27" i="31"/>
  <c r="M45" i="31"/>
  <c r="M43" i="31"/>
  <c r="M41" i="31"/>
  <c r="M39" i="31"/>
  <c r="N78" i="31"/>
  <c r="N76" i="31"/>
  <c r="N74" i="31"/>
  <c r="N72" i="31"/>
  <c r="M90" i="31"/>
  <c r="M88" i="31"/>
  <c r="M86" i="31"/>
  <c r="M84" i="31"/>
  <c r="M82" i="31"/>
  <c r="B10" i="19"/>
  <c r="B11" i="19"/>
  <c r="B12" i="19"/>
  <c r="B13" i="19"/>
  <c r="B14" i="19"/>
  <c r="B15" i="19"/>
  <c r="B16" i="19"/>
  <c r="B17" i="19"/>
  <c r="B18" i="19"/>
  <c r="B19" i="19"/>
  <c r="B20" i="19"/>
  <c r="B21" i="19"/>
  <c r="B22" i="19"/>
  <c r="B23" i="19"/>
  <c r="B24" i="19"/>
  <c r="B25" i="19"/>
  <c r="B26" i="19"/>
  <c r="B27" i="19"/>
  <c r="B28" i="19"/>
  <c r="B29" i="19"/>
  <c r="B30" i="19"/>
  <c r="B31" i="19"/>
  <c r="B32" i="19"/>
  <c r="B33" i="19"/>
  <c r="B34" i="19"/>
  <c r="B35" i="19"/>
  <c r="B36" i="19"/>
  <c r="B37" i="19"/>
  <c r="B38" i="19"/>
  <c r="B39" i="19"/>
  <c r="B40" i="19"/>
  <c r="B41" i="19"/>
  <c r="B42" i="19"/>
  <c r="B43" i="19"/>
  <c r="B44" i="19"/>
  <c r="B45" i="19"/>
  <c r="B46" i="19"/>
  <c r="B47" i="19"/>
  <c r="B48" i="19"/>
  <c r="B49" i="19"/>
  <c r="B50" i="19"/>
  <c r="B51" i="19"/>
  <c r="B52" i="19"/>
  <c r="B53" i="19"/>
  <c r="B54" i="19"/>
  <c r="B55" i="19"/>
  <c r="B56" i="19"/>
  <c r="B57" i="19"/>
  <c r="B58" i="19"/>
  <c r="D57" i="19"/>
  <c r="D58" i="19"/>
  <c r="D10" i="19"/>
  <c r="D11" i="19"/>
  <c r="D12" i="19"/>
  <c r="D13" i="19"/>
  <c r="D14" i="19"/>
  <c r="D15" i="19"/>
  <c r="D16" i="19"/>
  <c r="D17" i="19"/>
  <c r="D18" i="19"/>
  <c r="D19" i="19"/>
  <c r="D20" i="19"/>
  <c r="D21" i="19"/>
  <c r="D22" i="19"/>
  <c r="D23" i="19"/>
  <c r="D24" i="19"/>
  <c r="D25" i="19"/>
  <c r="D26" i="19"/>
  <c r="D27" i="19"/>
  <c r="D28" i="19"/>
  <c r="D29" i="19"/>
  <c r="D30" i="19"/>
  <c r="D31" i="19"/>
  <c r="D32" i="19"/>
  <c r="D33" i="19"/>
  <c r="D34" i="19"/>
  <c r="D35" i="19"/>
  <c r="D36" i="19"/>
  <c r="D37" i="19"/>
  <c r="D38" i="19"/>
  <c r="D39" i="19"/>
  <c r="D40" i="19"/>
  <c r="D41" i="19"/>
  <c r="D42" i="19"/>
  <c r="D43" i="19"/>
  <c r="D44" i="19"/>
  <c r="D45" i="19"/>
  <c r="D46" i="19"/>
  <c r="D47" i="19"/>
  <c r="D48" i="19"/>
  <c r="D49" i="19"/>
  <c r="D50" i="19"/>
  <c r="D51" i="19"/>
  <c r="D52" i="19"/>
  <c r="D53" i="19"/>
  <c r="D54" i="19"/>
  <c r="D55" i="19"/>
  <c r="D56" i="19"/>
  <c r="D9" i="19"/>
  <c r="E10" i="19"/>
  <c r="E11" i="19"/>
  <c r="E12" i="19"/>
  <c r="E13" i="19"/>
  <c r="E14" i="19"/>
  <c r="E15" i="19"/>
  <c r="E16" i="19"/>
  <c r="E17" i="19"/>
  <c r="E18" i="19"/>
  <c r="E19" i="19"/>
  <c r="E20" i="19"/>
  <c r="E21" i="19"/>
  <c r="E22" i="19"/>
  <c r="E23" i="19"/>
  <c r="E24" i="19"/>
  <c r="E25" i="19"/>
  <c r="E26" i="19"/>
  <c r="E27" i="19"/>
  <c r="E28" i="19"/>
  <c r="E29" i="19"/>
  <c r="E30" i="19"/>
  <c r="E31" i="19"/>
  <c r="E32" i="19"/>
  <c r="E33" i="19"/>
  <c r="E34" i="19"/>
  <c r="E35" i="19"/>
  <c r="E36" i="19"/>
  <c r="E37" i="19"/>
  <c r="E38" i="19"/>
  <c r="E39" i="19"/>
  <c r="E40" i="19"/>
  <c r="E41" i="19"/>
  <c r="E42" i="19"/>
  <c r="E43" i="19"/>
  <c r="E44" i="19"/>
  <c r="E45" i="19"/>
  <c r="E46" i="19"/>
  <c r="E47" i="19"/>
  <c r="E48" i="19"/>
  <c r="E49" i="19"/>
  <c r="E50" i="19"/>
  <c r="E51" i="19"/>
  <c r="E52" i="19"/>
  <c r="E53" i="19"/>
  <c r="E54" i="19"/>
  <c r="E55" i="19"/>
  <c r="E56" i="19"/>
  <c r="E57" i="19"/>
  <c r="E58" i="19"/>
  <c r="J256" i="31" l="1"/>
  <c r="I256" i="31"/>
  <c r="N255" i="31"/>
  <c r="M255" i="31"/>
  <c r="J255" i="31"/>
  <c r="I255" i="31"/>
  <c r="N254" i="31"/>
  <c r="M254" i="31"/>
  <c r="J254" i="31"/>
  <c r="I254" i="31"/>
  <c r="N253" i="31"/>
  <c r="M253" i="31"/>
  <c r="J253" i="31"/>
  <c r="I253" i="31"/>
  <c r="N252" i="31"/>
  <c r="M252" i="31"/>
  <c r="J252" i="31"/>
  <c r="I252" i="31"/>
  <c r="N251" i="31"/>
  <c r="M251" i="31"/>
  <c r="J251" i="31"/>
  <c r="I251" i="31"/>
  <c r="N250" i="31"/>
  <c r="M250" i="31"/>
  <c r="J250" i="31"/>
  <c r="I250" i="31"/>
  <c r="N247" i="31"/>
  <c r="M247" i="31"/>
  <c r="J247" i="31"/>
  <c r="I247" i="31"/>
  <c r="N246" i="31"/>
  <c r="M246" i="31"/>
  <c r="J246" i="31"/>
  <c r="I246" i="31"/>
  <c r="N245" i="31"/>
  <c r="M245" i="31"/>
  <c r="J245" i="31"/>
  <c r="I245" i="31"/>
  <c r="N244" i="31"/>
  <c r="M244" i="31"/>
  <c r="J244" i="31"/>
  <c r="I244" i="31"/>
  <c r="N243" i="31"/>
  <c r="M243" i="31"/>
  <c r="J243" i="31"/>
  <c r="I243" i="31"/>
  <c r="N242" i="31"/>
  <c r="M242" i="31"/>
  <c r="J242" i="31"/>
  <c r="I242" i="31"/>
  <c r="A19" i="17" l="1"/>
  <c r="A20" i="17" s="1"/>
  <c r="A21" i="17" s="1"/>
  <c r="A22" i="17" s="1"/>
  <c r="A23" i="17" s="1"/>
  <c r="A24" i="17" s="1"/>
  <c r="A26" i="17" s="1"/>
  <c r="A28" i="17" s="1"/>
  <c r="A30" i="17" s="1"/>
  <c r="A32" i="17" s="1"/>
  <c r="A34" i="17" s="1"/>
  <c r="A36" i="17" s="1"/>
  <c r="A38" i="17" s="1"/>
  <c r="A40" i="17" s="1"/>
  <c r="A42" i="17" s="1"/>
  <c r="A44" i="17" s="1"/>
  <c r="A46" i="17" s="1"/>
  <c r="A48" i="17" s="1"/>
  <c r="A50" i="17" s="1"/>
  <c r="A52" i="17" s="1"/>
  <c r="A54" i="17" s="1"/>
  <c r="A56" i="17" s="1"/>
  <c r="A58" i="17" s="1"/>
  <c r="A60" i="17" s="1"/>
  <c r="A62" i="17" s="1"/>
  <c r="A64" i="17" s="1"/>
  <c r="A66" i="17" s="1"/>
  <c r="A68" i="17" s="1"/>
  <c r="A70" i="17" s="1"/>
  <c r="B17" i="17"/>
  <c r="C17" i="17" s="1"/>
  <c r="D17" i="17" s="1"/>
  <c r="E17" i="17" s="1"/>
  <c r="F17" i="17" s="1"/>
  <c r="G17" i="17" s="1"/>
  <c r="H17" i="17" s="1"/>
  <c r="I17" i="17" s="1"/>
  <c r="J17" i="17" s="1"/>
  <c r="K17" i="17" s="1"/>
  <c r="L17" i="17" s="1"/>
  <c r="M17" i="17" s="1"/>
  <c r="N17" i="17" s="1"/>
  <c r="O17" i="17" s="1"/>
  <c r="P17" i="17" s="1"/>
  <c r="Q17" i="17" s="1"/>
  <c r="R17" i="17" s="1"/>
  <c r="S17" i="17" s="1"/>
  <c r="T17" i="17" s="1"/>
  <c r="U17" i="17" s="1"/>
  <c r="V17" i="17" s="1"/>
  <c r="I71" i="10"/>
  <c r="I72" i="10"/>
  <c r="I73" i="10"/>
  <c r="I74" i="10"/>
  <c r="I77" i="10"/>
  <c r="I78" i="10"/>
  <c r="I79" i="10"/>
  <c r="I80" i="10"/>
  <c r="I98" i="10"/>
  <c r="H98" i="10"/>
  <c r="I97" i="10"/>
  <c r="H97" i="10"/>
  <c r="I96" i="10"/>
  <c r="H96" i="10"/>
  <c r="I95" i="10"/>
  <c r="H95" i="10"/>
  <c r="I92" i="10"/>
  <c r="H92" i="10"/>
  <c r="I91" i="10"/>
  <c r="H91" i="10"/>
  <c r="I90" i="10"/>
  <c r="H90" i="10"/>
  <c r="I89" i="10"/>
  <c r="H89" i="10"/>
  <c r="B89" i="22" l="1"/>
  <c r="J89" i="22" s="1"/>
  <c r="B90" i="22"/>
  <c r="J90" i="22" s="1"/>
  <c r="B91" i="22"/>
  <c r="J91" i="22" s="1"/>
  <c r="B92" i="22"/>
  <c r="J92" i="22" s="1"/>
  <c r="B93" i="22"/>
  <c r="J93" i="22" s="1"/>
  <c r="B94" i="22"/>
  <c r="J94" i="22" s="1"/>
  <c r="B95" i="22"/>
  <c r="J95" i="22" s="1"/>
  <c r="B96" i="22"/>
  <c r="J96" i="22" s="1"/>
  <c r="B97" i="22"/>
  <c r="J97" i="22" s="1"/>
  <c r="B98" i="22"/>
  <c r="J98" i="22" s="1"/>
  <c r="B99" i="22"/>
  <c r="J99" i="22" s="1"/>
  <c r="B100" i="22"/>
  <c r="J100" i="22" s="1"/>
  <c r="B101" i="22"/>
  <c r="J101" i="22" s="1"/>
  <c r="B102" i="22"/>
  <c r="J102" i="22" s="1"/>
  <c r="B103" i="22"/>
  <c r="J103" i="22" s="1"/>
  <c r="A78" i="22"/>
  <c r="A79" i="22"/>
  <c r="A80" i="22"/>
  <c r="A81" i="22"/>
  <c r="A82" i="22"/>
  <c r="A83" i="22"/>
  <c r="A84" i="22"/>
  <c r="A85" i="22"/>
  <c r="A86" i="22"/>
  <c r="A87" i="22"/>
  <c r="A88" i="22"/>
  <c r="A89" i="22"/>
  <c r="A90" i="22"/>
  <c r="A91" i="22"/>
  <c r="A92" i="22"/>
  <c r="A93" i="22"/>
  <c r="A94" i="22"/>
  <c r="A95" i="22"/>
  <c r="A96" i="22"/>
  <c r="A97" i="22"/>
  <c r="A98" i="22"/>
  <c r="A99" i="22"/>
  <c r="A100" i="22"/>
  <c r="A101" i="22"/>
  <c r="A102" i="22"/>
  <c r="A103" i="22"/>
  <c r="A77" i="22"/>
  <c r="B78" i="22"/>
  <c r="B79" i="22"/>
  <c r="B80" i="22"/>
  <c r="B81" i="22"/>
  <c r="B82" i="22"/>
  <c r="B83" i="22"/>
  <c r="B84" i="22"/>
  <c r="B85" i="22"/>
  <c r="B86" i="22"/>
  <c r="B87" i="22"/>
  <c r="B88" i="22"/>
  <c r="B77" i="22"/>
  <c r="K77" i="22" s="1"/>
  <c r="K320" i="22"/>
  <c r="K317" i="22"/>
  <c r="J118" i="36"/>
  <c r="A119" i="36"/>
  <c r="A118" i="36"/>
  <c r="L84" i="36"/>
  <c r="L85" i="36"/>
  <c r="L86" i="36"/>
  <c r="L87" i="36"/>
  <c r="L88" i="36"/>
  <c r="L89" i="36"/>
  <c r="L90" i="36"/>
  <c r="L91" i="36"/>
  <c r="L92" i="36"/>
  <c r="L93" i="36"/>
  <c r="L94" i="36"/>
  <c r="L95" i="36"/>
  <c r="L96" i="36"/>
  <c r="L97" i="36"/>
  <c r="L98" i="36"/>
  <c r="L99" i="36"/>
  <c r="L100" i="36"/>
  <c r="L101" i="36"/>
  <c r="L102" i="36"/>
  <c r="L103" i="36"/>
  <c r="L104" i="36"/>
  <c r="L105" i="36"/>
  <c r="L106" i="36"/>
  <c r="L107" i="36"/>
  <c r="L108" i="36"/>
  <c r="L109" i="36"/>
  <c r="L110" i="36"/>
  <c r="L111" i="36"/>
  <c r="L112" i="36"/>
  <c r="L113" i="36"/>
  <c r="L114" i="36"/>
  <c r="L115" i="36"/>
  <c r="L116" i="36"/>
  <c r="L117" i="36"/>
  <c r="L118" i="36"/>
  <c r="L119" i="36"/>
  <c r="J84" i="36"/>
  <c r="J85" i="36"/>
  <c r="J86" i="36"/>
  <c r="J87" i="36"/>
  <c r="J88" i="36"/>
  <c r="J89" i="36"/>
  <c r="J90" i="36"/>
  <c r="J91" i="36"/>
  <c r="J92" i="36"/>
  <c r="J93" i="36"/>
  <c r="J94" i="36"/>
  <c r="J95" i="36"/>
  <c r="J96" i="36"/>
  <c r="J97" i="36"/>
  <c r="J98" i="36"/>
  <c r="J99" i="36"/>
  <c r="J100" i="36"/>
  <c r="J101" i="36"/>
  <c r="J102" i="36"/>
  <c r="J103" i="36"/>
  <c r="J104" i="36"/>
  <c r="J105" i="36"/>
  <c r="J106" i="36"/>
  <c r="J107" i="36"/>
  <c r="J108" i="36"/>
  <c r="J109" i="36"/>
  <c r="J110" i="36"/>
  <c r="J111" i="36"/>
  <c r="J112" i="36"/>
  <c r="J113" i="36"/>
  <c r="J114" i="36"/>
  <c r="J115" i="36"/>
  <c r="J116" i="36"/>
  <c r="J117" i="36"/>
  <c r="J119" i="36"/>
  <c r="A84" i="36"/>
  <c r="A85" i="36"/>
  <c r="A86" i="36"/>
  <c r="A87" i="36"/>
  <c r="A88" i="36"/>
  <c r="A89" i="36"/>
  <c r="A90" i="36"/>
  <c r="A91" i="36"/>
  <c r="A92" i="36"/>
  <c r="A93" i="36"/>
  <c r="A94" i="36"/>
  <c r="A95" i="36"/>
  <c r="A96" i="36"/>
  <c r="A97" i="36"/>
  <c r="A98" i="36"/>
  <c r="A99" i="36"/>
  <c r="A100" i="36"/>
  <c r="A101" i="36"/>
  <c r="A102" i="36"/>
  <c r="A103" i="36"/>
  <c r="A104" i="36"/>
  <c r="A105" i="36"/>
  <c r="A106" i="36"/>
  <c r="A107" i="36"/>
  <c r="A108" i="36"/>
  <c r="A109" i="36"/>
  <c r="A110" i="36"/>
  <c r="A111" i="36"/>
  <c r="A112" i="36"/>
  <c r="A113" i="36"/>
  <c r="A114" i="36"/>
  <c r="A115" i="36"/>
  <c r="A116" i="36"/>
  <c r="A117" i="36"/>
  <c r="B84" i="36"/>
  <c r="B85" i="36"/>
  <c r="B86" i="36"/>
  <c r="B87" i="36"/>
  <c r="B88" i="36"/>
  <c r="B89" i="36"/>
  <c r="B90" i="36"/>
  <c r="B91" i="36"/>
  <c r="B92" i="36"/>
  <c r="B93" i="36"/>
  <c r="B94" i="36"/>
  <c r="B95" i="36"/>
  <c r="B96" i="36"/>
  <c r="B97" i="36"/>
  <c r="B98" i="36"/>
  <c r="B99" i="36"/>
  <c r="B100" i="36"/>
  <c r="B101" i="36"/>
  <c r="B102" i="36"/>
  <c r="B103" i="36"/>
  <c r="B104" i="36"/>
  <c r="B105" i="36"/>
  <c r="B106" i="36"/>
  <c r="B107" i="36"/>
  <c r="B108" i="36"/>
  <c r="B109" i="36"/>
  <c r="B110" i="36"/>
  <c r="B111" i="36"/>
  <c r="B112" i="36"/>
  <c r="B113" i="36"/>
  <c r="B114" i="36"/>
  <c r="B115" i="36"/>
  <c r="B116" i="36"/>
  <c r="B117" i="36"/>
  <c r="B118" i="36"/>
  <c r="B119" i="36"/>
  <c r="E19" i="36"/>
  <c r="B208" i="22"/>
  <c r="B209" i="22"/>
  <c r="B210" i="22"/>
  <c r="B211" i="22"/>
  <c r="B212" i="22"/>
  <c r="B213" i="22"/>
  <c r="B214" i="22"/>
  <c r="B215" i="22"/>
  <c r="B216" i="22"/>
  <c r="B217" i="22"/>
  <c r="B218" i="22"/>
  <c r="B219" i="22"/>
  <c r="B220" i="22"/>
  <c r="B221" i="22"/>
  <c r="B222" i="22"/>
  <c r="B223" i="22"/>
  <c r="B224" i="22"/>
  <c r="B225" i="22"/>
  <c r="B226" i="22"/>
  <c r="B227" i="22"/>
  <c r="B228" i="22"/>
  <c r="B229" i="22"/>
  <c r="B230" i="22"/>
  <c r="B205" i="22"/>
  <c r="B206" i="22"/>
  <c r="B207" i="22"/>
  <c r="B204" i="22"/>
  <c r="K103" i="22" l="1"/>
  <c r="L103" i="22" s="1"/>
  <c r="K95" i="22"/>
  <c r="L95" i="22" s="1"/>
  <c r="K99" i="22"/>
  <c r="L99" i="22" s="1"/>
  <c r="K91" i="22"/>
  <c r="L91" i="22" s="1"/>
  <c r="J77" i="22"/>
  <c r="K101" i="22"/>
  <c r="L101" i="22" s="1"/>
  <c r="K97" i="22"/>
  <c r="L97" i="22" s="1"/>
  <c r="K93" i="22"/>
  <c r="L93" i="22" s="1"/>
  <c r="K89" i="22"/>
  <c r="L89" i="22" s="1"/>
  <c r="K102" i="22"/>
  <c r="L102" i="22" s="1"/>
  <c r="K100" i="22"/>
  <c r="L100" i="22" s="1"/>
  <c r="K98" i="22"/>
  <c r="L98" i="22" s="1"/>
  <c r="K96" i="22"/>
  <c r="L96" i="22" s="1"/>
  <c r="K94" i="22"/>
  <c r="L94" i="22" s="1"/>
  <c r="K92" i="22"/>
  <c r="L92" i="22" s="1"/>
  <c r="K90" i="22"/>
  <c r="L90" i="22" s="1"/>
  <c r="N179" i="31" l="1"/>
  <c r="M179" i="31"/>
  <c r="J179" i="31"/>
  <c r="I179" i="31"/>
  <c r="J168" i="31"/>
  <c r="I168" i="31"/>
  <c r="L34" i="37" l="1"/>
  <c r="M34" i="37"/>
  <c r="N34" i="37"/>
  <c r="O34" i="37"/>
  <c r="P34" i="37"/>
  <c r="M35" i="37"/>
  <c r="N35" i="37"/>
  <c r="O35" i="37"/>
  <c r="P35" i="37"/>
  <c r="L35" i="37" s="1"/>
  <c r="M36" i="37"/>
  <c r="N36" i="37"/>
  <c r="O36" i="37"/>
  <c r="P36" i="37"/>
  <c r="M37" i="37"/>
  <c r="N37" i="37"/>
  <c r="O37" i="37"/>
  <c r="P37" i="37"/>
  <c r="L37" i="37" s="1"/>
  <c r="M38" i="37"/>
  <c r="N38" i="37"/>
  <c r="O38" i="37"/>
  <c r="P38" i="37"/>
  <c r="K38" i="37" s="1"/>
  <c r="M39" i="37"/>
  <c r="N39" i="37"/>
  <c r="O39" i="37"/>
  <c r="P39" i="37"/>
  <c r="L39" i="37" s="1"/>
  <c r="M40" i="37"/>
  <c r="N40" i="37"/>
  <c r="O40" i="37"/>
  <c r="P40" i="37"/>
  <c r="K40" i="37" s="1"/>
  <c r="M41" i="37"/>
  <c r="N41" i="37"/>
  <c r="O41" i="37"/>
  <c r="P41" i="37"/>
  <c r="L41" i="37" s="1"/>
  <c r="M42" i="37"/>
  <c r="N42" i="37"/>
  <c r="O42" i="37"/>
  <c r="P42" i="37"/>
  <c r="K42" i="37" s="1"/>
  <c r="M43" i="37"/>
  <c r="N43" i="37"/>
  <c r="O43" i="37"/>
  <c r="P43" i="37"/>
  <c r="L43" i="37" s="1"/>
  <c r="M44" i="37"/>
  <c r="N44" i="37"/>
  <c r="O44" i="37"/>
  <c r="P44" i="37"/>
  <c r="K44" i="37" s="1"/>
  <c r="M45" i="37"/>
  <c r="N45" i="37"/>
  <c r="O45" i="37"/>
  <c r="P45" i="37"/>
  <c r="L45" i="37" s="1"/>
  <c r="M46" i="37"/>
  <c r="N46" i="37"/>
  <c r="O46" i="37"/>
  <c r="P46" i="37"/>
  <c r="K46" i="37" s="1"/>
  <c r="M47" i="37"/>
  <c r="N47" i="37"/>
  <c r="O47" i="37"/>
  <c r="P47" i="37"/>
  <c r="L47" i="37" s="1"/>
  <c r="M48" i="37"/>
  <c r="N48" i="37"/>
  <c r="O48" i="37"/>
  <c r="P48" i="37"/>
  <c r="K48" i="37" s="1"/>
  <c r="M49" i="37"/>
  <c r="N49" i="37"/>
  <c r="O49" i="37"/>
  <c r="P49" i="37"/>
  <c r="L49" i="37" s="1"/>
  <c r="M50" i="37"/>
  <c r="N50" i="37"/>
  <c r="O50" i="37"/>
  <c r="P50" i="37"/>
  <c r="K50" i="37" s="1"/>
  <c r="M51" i="37"/>
  <c r="N51" i="37"/>
  <c r="O51" i="37"/>
  <c r="P51" i="37"/>
  <c r="L51" i="37" s="1"/>
  <c r="M52" i="37"/>
  <c r="N52" i="37"/>
  <c r="O52" i="37"/>
  <c r="P52" i="37"/>
  <c r="K52" i="37" s="1"/>
  <c r="M53" i="37"/>
  <c r="N53" i="37"/>
  <c r="O53" i="37"/>
  <c r="P53" i="37"/>
  <c r="L53" i="37" s="1"/>
  <c r="M54" i="37"/>
  <c r="N54" i="37"/>
  <c r="O54" i="37"/>
  <c r="P54" i="37"/>
  <c r="K54" i="37" s="1"/>
  <c r="M55" i="37"/>
  <c r="N55" i="37"/>
  <c r="O55" i="37"/>
  <c r="P55" i="37"/>
  <c r="L55" i="37" s="1"/>
  <c r="M56" i="37"/>
  <c r="N56" i="37"/>
  <c r="O56" i="37"/>
  <c r="P56" i="37"/>
  <c r="K56" i="37" s="1"/>
  <c r="M57" i="37"/>
  <c r="N57" i="37"/>
  <c r="O57" i="37"/>
  <c r="P57" i="37"/>
  <c r="M58" i="37"/>
  <c r="N58" i="37"/>
  <c r="O58" i="37"/>
  <c r="P58" i="37"/>
  <c r="L58" i="37" s="1"/>
  <c r="M59" i="37"/>
  <c r="N59" i="37"/>
  <c r="O59" i="37"/>
  <c r="P59" i="37"/>
  <c r="L59" i="37" s="1"/>
  <c r="M60" i="37"/>
  <c r="N60" i="37"/>
  <c r="O60" i="37"/>
  <c r="P60" i="37"/>
  <c r="M61" i="37"/>
  <c r="N61" i="37"/>
  <c r="O61" i="37"/>
  <c r="P61" i="37"/>
  <c r="M62" i="37"/>
  <c r="N62" i="37"/>
  <c r="O62" i="37"/>
  <c r="P62" i="37"/>
  <c r="M63" i="37"/>
  <c r="N63" i="37"/>
  <c r="O63" i="37"/>
  <c r="P63" i="37"/>
  <c r="M64" i="37"/>
  <c r="N64" i="37"/>
  <c r="O64" i="37"/>
  <c r="P64" i="37"/>
  <c r="M65" i="37"/>
  <c r="N65" i="37"/>
  <c r="O65" i="37"/>
  <c r="P65" i="37"/>
  <c r="M66" i="37"/>
  <c r="N66" i="37"/>
  <c r="O66" i="37"/>
  <c r="P66" i="37"/>
  <c r="M67" i="37"/>
  <c r="N67" i="37"/>
  <c r="O67" i="37"/>
  <c r="P67" i="37"/>
  <c r="M68" i="37"/>
  <c r="N68" i="37"/>
  <c r="O68" i="37"/>
  <c r="P68" i="37"/>
  <c r="M69" i="37"/>
  <c r="N69" i="37"/>
  <c r="O69" i="37"/>
  <c r="P69" i="37"/>
  <c r="M70" i="37"/>
  <c r="N70" i="37"/>
  <c r="O70" i="37"/>
  <c r="P70" i="37"/>
  <c r="M71" i="37"/>
  <c r="N71" i="37"/>
  <c r="O71" i="37"/>
  <c r="P71" i="37"/>
  <c r="M72" i="37"/>
  <c r="N72" i="37"/>
  <c r="O72" i="37"/>
  <c r="P72" i="37"/>
  <c r="M73" i="37"/>
  <c r="N73" i="37"/>
  <c r="O73" i="37"/>
  <c r="P73" i="37"/>
  <c r="M74" i="37"/>
  <c r="N74" i="37"/>
  <c r="O74" i="37"/>
  <c r="P74" i="37"/>
  <c r="M75" i="37"/>
  <c r="N75" i="37"/>
  <c r="O75" i="37"/>
  <c r="P75" i="37"/>
  <c r="M76" i="37"/>
  <c r="N76" i="37"/>
  <c r="O76" i="37"/>
  <c r="P76" i="37"/>
  <c r="M77" i="37"/>
  <c r="N77" i="37"/>
  <c r="O77" i="37"/>
  <c r="P77" i="37"/>
  <c r="M78" i="37"/>
  <c r="N78" i="37"/>
  <c r="O78" i="37"/>
  <c r="P78" i="37"/>
  <c r="M79" i="37"/>
  <c r="N79" i="37"/>
  <c r="O79" i="37"/>
  <c r="P79" i="37"/>
  <c r="M80" i="37"/>
  <c r="N80" i="37"/>
  <c r="O80" i="37"/>
  <c r="P80" i="37"/>
  <c r="L80" i="37" s="1"/>
  <c r="M81" i="37"/>
  <c r="N81" i="37"/>
  <c r="O81" i="37"/>
  <c r="P81" i="37"/>
  <c r="M82" i="37"/>
  <c r="N82" i="37"/>
  <c r="O82" i="37"/>
  <c r="P82" i="37"/>
  <c r="L82" i="37" s="1"/>
  <c r="M33" i="37"/>
  <c r="N33" i="37"/>
  <c r="O33" i="37"/>
  <c r="P33" i="37"/>
  <c r="L33" i="37" s="1"/>
  <c r="L84" i="37"/>
  <c r="K84" i="37"/>
  <c r="L83" i="37"/>
  <c r="K83" i="37"/>
  <c r="N84" i="37"/>
  <c r="M84" i="37"/>
  <c r="N83" i="37"/>
  <c r="M83" i="37"/>
  <c r="F33" i="37"/>
  <c r="H33" i="37"/>
  <c r="H34" i="37" s="1"/>
  <c r="H35" i="37" s="1"/>
  <c r="H36" i="37" s="1"/>
  <c r="H37" i="37" s="1"/>
  <c r="H38" i="37" s="1"/>
  <c r="H39" i="37" s="1"/>
  <c r="H40" i="37" s="1"/>
  <c r="H41" i="37" s="1"/>
  <c r="H42" i="37" s="1"/>
  <c r="H43" i="37" s="1"/>
  <c r="H44" i="37" s="1"/>
  <c r="H45" i="37" s="1"/>
  <c r="H46" i="37" s="1"/>
  <c r="H47" i="37" s="1"/>
  <c r="H48" i="37" s="1"/>
  <c r="H49" i="37" s="1"/>
  <c r="H50" i="37" s="1"/>
  <c r="H51" i="37" s="1"/>
  <c r="H52" i="37" s="1"/>
  <c r="H53" i="37" s="1"/>
  <c r="H54" i="37" s="1"/>
  <c r="H55" i="37" s="1"/>
  <c r="H56" i="37" s="1"/>
  <c r="H57" i="37" s="1"/>
  <c r="H58" i="37" s="1"/>
  <c r="H59" i="37" s="1"/>
  <c r="H60" i="37" s="1"/>
  <c r="H61" i="37" s="1"/>
  <c r="H62" i="37" s="1"/>
  <c r="H63" i="37" s="1"/>
  <c r="H64" i="37" s="1"/>
  <c r="H65" i="37" s="1"/>
  <c r="H66" i="37" s="1"/>
  <c r="H67" i="37" s="1"/>
  <c r="H68" i="37" s="1"/>
  <c r="H69" i="37" s="1"/>
  <c r="H70" i="37" s="1"/>
  <c r="H71" i="37" s="1"/>
  <c r="H72" i="37" s="1"/>
  <c r="H73" i="37" s="1"/>
  <c r="H74" i="37" s="1"/>
  <c r="H75" i="37" s="1"/>
  <c r="H76" i="37" s="1"/>
  <c r="H77" i="37" s="1"/>
  <c r="H78" i="37" s="1"/>
  <c r="H79" i="37" s="1"/>
  <c r="H80" i="37" s="1"/>
  <c r="H81" i="37" s="1"/>
  <c r="H82" i="37" s="1"/>
  <c r="F34" i="37"/>
  <c r="F35" i="37"/>
  <c r="F36" i="37"/>
  <c r="F37" i="37"/>
  <c r="F38" i="37"/>
  <c r="F39" i="37"/>
  <c r="F40" i="37"/>
  <c r="F41" i="37"/>
  <c r="F42" i="37"/>
  <c r="F43" i="37"/>
  <c r="F44" i="37"/>
  <c r="F45" i="37"/>
  <c r="F46" i="37"/>
  <c r="F47" i="37"/>
  <c r="F48" i="37"/>
  <c r="F49" i="37"/>
  <c r="F50" i="37"/>
  <c r="F51" i="37"/>
  <c r="F52" i="37"/>
  <c r="F53" i="37"/>
  <c r="F54" i="37"/>
  <c r="F55" i="37"/>
  <c r="F56" i="37"/>
  <c r="F57" i="37"/>
  <c r="A58" i="37"/>
  <c r="F58" i="37"/>
  <c r="F59" i="37"/>
  <c r="F60" i="37"/>
  <c r="F61" i="37"/>
  <c r="F62" i="37"/>
  <c r="F63" i="37"/>
  <c r="F64" i="37"/>
  <c r="F65" i="37"/>
  <c r="F66" i="37"/>
  <c r="F67" i="37"/>
  <c r="F68" i="37"/>
  <c r="F69" i="37"/>
  <c r="F70" i="37"/>
  <c r="F71" i="37"/>
  <c r="F72" i="37"/>
  <c r="F73" i="37"/>
  <c r="F74" i="37"/>
  <c r="F75" i="37"/>
  <c r="F76" i="37"/>
  <c r="F77" i="37"/>
  <c r="F78" i="37"/>
  <c r="F79" i="37"/>
  <c r="F80" i="37"/>
  <c r="F81" i="37"/>
  <c r="F82" i="37"/>
  <c r="K36" i="37" l="1"/>
  <c r="A59" i="37"/>
  <c r="A60" i="37" s="1"/>
  <c r="A61" i="37" s="1"/>
  <c r="A62" i="37" s="1"/>
  <c r="A63" i="37" s="1"/>
  <c r="A64" i="37" s="1"/>
  <c r="A65" i="37" s="1"/>
  <c r="A66" i="37" s="1"/>
  <c r="A67" i="37" s="1"/>
  <c r="A68" i="37" s="1"/>
  <c r="A69" i="37" s="1"/>
  <c r="A70" i="37" s="1"/>
  <c r="A71" i="37" s="1"/>
  <c r="A72" i="37" s="1"/>
  <c r="A73" i="37" s="1"/>
  <c r="A74" i="37" s="1"/>
  <c r="A75" i="37" s="1"/>
  <c r="A76" i="37" s="1"/>
  <c r="A77" i="37" s="1"/>
  <c r="A78" i="37" s="1"/>
  <c r="A79" i="37" s="1"/>
  <c r="A80" i="37" s="1"/>
  <c r="A81" i="37" s="1"/>
  <c r="A82" i="37" s="1"/>
  <c r="K82" i="37"/>
  <c r="K59" i="37"/>
  <c r="K58" i="37"/>
  <c r="I83" i="37"/>
  <c r="J82" i="37"/>
  <c r="J81" i="37"/>
  <c r="J59" i="37"/>
  <c r="J58" i="37"/>
  <c r="I82" i="37"/>
  <c r="I80" i="37"/>
  <c r="I59" i="37"/>
  <c r="I58" i="37"/>
  <c r="K57" i="37"/>
  <c r="J84" i="37"/>
  <c r="J80" i="37"/>
  <c r="J78" i="37"/>
  <c r="J76" i="37"/>
  <c r="J74" i="37"/>
  <c r="J72" i="37"/>
  <c r="J70" i="37"/>
  <c r="J68" i="37"/>
  <c r="J66" i="37"/>
  <c r="J64" i="37"/>
  <c r="J62" i="37"/>
  <c r="J60" i="37"/>
  <c r="I56" i="37"/>
  <c r="I54" i="37"/>
  <c r="I52" i="37"/>
  <c r="I50" i="37"/>
  <c r="I48" i="37"/>
  <c r="I46" i="37"/>
  <c r="I44" i="37"/>
  <c r="I42" i="37"/>
  <c r="I40" i="37"/>
  <c r="I38" i="37"/>
  <c r="I36" i="37"/>
  <c r="J57" i="37"/>
  <c r="L57" i="37"/>
  <c r="L54" i="37"/>
  <c r="L50" i="37"/>
  <c r="L46" i="37"/>
  <c r="L42" i="37"/>
  <c r="L38" i="37"/>
  <c r="I57" i="37"/>
  <c r="J56" i="37"/>
  <c r="J55" i="37"/>
  <c r="J54" i="37"/>
  <c r="J53" i="37"/>
  <c r="J52" i="37"/>
  <c r="J51" i="37"/>
  <c r="J50" i="37"/>
  <c r="J49" i="37"/>
  <c r="J48" i="37"/>
  <c r="J47" i="37"/>
  <c r="J46" i="37"/>
  <c r="J45" i="37"/>
  <c r="J44" i="37"/>
  <c r="J43" i="37"/>
  <c r="J42" i="37"/>
  <c r="J41" i="37"/>
  <c r="J40" i="37"/>
  <c r="J39" i="37"/>
  <c r="J38" i="37"/>
  <c r="J37" i="37"/>
  <c r="J36" i="37"/>
  <c r="J35" i="37"/>
  <c r="L56" i="37"/>
  <c r="L52" i="37"/>
  <c r="L48" i="37"/>
  <c r="L44" i="37"/>
  <c r="L40" i="37"/>
  <c r="L36" i="37"/>
  <c r="K81" i="37"/>
  <c r="L81" i="37"/>
  <c r="I81" i="37"/>
  <c r="K79" i="37"/>
  <c r="L79" i="37"/>
  <c r="J79" i="37"/>
  <c r="I79" i="37"/>
  <c r="L78" i="37"/>
  <c r="K78" i="37"/>
  <c r="I78" i="37"/>
  <c r="K77" i="37"/>
  <c r="L77" i="37"/>
  <c r="J77" i="37"/>
  <c r="I77" i="37"/>
  <c r="L76" i="37"/>
  <c r="K76" i="37"/>
  <c r="I76" i="37"/>
  <c r="K75" i="37"/>
  <c r="L75" i="37"/>
  <c r="J75" i="37"/>
  <c r="I75" i="37"/>
  <c r="L74" i="37"/>
  <c r="K74" i="37"/>
  <c r="I74" i="37"/>
  <c r="K73" i="37"/>
  <c r="L73" i="37"/>
  <c r="J73" i="37"/>
  <c r="I73" i="37"/>
  <c r="L72" i="37"/>
  <c r="K72" i="37"/>
  <c r="I72" i="37"/>
  <c r="K71" i="37"/>
  <c r="L71" i="37"/>
  <c r="J71" i="37"/>
  <c r="I71" i="37"/>
  <c r="L70" i="37"/>
  <c r="K70" i="37"/>
  <c r="I70" i="37"/>
  <c r="K69" i="37"/>
  <c r="L69" i="37"/>
  <c r="J69" i="37"/>
  <c r="I69" i="37"/>
  <c r="L68" i="37"/>
  <c r="K68" i="37"/>
  <c r="I68" i="37"/>
  <c r="K67" i="37"/>
  <c r="L67" i="37"/>
  <c r="J67" i="37"/>
  <c r="I67" i="37"/>
  <c r="L66" i="37"/>
  <c r="K66" i="37"/>
  <c r="I66" i="37"/>
  <c r="K65" i="37"/>
  <c r="L65" i="37"/>
  <c r="J65" i="37"/>
  <c r="I65" i="37"/>
  <c r="L64" i="37"/>
  <c r="K64" i="37"/>
  <c r="I64" i="37"/>
  <c r="K63" i="37"/>
  <c r="L63" i="37"/>
  <c r="J63" i="37"/>
  <c r="I63" i="37"/>
  <c r="L62" i="37"/>
  <c r="K62" i="37"/>
  <c r="I62" i="37"/>
  <c r="K61" i="37"/>
  <c r="L61" i="37"/>
  <c r="J61" i="37"/>
  <c r="I61" i="37"/>
  <c r="L60" i="37"/>
  <c r="K60" i="37"/>
  <c r="I60" i="37"/>
  <c r="K80" i="37"/>
  <c r="I35" i="37"/>
  <c r="K55" i="37"/>
  <c r="I55" i="37"/>
  <c r="K53" i="37"/>
  <c r="I53" i="37"/>
  <c r="K51" i="37"/>
  <c r="I51" i="37"/>
  <c r="K49" i="37"/>
  <c r="I49" i="37"/>
  <c r="K47" i="37"/>
  <c r="I47" i="37"/>
  <c r="K45" i="37"/>
  <c r="I45" i="37"/>
  <c r="K43" i="37"/>
  <c r="I43" i="37"/>
  <c r="K41" i="37"/>
  <c r="I41" i="37"/>
  <c r="K39" i="37"/>
  <c r="I39" i="37"/>
  <c r="K37" i="37"/>
  <c r="I37" i="37"/>
  <c r="K35" i="37"/>
  <c r="K33" i="37"/>
  <c r="J33" i="37"/>
  <c r="I33" i="37"/>
  <c r="J34" i="37"/>
  <c r="K34" i="37"/>
  <c r="I34" i="37"/>
  <c r="O83" i="37"/>
  <c r="J83" i="37"/>
  <c r="O85" i="37"/>
  <c r="O84" i="37"/>
  <c r="P84" i="37"/>
  <c r="P83" i="37"/>
  <c r="O86" i="37"/>
  <c r="DJ32" i="37"/>
  <c r="DI32" i="37"/>
  <c r="DH32" i="37"/>
  <c r="I84" i="37" l="1"/>
  <c r="M85" i="37"/>
  <c r="M86" i="37"/>
  <c r="K85" i="37" l="1"/>
  <c r="K86" i="37"/>
  <c r="I85" i="37" l="1"/>
  <c r="I86" i="37"/>
  <c r="Q44" i="36"/>
  <c r="Q45" i="36" s="1"/>
  <c r="Q43" i="36"/>
  <c r="G44" i="36"/>
  <c r="I44" i="36"/>
  <c r="K44" i="36"/>
  <c r="M44" i="36"/>
  <c r="O44" i="36"/>
  <c r="G43" i="36"/>
  <c r="I43" i="36"/>
  <c r="K43" i="36"/>
  <c r="M43" i="36"/>
  <c r="O43" i="36"/>
  <c r="E44" i="36"/>
  <c r="E43" i="36"/>
  <c r="D44" i="36"/>
  <c r="D43" i="36"/>
  <c r="E26" i="36"/>
  <c r="K26" i="36" s="1"/>
  <c r="E27" i="36"/>
  <c r="K27" i="36" s="1"/>
  <c r="E28" i="36"/>
  <c r="K28" i="36" s="1"/>
  <c r="E29" i="36"/>
  <c r="K29" i="36" s="1"/>
  <c r="E30" i="36"/>
  <c r="K30" i="36" s="1"/>
  <c r="E31" i="36"/>
  <c r="K31" i="36" s="1"/>
  <c r="E32" i="36"/>
  <c r="K32" i="36" s="1"/>
  <c r="E33" i="36"/>
  <c r="K33" i="36" s="1"/>
  <c r="E34" i="36"/>
  <c r="K34" i="36" s="1"/>
  <c r="E35" i="36"/>
  <c r="K35" i="36" s="1"/>
  <c r="E36" i="36"/>
  <c r="K36" i="36" s="1"/>
  <c r="E37" i="36"/>
  <c r="K37" i="36" s="1"/>
  <c r="E38" i="36"/>
  <c r="K38" i="36" s="1"/>
  <c r="E39" i="36"/>
  <c r="K39" i="36" s="1"/>
  <c r="E21" i="36"/>
  <c r="K21" i="36" s="1"/>
  <c r="E22" i="36"/>
  <c r="K22" i="36" s="1"/>
  <c r="E23" i="36"/>
  <c r="K23" i="36" s="1"/>
  <c r="E24" i="36"/>
  <c r="K24" i="36" s="1"/>
  <c r="E25" i="36"/>
  <c r="K25" i="36" s="1"/>
  <c r="E20" i="36"/>
  <c r="K20" i="36" s="1"/>
  <c r="B70" i="36"/>
  <c r="B71" i="36"/>
  <c r="B72" i="36"/>
  <c r="B73" i="36"/>
  <c r="B74" i="36"/>
  <c r="B57" i="36"/>
  <c r="B58" i="36"/>
  <c r="B59" i="36"/>
  <c r="B60" i="36"/>
  <c r="B61" i="36"/>
  <c r="B62" i="36"/>
  <c r="B63" i="36"/>
  <c r="B64" i="36"/>
  <c r="B65" i="36"/>
  <c r="B66" i="36"/>
  <c r="B67" i="36"/>
  <c r="B68" i="36"/>
  <c r="B69" i="36"/>
  <c r="B55" i="36"/>
  <c r="B56" i="36"/>
  <c r="I124" i="36"/>
  <c r="A124" i="36"/>
  <c r="I121" i="36"/>
  <c r="A121" i="36"/>
  <c r="L83" i="36"/>
  <c r="J83" i="36"/>
  <c r="B83" i="36"/>
  <c r="A83" i="36"/>
  <c r="E16" i="36"/>
  <c r="E14" i="36"/>
  <c r="A12" i="36"/>
  <c r="A10" i="36"/>
  <c r="E45" i="36" l="1"/>
  <c r="O45" i="36"/>
  <c r="K45" i="36"/>
  <c r="G45" i="36"/>
  <c r="I45" i="36"/>
  <c r="M45" i="36"/>
  <c r="L425" i="31" l="1"/>
  <c r="S417" i="31"/>
  <c r="S418" i="31"/>
  <c r="S419" i="31"/>
  <c r="S420" i="31"/>
  <c r="S421" i="31"/>
  <c r="S422" i="31"/>
  <c r="S423" i="31"/>
  <c r="S424" i="31"/>
  <c r="S416" i="31"/>
  <c r="R418" i="31"/>
  <c r="R419" i="31"/>
  <c r="R420" i="31"/>
  <c r="R421" i="31"/>
  <c r="R422" i="31"/>
  <c r="R423" i="31"/>
  <c r="R424" i="31"/>
  <c r="R425" i="31"/>
  <c r="R416" i="31"/>
  <c r="Q416" i="31"/>
  <c r="R417" i="31"/>
  <c r="Q417" i="31"/>
  <c r="Q418" i="31"/>
  <c r="Q419" i="31"/>
  <c r="Q420" i="31"/>
  <c r="Q421" i="31"/>
  <c r="Q422" i="31"/>
  <c r="Q423" i="31"/>
  <c r="Q424" i="31"/>
  <c r="P417" i="31"/>
  <c r="P418" i="31"/>
  <c r="P419" i="31"/>
  <c r="P420" i="31"/>
  <c r="P421" i="31"/>
  <c r="P422" i="31"/>
  <c r="P423" i="31"/>
  <c r="P424" i="31"/>
  <c r="P416" i="31"/>
  <c r="O416" i="31"/>
  <c r="O425" i="31"/>
  <c r="O426" i="31"/>
  <c r="O417" i="31"/>
  <c r="O418" i="31"/>
  <c r="O419" i="31"/>
  <c r="O420" i="31"/>
  <c r="O421" i="31"/>
  <c r="O422" i="31"/>
  <c r="O423" i="31"/>
  <c r="O424" i="31"/>
  <c r="N417" i="31"/>
  <c r="N418" i="31"/>
  <c r="N419" i="31"/>
  <c r="N420" i="31"/>
  <c r="N421" i="31"/>
  <c r="N416" i="31"/>
  <c r="M417" i="31"/>
  <c r="M418" i="31"/>
  <c r="M419" i="31"/>
  <c r="M420" i="31"/>
  <c r="M421" i="31"/>
  <c r="M422" i="31"/>
  <c r="M423" i="31"/>
  <c r="M424" i="31"/>
  <c r="M425" i="31"/>
  <c r="M416" i="31"/>
  <c r="L417" i="31"/>
  <c r="L418" i="31"/>
  <c r="L419" i="31"/>
  <c r="L420" i="31"/>
  <c r="L421" i="31"/>
  <c r="L422" i="31"/>
  <c r="L423" i="31"/>
  <c r="L424" i="31"/>
  <c r="L416" i="31"/>
  <c r="K417" i="31"/>
  <c r="K418" i="31"/>
  <c r="K419" i="31"/>
  <c r="K420" i="31"/>
  <c r="K421" i="31"/>
  <c r="K422" i="31"/>
  <c r="K423" i="31"/>
  <c r="K424" i="31"/>
  <c r="K425" i="31"/>
  <c r="K416" i="31"/>
  <c r="J417" i="31"/>
  <c r="J418" i="31"/>
  <c r="J419" i="31"/>
  <c r="J420" i="31"/>
  <c r="J421" i="31"/>
  <c r="J422" i="31"/>
  <c r="J423" i="31"/>
  <c r="J424" i="31"/>
  <c r="J425" i="31"/>
  <c r="J416" i="31"/>
  <c r="I417" i="31"/>
  <c r="I418" i="31"/>
  <c r="I419" i="31"/>
  <c r="I420" i="31"/>
  <c r="I421" i="31"/>
  <c r="I422" i="31"/>
  <c r="I423" i="31"/>
  <c r="I424" i="31"/>
  <c r="I425" i="31"/>
  <c r="I416" i="31"/>
  <c r="H417" i="31"/>
  <c r="H418" i="31"/>
  <c r="H419" i="31"/>
  <c r="H420" i="31"/>
  <c r="H421" i="31"/>
  <c r="H422" i="31"/>
  <c r="H423" i="31"/>
  <c r="H424" i="31"/>
  <c r="H425" i="31"/>
  <c r="H416" i="31"/>
  <c r="G417" i="31"/>
  <c r="G418" i="31"/>
  <c r="G419" i="31"/>
  <c r="G420" i="31"/>
  <c r="G421" i="31"/>
  <c r="G422" i="31"/>
  <c r="G423" i="31"/>
  <c r="G424" i="31"/>
  <c r="G425" i="31"/>
  <c r="G416" i="31"/>
  <c r="F417" i="31"/>
  <c r="F418" i="31"/>
  <c r="F419" i="31"/>
  <c r="F420" i="31"/>
  <c r="F421" i="31"/>
  <c r="F422" i="31"/>
  <c r="F423" i="31"/>
  <c r="F424" i="31"/>
  <c r="F425" i="31"/>
  <c r="F416" i="31"/>
  <c r="E398" i="31"/>
  <c r="E399" i="31"/>
  <c r="E400" i="31"/>
  <c r="E401" i="31"/>
  <c r="E402" i="31"/>
  <c r="E403" i="31"/>
  <c r="E404" i="31"/>
  <c r="E405" i="31"/>
  <c r="E397" i="31"/>
  <c r="D398" i="31"/>
  <c r="D399" i="31"/>
  <c r="D400" i="31"/>
  <c r="D401" i="31"/>
  <c r="D402" i="31"/>
  <c r="D403" i="31"/>
  <c r="D404" i="31"/>
  <c r="D405" i="31"/>
  <c r="D397" i="31"/>
  <c r="E417" i="31"/>
  <c r="E418" i="31"/>
  <c r="E419" i="31"/>
  <c r="E420" i="31"/>
  <c r="E421" i="31"/>
  <c r="E422" i="31"/>
  <c r="E423" i="31"/>
  <c r="E424" i="31"/>
  <c r="E425" i="31"/>
  <c r="E416" i="31"/>
  <c r="C417" i="31"/>
  <c r="C418" i="31"/>
  <c r="C419" i="31"/>
  <c r="C420" i="31"/>
  <c r="C421" i="31"/>
  <c r="C422" i="31"/>
  <c r="C423" i="31"/>
  <c r="C424" i="31"/>
  <c r="C416" i="31"/>
  <c r="C398" i="31"/>
  <c r="C399" i="31"/>
  <c r="C400" i="31"/>
  <c r="C401" i="31"/>
  <c r="C402" i="31"/>
  <c r="C403" i="31"/>
  <c r="C404" i="31"/>
  <c r="C405" i="31"/>
  <c r="C397" i="31"/>
  <c r="B417" i="31"/>
  <c r="B418" i="31"/>
  <c r="B419" i="31"/>
  <c r="B420" i="31"/>
  <c r="B421" i="31"/>
  <c r="B422" i="31"/>
  <c r="B423" i="31"/>
  <c r="B424" i="31"/>
  <c r="B416" i="31"/>
  <c r="B398" i="31"/>
  <c r="B399" i="31"/>
  <c r="B400" i="31"/>
  <c r="B401" i="31"/>
  <c r="B402" i="31"/>
  <c r="B403" i="31"/>
  <c r="B404" i="31"/>
  <c r="B405" i="31"/>
  <c r="B397" i="31"/>
  <c r="D417" i="31"/>
  <c r="D418" i="31"/>
  <c r="D419" i="31"/>
  <c r="D420" i="31"/>
  <c r="D421" i="31"/>
  <c r="D416" i="31"/>
  <c r="I109" i="22" l="1"/>
  <c r="G111" i="22"/>
  <c r="I111" i="22"/>
  <c r="I110" i="22"/>
  <c r="G110" i="22"/>
  <c r="G109" i="22"/>
  <c r="J78" i="22"/>
  <c r="K78" i="22"/>
  <c r="J79" i="22"/>
  <c r="K79" i="22"/>
  <c r="J80" i="22"/>
  <c r="K80" i="22"/>
  <c r="J81" i="22"/>
  <c r="K81" i="22"/>
  <c r="J82" i="22"/>
  <c r="K82" i="22"/>
  <c r="J83" i="22"/>
  <c r="K83" i="22"/>
  <c r="J84" i="22"/>
  <c r="K84" i="22"/>
  <c r="J85" i="22"/>
  <c r="K85" i="22"/>
  <c r="J86" i="22"/>
  <c r="K86" i="22"/>
  <c r="J87" i="22"/>
  <c r="K87" i="22"/>
  <c r="J88" i="22"/>
  <c r="K88" i="22"/>
  <c r="G69" i="22"/>
  <c r="M69" i="22" s="1"/>
  <c r="L66" i="22"/>
  <c r="I66" i="22"/>
  <c r="A53" i="22"/>
  <c r="A52" i="22"/>
  <c r="A21" i="22"/>
  <c r="A19" i="22"/>
  <c r="A3" i="22"/>
  <c r="A2" i="22"/>
  <c r="A1" i="22"/>
  <c r="L87" i="22" l="1"/>
  <c r="L86" i="22"/>
  <c r="L81" i="22"/>
  <c r="L79" i="22"/>
  <c r="L78" i="22"/>
  <c r="L85" i="22"/>
  <c r="L83" i="22"/>
  <c r="L82" i="22"/>
  <c r="L88" i="22"/>
  <c r="L84" i="22"/>
  <c r="L80" i="22"/>
  <c r="F130" i="22" l="1"/>
  <c r="D130" i="22"/>
  <c r="I130" i="22"/>
  <c r="O130" i="22"/>
  <c r="I131" i="22"/>
  <c r="L130" i="22"/>
  <c r="L206" i="22" l="1"/>
  <c r="L224" i="22"/>
  <c r="L216" i="22"/>
  <c r="L208" i="22"/>
  <c r="J224" i="22"/>
  <c r="J216" i="22"/>
  <c r="J208" i="22"/>
  <c r="L229" i="22"/>
  <c r="L221" i="22"/>
  <c r="L213" i="22"/>
  <c r="N228" i="22"/>
  <c r="N220" i="22"/>
  <c r="N212" i="22"/>
  <c r="L209" i="22"/>
  <c r="J227" i="22"/>
  <c r="J223" i="22"/>
  <c r="J219" i="22"/>
  <c r="J215" i="22"/>
  <c r="J211" i="22"/>
  <c r="N205" i="22"/>
  <c r="L226" i="22"/>
  <c r="L218" i="22"/>
  <c r="L210" i="22"/>
  <c r="J226" i="22"/>
  <c r="J218" i="22"/>
  <c r="J210" i="22"/>
  <c r="L205" i="22"/>
  <c r="L223" i="22"/>
  <c r="L215" i="22"/>
  <c r="N230" i="22"/>
  <c r="N222" i="22"/>
  <c r="N214" i="22"/>
  <c r="N206" i="22"/>
  <c r="N227" i="22"/>
  <c r="N223" i="22"/>
  <c r="N219" i="22"/>
  <c r="N215" i="22"/>
  <c r="N211" i="22"/>
  <c r="J207" i="22"/>
  <c r="L228" i="22"/>
  <c r="L220" i="22"/>
  <c r="L212" i="22"/>
  <c r="J228" i="22"/>
  <c r="J220" i="22"/>
  <c r="J212" i="22"/>
  <c r="L207" i="22"/>
  <c r="L225" i="22"/>
  <c r="L217" i="22"/>
  <c r="J209" i="22"/>
  <c r="N224" i="22"/>
  <c r="N216" i="22"/>
  <c r="N208" i="22"/>
  <c r="J229" i="22"/>
  <c r="J225" i="22"/>
  <c r="J221" i="22"/>
  <c r="J217" i="22"/>
  <c r="J213" i="22"/>
  <c r="N207" i="22"/>
  <c r="L230" i="22"/>
  <c r="L222" i="22"/>
  <c r="L214" i="22"/>
  <c r="J230" i="22"/>
  <c r="J222" i="22"/>
  <c r="J214" i="22"/>
  <c r="J206" i="22"/>
  <c r="L227" i="22"/>
  <c r="L219" i="22"/>
  <c r="L211" i="22"/>
  <c r="N226" i="22"/>
  <c r="N218" i="22"/>
  <c r="N210" i="22"/>
  <c r="N229" i="22"/>
  <c r="N225" i="22"/>
  <c r="N221" i="22"/>
  <c r="N217" i="22"/>
  <c r="N213" i="22"/>
  <c r="N209" i="22"/>
  <c r="J205" i="22"/>
  <c r="DI82" i="37"/>
  <c r="DI80" i="37"/>
  <c r="DI78" i="37"/>
  <c r="DI76" i="37"/>
  <c r="DI74" i="37"/>
  <c r="DI72" i="37"/>
  <c r="DI70" i="37"/>
  <c r="DH67" i="37"/>
  <c r="DI66" i="37"/>
  <c r="DI64" i="37"/>
  <c r="DI62" i="37"/>
  <c r="DI60" i="37"/>
  <c r="DI58" i="37"/>
  <c r="DJ56" i="37"/>
  <c r="DJ54" i="37"/>
  <c r="DJ52" i="37"/>
  <c r="DJ50" i="37"/>
  <c r="DJ48" i="37"/>
  <c r="DJ46" i="37"/>
  <c r="DJ44" i="37"/>
  <c r="DJ42" i="37"/>
  <c r="DJ40" i="37"/>
  <c r="DJ38" i="37"/>
  <c r="DJ36" i="37"/>
  <c r="DJ34" i="37"/>
  <c r="DI81" i="37"/>
  <c r="DI79" i="37"/>
  <c r="DI77" i="37"/>
  <c r="DI75" i="37"/>
  <c r="DI73" i="37"/>
  <c r="DI71" i="37"/>
  <c r="DI68" i="37"/>
  <c r="DI67" i="37"/>
  <c r="DI65" i="37"/>
  <c r="DI63" i="37"/>
  <c r="DI61" i="37"/>
  <c r="DI59" i="37"/>
  <c r="DI57" i="37"/>
  <c r="DI55" i="37"/>
  <c r="DJ53" i="37"/>
  <c r="DJ51" i="37"/>
  <c r="DJ49" i="37"/>
  <c r="DJ47" i="37"/>
  <c r="DJ45" i="37"/>
  <c r="DJ43" i="37"/>
  <c r="DJ41" i="37"/>
  <c r="DJ39" i="37"/>
  <c r="DJ37" i="37"/>
  <c r="DJ35" i="37"/>
  <c r="DJ33" i="37"/>
  <c r="DI50" i="37"/>
  <c r="DH59" i="37"/>
  <c r="DI46" i="37"/>
  <c r="DH63" i="37"/>
  <c r="DI36" i="37"/>
  <c r="DI44" i="37"/>
  <c r="DI52" i="37"/>
  <c r="DH61" i="37"/>
  <c r="DI33" i="37"/>
  <c r="DI35" i="37"/>
  <c r="DI37" i="37"/>
  <c r="DI39" i="37"/>
  <c r="DI41" i="37"/>
  <c r="DI43" i="37"/>
  <c r="DI45" i="37"/>
  <c r="DI47" i="37"/>
  <c r="DI49" i="37"/>
  <c r="DI51" i="37"/>
  <c r="DI53" i="37"/>
  <c r="DH55" i="37"/>
  <c r="DH58" i="37"/>
  <c r="DH60" i="37"/>
  <c r="DH62" i="37"/>
  <c r="DH64" i="37"/>
  <c r="DH66" i="37"/>
  <c r="DH68" i="37"/>
  <c r="DJ69" i="37"/>
  <c r="DH33" i="37"/>
  <c r="DH37" i="37"/>
  <c r="DH41" i="37"/>
  <c r="DH45" i="37"/>
  <c r="DH49" i="37"/>
  <c r="DH53" i="37"/>
  <c r="DJ57" i="37"/>
  <c r="DJ60" i="37"/>
  <c r="DJ64" i="37"/>
  <c r="DJ68" i="37"/>
  <c r="DJ70" i="37"/>
  <c r="DJ71" i="37"/>
  <c r="DJ72" i="37"/>
  <c r="DJ73" i="37"/>
  <c r="DJ74" i="37"/>
  <c r="DJ75" i="37"/>
  <c r="DJ76" i="37"/>
  <c r="DJ77" i="37"/>
  <c r="DJ78" i="37"/>
  <c r="DJ79" i="37"/>
  <c r="DJ80" i="37"/>
  <c r="DJ81" i="37"/>
  <c r="DJ82" i="37"/>
  <c r="DI42" i="37"/>
  <c r="DI38" i="37"/>
  <c r="DI54" i="37"/>
  <c r="DI34" i="37"/>
  <c r="DI40" i="37"/>
  <c r="DI48" i="37"/>
  <c r="DI56" i="37"/>
  <c r="DH65" i="37"/>
  <c r="DH34" i="37"/>
  <c r="DH36" i="37"/>
  <c r="DH38" i="37"/>
  <c r="DH40" i="37"/>
  <c r="DH42" i="37"/>
  <c r="DH44" i="37"/>
  <c r="DH46" i="37"/>
  <c r="DH48" i="37"/>
  <c r="DH50" i="37"/>
  <c r="DH52" i="37"/>
  <c r="DH54" i="37"/>
  <c r="DH57" i="37"/>
  <c r="DJ59" i="37"/>
  <c r="DJ61" i="37"/>
  <c r="DJ63" i="37"/>
  <c r="DJ65" i="37"/>
  <c r="DJ67" i="37"/>
  <c r="DI69" i="37"/>
  <c r="DH69" i="37"/>
  <c r="DH35" i="37"/>
  <c r="DH39" i="37"/>
  <c r="DH43" i="37"/>
  <c r="DH47" i="37"/>
  <c r="DH51" i="37"/>
  <c r="DJ55" i="37"/>
  <c r="DJ58" i="37"/>
  <c r="DJ62" i="37"/>
  <c r="DJ66" i="37"/>
  <c r="DH70" i="37"/>
  <c r="DH71" i="37"/>
  <c r="DH72" i="37"/>
  <c r="DH73" i="37"/>
  <c r="DH74" i="37"/>
  <c r="DH75" i="37"/>
  <c r="DH76" i="37"/>
  <c r="DH77" i="37"/>
  <c r="DH78" i="37"/>
  <c r="DH79" i="37"/>
  <c r="DH80" i="37"/>
  <c r="DH81" i="37"/>
  <c r="DH82" i="37"/>
  <c r="DH56" i="37"/>
  <c r="D131" i="22"/>
  <c r="I112" i="22"/>
  <c r="G112" i="22"/>
  <c r="N204" i="22"/>
  <c r="J204" i="22"/>
  <c r="L204" i="22"/>
  <c r="G67" i="22"/>
  <c r="DH83" i="37" l="1"/>
  <c r="DJ83" i="37"/>
  <c r="DI83" i="37"/>
  <c r="N135" i="31"/>
  <c r="M135" i="31"/>
  <c r="J135" i="31"/>
  <c r="I135" i="31"/>
  <c r="J124" i="31"/>
  <c r="I124" i="31"/>
  <c r="J91" i="31"/>
  <c r="I91" i="31"/>
  <c r="J80" i="31"/>
  <c r="I80" i="31"/>
  <c r="J47" i="31"/>
  <c r="I47" i="31"/>
  <c r="J36" i="31"/>
  <c r="I36" i="31"/>
  <c r="J25" i="31"/>
  <c r="I25" i="31"/>
  <c r="N303" i="31"/>
  <c r="M303" i="31"/>
  <c r="J303" i="31"/>
  <c r="I303" i="31"/>
  <c r="N302" i="31"/>
  <c r="M302" i="31"/>
  <c r="J302" i="31"/>
  <c r="I302" i="31"/>
  <c r="N301" i="31"/>
  <c r="M301" i="31"/>
  <c r="J301" i="31"/>
  <c r="I301" i="31"/>
  <c r="N300" i="31"/>
  <c r="M300" i="31"/>
  <c r="J300" i="31"/>
  <c r="I300" i="31"/>
  <c r="N299" i="31"/>
  <c r="M299" i="31"/>
  <c r="J299" i="31"/>
  <c r="I299" i="31"/>
  <c r="N298" i="31"/>
  <c r="M298" i="31"/>
  <c r="J298" i="31"/>
  <c r="I298" i="31"/>
  <c r="J296" i="31"/>
  <c r="I296" i="31"/>
  <c r="N295" i="31"/>
  <c r="M295" i="31"/>
  <c r="J295" i="31"/>
  <c r="I295" i="31"/>
  <c r="N294" i="31"/>
  <c r="M294" i="31"/>
  <c r="J294" i="31"/>
  <c r="I294" i="31"/>
  <c r="N293" i="31"/>
  <c r="M293" i="31"/>
  <c r="J293" i="31"/>
  <c r="I293" i="31"/>
  <c r="N292" i="31"/>
  <c r="M292" i="31"/>
  <c r="J292" i="31"/>
  <c r="I292" i="31"/>
  <c r="N291" i="31"/>
  <c r="M291" i="31"/>
  <c r="J291" i="31"/>
  <c r="I291" i="31"/>
  <c r="N290" i="31"/>
  <c r="M290" i="31"/>
  <c r="J290" i="31"/>
  <c r="I290" i="31"/>
  <c r="J288" i="31"/>
  <c r="I288" i="31"/>
  <c r="J287" i="31"/>
  <c r="I287" i="31"/>
  <c r="J286" i="31"/>
  <c r="I286" i="31"/>
  <c r="J285" i="31"/>
  <c r="I285" i="31"/>
  <c r="J284" i="31"/>
  <c r="I284" i="31"/>
  <c r="J283" i="31"/>
  <c r="I283" i="31"/>
  <c r="J282" i="31"/>
  <c r="I282" i="31"/>
  <c r="J280" i="31"/>
  <c r="I280" i="31"/>
  <c r="J279" i="31"/>
  <c r="I279" i="31"/>
  <c r="J278" i="31"/>
  <c r="I278" i="31"/>
  <c r="J277" i="31"/>
  <c r="I277" i="31"/>
  <c r="J276" i="31"/>
  <c r="I276" i="31"/>
  <c r="J275" i="31"/>
  <c r="I275" i="31"/>
  <c r="J274" i="31"/>
  <c r="I274" i="31"/>
  <c r="J272" i="31"/>
  <c r="I272" i="31"/>
  <c r="N271" i="31"/>
  <c r="M271" i="31"/>
  <c r="J271" i="31"/>
  <c r="I271" i="31"/>
  <c r="N270" i="31"/>
  <c r="M270" i="31"/>
  <c r="J270" i="31"/>
  <c r="I270" i="31"/>
  <c r="N269" i="31"/>
  <c r="M269" i="31"/>
  <c r="J269" i="31"/>
  <c r="I269" i="31"/>
  <c r="N268" i="31"/>
  <c r="M268" i="31"/>
  <c r="J268" i="31"/>
  <c r="I268" i="31"/>
  <c r="N267" i="31"/>
  <c r="M267" i="31"/>
  <c r="J267" i="31"/>
  <c r="I267" i="31"/>
  <c r="N266" i="31"/>
  <c r="M266" i="31"/>
  <c r="J266" i="31"/>
  <c r="I266" i="31"/>
  <c r="N263" i="31"/>
  <c r="M263" i="31"/>
  <c r="J263" i="31"/>
  <c r="I263" i="31"/>
  <c r="N262" i="31"/>
  <c r="M262" i="31"/>
  <c r="J262" i="31"/>
  <c r="I262" i="31"/>
  <c r="N261" i="31"/>
  <c r="M261" i="31"/>
  <c r="J261" i="31"/>
  <c r="I261" i="31"/>
  <c r="N260" i="31"/>
  <c r="M260" i="31"/>
  <c r="J260" i="31"/>
  <c r="I260" i="31"/>
  <c r="N259" i="31"/>
  <c r="M259" i="31"/>
  <c r="J259" i="31"/>
  <c r="I259" i="31"/>
  <c r="N258" i="31"/>
  <c r="M258" i="31"/>
  <c r="J258" i="31"/>
  <c r="I258" i="31"/>
  <c r="J240" i="31"/>
  <c r="I240" i="31"/>
  <c r="N239" i="31"/>
  <c r="M239" i="31"/>
  <c r="N238" i="31"/>
  <c r="M238" i="31"/>
  <c r="N237" i="31"/>
  <c r="M237" i="31"/>
  <c r="N236" i="31"/>
  <c r="M236" i="31"/>
  <c r="N235" i="31"/>
  <c r="M235" i="31"/>
  <c r="N234" i="31"/>
  <c r="M234" i="31"/>
  <c r="N233" i="31"/>
  <c r="M233" i="31"/>
  <c r="N232" i="31"/>
  <c r="M232" i="31"/>
  <c r="N231" i="31"/>
  <c r="M231" i="31"/>
  <c r="J229" i="31"/>
  <c r="I229" i="31"/>
  <c r="N228" i="31"/>
  <c r="M228" i="31"/>
  <c r="N227" i="31"/>
  <c r="M227" i="31"/>
  <c r="N226" i="31"/>
  <c r="M226" i="31"/>
  <c r="N225" i="31"/>
  <c r="M225" i="31"/>
  <c r="N224" i="31"/>
  <c r="M224" i="31"/>
  <c r="N223" i="31"/>
  <c r="M223" i="31"/>
  <c r="N222" i="31"/>
  <c r="M222" i="31"/>
  <c r="N221" i="31"/>
  <c r="M221" i="31"/>
  <c r="N220" i="31"/>
  <c r="M220" i="31"/>
  <c r="J218" i="31"/>
  <c r="I218" i="31"/>
  <c r="N217" i="31"/>
  <c r="M217" i="31"/>
  <c r="J217" i="31"/>
  <c r="I217" i="31"/>
  <c r="N216" i="31"/>
  <c r="M216" i="31"/>
  <c r="J216" i="31"/>
  <c r="I216" i="31"/>
  <c r="N215" i="31"/>
  <c r="M215" i="31"/>
  <c r="J215" i="31"/>
  <c r="I215" i="31"/>
  <c r="N214" i="31"/>
  <c r="M214" i="31"/>
  <c r="J214" i="31"/>
  <c r="I214" i="31"/>
  <c r="N213" i="31"/>
  <c r="M213" i="31"/>
  <c r="J213" i="31"/>
  <c r="I213" i="31"/>
  <c r="N212" i="31"/>
  <c r="M212" i="31"/>
  <c r="J212" i="31"/>
  <c r="I212" i="31"/>
  <c r="J209" i="31"/>
  <c r="I209" i="31"/>
  <c r="N208" i="31"/>
  <c r="M208" i="31"/>
  <c r="J208" i="31"/>
  <c r="I208" i="31"/>
  <c r="N207" i="31"/>
  <c r="M207" i="31"/>
  <c r="J207" i="31"/>
  <c r="I207" i="31"/>
  <c r="N206" i="31"/>
  <c r="M206" i="31"/>
  <c r="J206" i="31"/>
  <c r="I206" i="31"/>
  <c r="N205" i="31"/>
  <c r="M205" i="31"/>
  <c r="J205" i="31"/>
  <c r="I205" i="31"/>
  <c r="N204" i="31"/>
  <c r="M204" i="31"/>
  <c r="J204" i="31"/>
  <c r="I204" i="31"/>
  <c r="N203" i="31"/>
  <c r="M203" i="31"/>
  <c r="J203" i="31"/>
  <c r="I203" i="31"/>
  <c r="J201" i="31"/>
  <c r="I201" i="31"/>
  <c r="N200" i="31"/>
  <c r="M200" i="31"/>
  <c r="N199" i="31"/>
  <c r="M199" i="31"/>
  <c r="N198" i="31"/>
  <c r="M198" i="31"/>
  <c r="N197" i="31"/>
  <c r="M197" i="31"/>
  <c r="N196" i="31"/>
  <c r="M196" i="31"/>
  <c r="N195" i="31"/>
  <c r="M195" i="31"/>
  <c r="N194" i="31"/>
  <c r="M194" i="31"/>
  <c r="N193" i="31"/>
  <c r="M193" i="31"/>
  <c r="N192" i="31"/>
  <c r="M192" i="31"/>
  <c r="J190" i="31"/>
  <c r="I190" i="31"/>
  <c r="N189" i="31"/>
  <c r="M189" i="31"/>
  <c r="N188" i="31"/>
  <c r="M188" i="31"/>
  <c r="N187" i="31"/>
  <c r="M187" i="31"/>
  <c r="N186" i="31"/>
  <c r="M186" i="31"/>
  <c r="N185" i="31"/>
  <c r="M185" i="31"/>
  <c r="N184" i="31"/>
  <c r="M184" i="31"/>
  <c r="N183" i="31"/>
  <c r="M183" i="31"/>
  <c r="N182" i="31"/>
  <c r="M182" i="31"/>
  <c r="N181" i="31"/>
  <c r="M181" i="31"/>
  <c r="N156" i="31"/>
  <c r="M156" i="31"/>
  <c r="N155" i="31"/>
  <c r="M155" i="31"/>
  <c r="N154" i="31"/>
  <c r="M154" i="31"/>
  <c r="N153" i="31"/>
  <c r="M153" i="31"/>
  <c r="N152" i="31"/>
  <c r="M152" i="31"/>
  <c r="N151" i="31"/>
  <c r="M151" i="31"/>
  <c r="N150" i="31"/>
  <c r="M150" i="31"/>
  <c r="N149" i="31"/>
  <c r="M149" i="31"/>
  <c r="N148" i="31"/>
  <c r="M148" i="31"/>
  <c r="J146" i="31"/>
  <c r="I146" i="31"/>
  <c r="N145" i="31"/>
  <c r="M145" i="31"/>
  <c r="N144" i="31"/>
  <c r="M144" i="31"/>
  <c r="N143" i="31"/>
  <c r="M143" i="31"/>
  <c r="N142" i="31"/>
  <c r="M142" i="31"/>
  <c r="N141" i="31"/>
  <c r="M141" i="31"/>
  <c r="N140" i="31"/>
  <c r="M140" i="31"/>
  <c r="N139" i="31"/>
  <c r="M139" i="31"/>
  <c r="N138" i="31"/>
  <c r="M138" i="31"/>
  <c r="N137" i="31"/>
  <c r="M137" i="31"/>
  <c r="N112" i="31"/>
  <c r="M112" i="31"/>
  <c r="N111" i="31"/>
  <c r="M111" i="31"/>
  <c r="N110" i="31"/>
  <c r="M110" i="31"/>
  <c r="N109" i="31"/>
  <c r="M109" i="31"/>
  <c r="N108" i="31"/>
  <c r="M108" i="31"/>
  <c r="N107" i="31"/>
  <c r="M107" i="31"/>
  <c r="N106" i="31"/>
  <c r="M106" i="31"/>
  <c r="N105" i="31"/>
  <c r="M105" i="31"/>
  <c r="N104" i="31"/>
  <c r="M104" i="31"/>
  <c r="N102" i="31"/>
  <c r="M102" i="31"/>
  <c r="J102" i="31"/>
  <c r="I102" i="31"/>
  <c r="N101" i="31"/>
  <c r="M101" i="31"/>
  <c r="N100" i="31"/>
  <c r="M100" i="31"/>
  <c r="N99" i="31"/>
  <c r="M99" i="31"/>
  <c r="N98" i="31"/>
  <c r="M98" i="31"/>
  <c r="N97" i="31"/>
  <c r="M97" i="31"/>
  <c r="N96" i="31"/>
  <c r="M96" i="31"/>
  <c r="N95" i="31"/>
  <c r="M95" i="31"/>
  <c r="N94" i="31"/>
  <c r="M94" i="31"/>
  <c r="N93" i="31"/>
  <c r="M93" i="31"/>
  <c r="N68" i="31"/>
  <c r="M68" i="31"/>
  <c r="N67" i="31"/>
  <c r="M67" i="31"/>
  <c r="N66" i="31"/>
  <c r="M66" i="31"/>
  <c r="N65" i="31"/>
  <c r="M65" i="31"/>
  <c r="N64" i="31"/>
  <c r="M64" i="31"/>
  <c r="N63" i="31"/>
  <c r="M63" i="31"/>
  <c r="N62" i="31"/>
  <c r="M62" i="31"/>
  <c r="N61" i="31"/>
  <c r="M61" i="31"/>
  <c r="N60" i="31"/>
  <c r="M60" i="31"/>
  <c r="N57" i="31"/>
  <c r="N56" i="31"/>
  <c r="M56" i="31"/>
  <c r="N55" i="31"/>
  <c r="M55" i="31"/>
  <c r="N54" i="31"/>
  <c r="M54" i="31"/>
  <c r="N53" i="31"/>
  <c r="M53" i="31"/>
  <c r="N52" i="31"/>
  <c r="M52" i="31"/>
  <c r="N51" i="31"/>
  <c r="M51" i="31"/>
  <c r="N50" i="31"/>
  <c r="M50" i="31"/>
  <c r="N49" i="31"/>
  <c r="M49" i="31"/>
  <c r="N24" i="31"/>
  <c r="M24" i="31"/>
  <c r="N23" i="31"/>
  <c r="M23" i="31"/>
  <c r="N22" i="31"/>
  <c r="M22" i="31"/>
  <c r="N21" i="31"/>
  <c r="M21" i="31"/>
  <c r="N20" i="31"/>
  <c r="M20" i="31"/>
  <c r="N19" i="31"/>
  <c r="M19" i="31"/>
  <c r="N18" i="31"/>
  <c r="M18" i="31"/>
  <c r="N17" i="31"/>
  <c r="M17" i="31"/>
  <c r="J14" i="31"/>
  <c r="I14" i="31"/>
  <c r="N13" i="31"/>
  <c r="M13" i="31"/>
  <c r="N12" i="31"/>
  <c r="M12" i="31"/>
  <c r="N11" i="31"/>
  <c r="M11" i="31"/>
  <c r="N10" i="31"/>
  <c r="M10" i="31"/>
  <c r="N9" i="31"/>
  <c r="M9" i="31"/>
  <c r="N8" i="31"/>
  <c r="M8" i="31"/>
  <c r="N7" i="31"/>
  <c r="M7" i="31"/>
  <c r="N6" i="31"/>
  <c r="M6" i="31"/>
  <c r="N5" i="31"/>
  <c r="M5" i="31"/>
  <c r="H64" i="19" l="1"/>
  <c r="D61" i="19"/>
  <c r="D62" i="19"/>
  <c r="D60" i="19"/>
  <c r="H242" i="10" l="1"/>
  <c r="H241" i="10"/>
  <c r="H240" i="10"/>
  <c r="H239" i="10"/>
  <c r="H238" i="10"/>
  <c r="H237" i="10"/>
  <c r="H236" i="10"/>
  <c r="H235" i="10"/>
  <c r="H232" i="10"/>
  <c r="H231" i="10"/>
  <c r="H230" i="10"/>
  <c r="H229" i="10"/>
  <c r="H228" i="10"/>
  <c r="H227" i="10"/>
  <c r="H226" i="10"/>
  <c r="H225" i="10"/>
  <c r="H222" i="10"/>
  <c r="H221" i="10"/>
  <c r="H220" i="10"/>
  <c r="H219" i="10"/>
  <c r="H218" i="10"/>
  <c r="H217" i="10"/>
  <c r="H216" i="10"/>
  <c r="H215" i="10"/>
  <c r="H212" i="10"/>
  <c r="H211" i="10"/>
  <c r="H210" i="10"/>
  <c r="H209" i="10"/>
  <c r="H208" i="10"/>
  <c r="H207" i="10"/>
  <c r="H206" i="10"/>
  <c r="H205" i="10"/>
  <c r="H202" i="10"/>
  <c r="H201" i="10"/>
  <c r="H200" i="10"/>
  <c r="H199" i="10"/>
  <c r="H198" i="10"/>
  <c r="H197" i="10"/>
  <c r="H196" i="10"/>
  <c r="H195" i="10"/>
  <c r="H192" i="10"/>
  <c r="H191" i="10"/>
  <c r="H190" i="10"/>
  <c r="H189" i="10"/>
  <c r="H188" i="10"/>
  <c r="H187" i="10"/>
  <c r="H74" i="10"/>
  <c r="H73" i="10"/>
  <c r="H72" i="10"/>
  <c r="H71" i="10"/>
  <c r="H68" i="10"/>
  <c r="H67" i="10"/>
  <c r="H66" i="10"/>
  <c r="H65" i="10"/>
  <c r="H50" i="10"/>
  <c r="H49" i="10"/>
  <c r="H48" i="10"/>
  <c r="H47" i="10"/>
  <c r="H44" i="10"/>
  <c r="H43" i="10"/>
  <c r="H42" i="10"/>
  <c r="H41" i="10"/>
  <c r="H26" i="10"/>
  <c r="H25" i="10"/>
  <c r="H24" i="10"/>
  <c r="H23" i="10"/>
  <c r="H20" i="10"/>
  <c r="H19" i="10"/>
  <c r="H18" i="10"/>
  <c r="H17" i="10"/>
  <c r="H134" i="10"/>
  <c r="H133" i="10"/>
  <c r="H132" i="10"/>
  <c r="H131" i="10"/>
  <c r="H128" i="10"/>
  <c r="H127" i="10"/>
  <c r="H126" i="10"/>
  <c r="H125" i="10"/>
  <c r="H182" i="10"/>
  <c r="H181" i="10"/>
  <c r="H180" i="10"/>
  <c r="H179" i="10"/>
  <c r="H176" i="10"/>
  <c r="H175" i="10"/>
  <c r="H174" i="10"/>
  <c r="H173" i="10"/>
  <c r="H170" i="10"/>
  <c r="H169" i="10"/>
  <c r="H168" i="10"/>
  <c r="H167" i="10"/>
  <c r="H164" i="10"/>
  <c r="H163" i="10"/>
  <c r="H162" i="10"/>
  <c r="H161" i="10"/>
  <c r="H158" i="10"/>
  <c r="H157" i="10"/>
  <c r="H156" i="10"/>
  <c r="H155" i="10"/>
  <c r="H152" i="10"/>
  <c r="H151" i="10"/>
  <c r="H150" i="10"/>
  <c r="H149" i="10"/>
  <c r="H146" i="10"/>
  <c r="H145" i="10"/>
  <c r="H144" i="10"/>
  <c r="H143" i="10"/>
  <c r="H140" i="10"/>
  <c r="H139" i="10"/>
  <c r="H138" i="10"/>
  <c r="H137" i="10"/>
  <c r="H122" i="10"/>
  <c r="H121" i="10"/>
  <c r="H120" i="10"/>
  <c r="H119" i="10"/>
  <c r="H116" i="10"/>
  <c r="H115" i="10"/>
  <c r="H114" i="10"/>
  <c r="H113" i="10"/>
  <c r="H110" i="10"/>
  <c r="H109" i="10"/>
  <c r="H108" i="10"/>
  <c r="H107" i="10"/>
  <c r="H104" i="10"/>
  <c r="H103" i="10"/>
  <c r="H102" i="10"/>
  <c r="H101" i="10"/>
  <c r="H86" i="10"/>
  <c r="H85" i="10"/>
  <c r="H84" i="10"/>
  <c r="H83" i="10"/>
  <c r="H80" i="10"/>
  <c r="H79" i="10"/>
  <c r="H78" i="10"/>
  <c r="H77" i="10"/>
  <c r="H62" i="10"/>
  <c r="H61" i="10"/>
  <c r="H60" i="10"/>
  <c r="H59" i="10"/>
  <c r="H56" i="10"/>
  <c r="H55" i="10"/>
  <c r="H54" i="10"/>
  <c r="H53" i="10"/>
  <c r="H38" i="10"/>
  <c r="H37" i="10"/>
  <c r="H36" i="10"/>
  <c r="H35" i="10"/>
  <c r="H32" i="10"/>
  <c r="H31" i="10"/>
  <c r="H30" i="10"/>
  <c r="H29" i="10"/>
  <c r="H14" i="10"/>
  <c r="H13" i="10"/>
  <c r="H12" i="10"/>
  <c r="H11" i="10"/>
  <c r="H8" i="10"/>
  <c r="H7" i="10"/>
  <c r="H6" i="10"/>
  <c r="I235" i="10"/>
  <c r="I236" i="10"/>
  <c r="I237" i="10"/>
  <c r="I238" i="10"/>
  <c r="I239" i="10"/>
  <c r="I240" i="10"/>
  <c r="I241" i="10"/>
  <c r="I242" i="10"/>
  <c r="I231" i="10"/>
  <c r="I232" i="10"/>
  <c r="I230" i="10"/>
  <c r="I229" i="10"/>
  <c r="I228" i="10"/>
  <c r="I227" i="10"/>
  <c r="I226" i="10"/>
  <c r="I225" i="10"/>
  <c r="I215" i="10"/>
  <c r="I216" i="10"/>
  <c r="I217" i="10"/>
  <c r="I218" i="10"/>
  <c r="I219" i="10"/>
  <c r="I220" i="10"/>
  <c r="I221" i="10"/>
  <c r="I222" i="10"/>
  <c r="I212" i="10"/>
  <c r="I211" i="10"/>
  <c r="I210" i="10"/>
  <c r="I209" i="10"/>
  <c r="I208" i="10"/>
  <c r="I206" i="10"/>
  <c r="I207" i="10"/>
  <c r="I205" i="10"/>
  <c r="I195" i="10"/>
  <c r="I196" i="10"/>
  <c r="I197" i="10"/>
  <c r="I198" i="10"/>
  <c r="I199" i="10"/>
  <c r="I200" i="10"/>
  <c r="I201" i="10"/>
  <c r="I202" i="10"/>
  <c r="I192" i="10"/>
  <c r="I190" i="10"/>
  <c r="I187" i="10"/>
  <c r="I188" i="10"/>
  <c r="I186" i="10"/>
  <c r="I185" i="10"/>
  <c r="I191" i="10"/>
  <c r="I189" i="10"/>
  <c r="I68" i="10"/>
  <c r="I67" i="10"/>
  <c r="I66" i="10"/>
  <c r="I65" i="10"/>
  <c r="I47" i="10"/>
  <c r="I48" i="10"/>
  <c r="I49" i="10"/>
  <c r="I50" i="10"/>
  <c r="I44" i="10"/>
  <c r="I43" i="10"/>
  <c r="I42" i="10"/>
  <c r="I41" i="10"/>
  <c r="I23" i="10"/>
  <c r="I24" i="10"/>
  <c r="I25" i="10"/>
  <c r="I26" i="10"/>
  <c r="I20" i="10"/>
  <c r="I19" i="10"/>
  <c r="I18" i="10"/>
  <c r="I17" i="10"/>
  <c r="I131" i="10"/>
  <c r="I132" i="10"/>
  <c r="I133" i="10"/>
  <c r="I134" i="10"/>
  <c r="I128" i="10"/>
  <c r="I127" i="10"/>
  <c r="I126" i="10"/>
  <c r="I125" i="10"/>
  <c r="I179" i="10"/>
  <c r="I180" i="10"/>
  <c r="I181" i="10"/>
  <c r="I182" i="10"/>
  <c r="I176" i="10"/>
  <c r="I175" i="10"/>
  <c r="I174" i="10"/>
  <c r="I173" i="10"/>
  <c r="I167" i="10"/>
  <c r="I168" i="10"/>
  <c r="I169" i="10"/>
  <c r="I170" i="10"/>
  <c r="I164" i="10"/>
  <c r="I163" i="10"/>
  <c r="I162" i="10"/>
  <c r="I161" i="10"/>
  <c r="I155" i="10"/>
  <c r="I156" i="10"/>
  <c r="I157" i="10"/>
  <c r="I158" i="10"/>
  <c r="I152" i="10"/>
  <c r="I151" i="10"/>
  <c r="I150" i="10"/>
  <c r="I149" i="10"/>
  <c r="I143" i="10"/>
  <c r="I144" i="10"/>
  <c r="I145" i="10"/>
  <c r="I146" i="10"/>
  <c r="I137" i="10"/>
  <c r="I138" i="10"/>
  <c r="I139" i="10"/>
  <c r="I140" i="10"/>
  <c r="I119" i="10"/>
  <c r="I120" i="10"/>
  <c r="I121" i="10"/>
  <c r="I122" i="10"/>
  <c r="I116" i="10"/>
  <c r="I115" i="10"/>
  <c r="I114" i="10"/>
  <c r="I113" i="10"/>
  <c r="I107" i="10"/>
  <c r="I108" i="10"/>
  <c r="I109" i="10"/>
  <c r="I110" i="10"/>
  <c r="I104" i="10"/>
  <c r="I103" i="10"/>
  <c r="I102" i="10"/>
  <c r="I101" i="10"/>
  <c r="I83" i="10"/>
  <c r="I84" i="10"/>
  <c r="I85" i="10"/>
  <c r="I86" i="10"/>
  <c r="I59" i="10"/>
  <c r="I60" i="10"/>
  <c r="I61" i="10"/>
  <c r="I62" i="10"/>
  <c r="I56" i="10"/>
  <c r="I55" i="10"/>
  <c r="I54" i="10"/>
  <c r="I53" i="10"/>
  <c r="I35" i="10"/>
  <c r="I36" i="10"/>
  <c r="I37" i="10"/>
  <c r="I38" i="10"/>
  <c r="I32" i="10"/>
  <c r="I31" i="10"/>
  <c r="I30" i="10"/>
  <c r="I29" i="10"/>
  <c r="I11" i="10"/>
  <c r="I12" i="10"/>
  <c r="I13" i="10"/>
  <c r="I14" i="10"/>
  <c r="I7" i="10"/>
  <c r="I8" i="10"/>
  <c r="I6" i="10"/>
  <c r="I5" i="10"/>
  <c r="G45" i="28"/>
  <c r="C42" i="28"/>
  <c r="C40" i="28"/>
  <c r="A40" i="28"/>
  <c r="A42" i="28" s="1"/>
  <c r="C38" i="28"/>
  <c r="C36" i="28"/>
  <c r="C34" i="28"/>
  <c r="C32" i="28"/>
  <c r="A32" i="28"/>
  <c r="A34" i="28" s="1"/>
  <c r="C30" i="28"/>
  <c r="C28" i="28"/>
  <c r="C26" i="28"/>
  <c r="C24" i="28"/>
  <c r="A24" i="28"/>
  <c r="A26" i="28" s="1"/>
  <c r="C22" i="28"/>
  <c r="C20" i="28"/>
  <c r="I55" i="22" l="1"/>
  <c r="F58" i="22"/>
  <c r="I60" i="22"/>
  <c r="H186" i="10"/>
  <c r="H185" i="10"/>
  <c r="H5" i="10"/>
  <c r="H1" i="10"/>
  <c r="F10" i="19"/>
  <c r="H10" i="19"/>
  <c r="F11" i="19"/>
  <c r="H11" i="19"/>
  <c r="F12" i="19"/>
  <c r="H12" i="19"/>
  <c r="F13" i="19"/>
  <c r="H13" i="19"/>
  <c r="F14" i="19"/>
  <c r="H14" i="19"/>
  <c r="F15" i="19"/>
  <c r="H15" i="19"/>
  <c r="F16" i="19"/>
  <c r="H16" i="19"/>
  <c r="F17" i="19"/>
  <c r="H17" i="19"/>
  <c r="F18" i="19"/>
  <c r="H18" i="19"/>
  <c r="F19" i="19"/>
  <c r="H19" i="19"/>
  <c r="F20" i="19"/>
  <c r="H20" i="19"/>
  <c r="F21" i="19"/>
  <c r="H21" i="19"/>
  <c r="F22" i="19"/>
  <c r="H22" i="19"/>
  <c r="F23" i="19"/>
  <c r="H23" i="19"/>
  <c r="F24" i="19"/>
  <c r="H24" i="19"/>
  <c r="F25" i="19"/>
  <c r="H25" i="19"/>
  <c r="F26" i="19"/>
  <c r="H26" i="19"/>
  <c r="F27" i="19"/>
  <c r="H27" i="19"/>
  <c r="F28" i="19"/>
  <c r="H28" i="19"/>
  <c r="F29" i="19"/>
  <c r="H29" i="19"/>
  <c r="F30" i="19"/>
  <c r="H30" i="19"/>
  <c r="F31" i="19"/>
  <c r="H31" i="19"/>
  <c r="F32" i="19"/>
  <c r="H32" i="19"/>
  <c r="F33" i="19"/>
  <c r="H33" i="19"/>
  <c r="F34" i="19"/>
  <c r="H34" i="19"/>
  <c r="F35" i="19"/>
  <c r="H35" i="19"/>
  <c r="F36" i="19"/>
  <c r="H36" i="19"/>
  <c r="F37" i="19"/>
  <c r="H37" i="19"/>
  <c r="F38" i="19"/>
  <c r="H38" i="19"/>
  <c r="F39" i="19"/>
  <c r="H39" i="19"/>
  <c r="F40" i="19"/>
  <c r="H40" i="19"/>
  <c r="F41" i="19"/>
  <c r="H41" i="19"/>
  <c r="F42" i="19"/>
  <c r="H42" i="19"/>
  <c r="F43" i="19"/>
  <c r="H43" i="19"/>
  <c r="F44" i="19"/>
  <c r="H44" i="19"/>
  <c r="F45" i="19"/>
  <c r="H45" i="19"/>
  <c r="F46" i="19"/>
  <c r="H46" i="19"/>
  <c r="F47" i="19"/>
  <c r="H47" i="19"/>
  <c r="F48" i="19"/>
  <c r="H48" i="19"/>
  <c r="F49" i="19"/>
  <c r="H49" i="19"/>
  <c r="F50" i="19"/>
  <c r="H50" i="19"/>
  <c r="F51" i="19"/>
  <c r="H51" i="19"/>
  <c r="F52" i="19"/>
  <c r="H52" i="19"/>
  <c r="F53" i="19"/>
  <c r="H53" i="19"/>
  <c r="F54" i="19"/>
  <c r="H54" i="19"/>
  <c r="F55" i="19"/>
  <c r="H55" i="19"/>
  <c r="F56" i="19"/>
  <c r="H56" i="19"/>
  <c r="F57" i="19"/>
  <c r="H57" i="19"/>
  <c r="F58" i="19"/>
  <c r="H58" i="19"/>
  <c r="G31" i="19"/>
  <c r="G32" i="19"/>
  <c r="G24" i="19"/>
  <c r="G25" i="19"/>
  <c r="G26" i="19"/>
  <c r="G27" i="19"/>
  <c r="G28" i="19"/>
  <c r="G29" i="19"/>
  <c r="K6" i="19"/>
  <c r="D6" i="19"/>
  <c r="E9" i="19"/>
  <c r="H9" i="19"/>
  <c r="B9" i="19"/>
  <c r="D5" i="19"/>
  <c r="D4" i="19"/>
  <c r="I62" i="22" l="1"/>
  <c r="A19" i="20"/>
  <c r="E19" i="20"/>
  <c r="E10" i="20"/>
  <c r="A10" i="20"/>
  <c r="E1" i="20"/>
  <c r="G21" i="20"/>
  <c r="G22" i="20" s="1"/>
  <c r="G23" i="20" s="1"/>
  <c r="G24" i="20" s="1"/>
  <c r="G25" i="20" s="1"/>
  <c r="G26" i="20" s="1"/>
  <c r="E21" i="20"/>
  <c r="E22" i="20" s="1"/>
  <c r="E23" i="20" s="1"/>
  <c r="E24" i="20" s="1"/>
  <c r="E25" i="20" s="1"/>
  <c r="E26" i="20" s="1"/>
  <c r="E27" i="20" s="1"/>
  <c r="G12" i="20"/>
  <c r="G13" i="20" s="1"/>
  <c r="G14" i="20" s="1"/>
  <c r="G15" i="20" s="1"/>
  <c r="G16" i="20" s="1"/>
  <c r="G17" i="20" s="1"/>
  <c r="E12" i="20"/>
  <c r="E13" i="20" s="1"/>
  <c r="E14" i="20" s="1"/>
  <c r="E15" i="20" s="1"/>
  <c r="E16" i="20" s="1"/>
  <c r="E17" i="20" s="1"/>
  <c r="E3" i="20"/>
  <c r="E4" i="20" s="1"/>
  <c r="E5" i="20" s="1"/>
  <c r="E6" i="20" s="1"/>
  <c r="E7" i="20" s="1"/>
  <c r="E8" i="20" s="1"/>
  <c r="E9" i="20" s="1"/>
  <c r="G2" i="20"/>
  <c r="G3" i="20" s="1"/>
  <c r="G4" i="20" s="1"/>
  <c r="G5" i="20" s="1"/>
  <c r="G6" i="20" s="1"/>
  <c r="G7" i="20" s="1"/>
  <c r="G8" i="20" s="1"/>
  <c r="C2" i="20"/>
  <c r="C3" i="20" s="1"/>
  <c r="C4" i="20" s="1"/>
  <c r="C5" i="20" s="1"/>
  <c r="C6" i="20" s="1"/>
  <c r="C7" i="20" s="1"/>
  <c r="C8" i="20" s="1"/>
  <c r="C12" i="20" s="1"/>
  <c r="C13" i="20" s="1"/>
  <c r="C14" i="20" s="1"/>
  <c r="C15" i="20" s="1"/>
  <c r="C16" i="20" s="1"/>
  <c r="C17" i="20" s="1"/>
  <c r="C21" i="20"/>
  <c r="C22" i="20" s="1"/>
  <c r="C23" i="20" s="1"/>
  <c r="C24" i="20" s="1"/>
  <c r="C25" i="20" s="1"/>
  <c r="C26" i="20" s="1"/>
  <c r="A21" i="20"/>
  <c r="A22" i="20" s="1"/>
  <c r="A23" i="20" s="1"/>
  <c r="A24" i="20" s="1"/>
  <c r="A25" i="20" s="1"/>
  <c r="A26" i="20" s="1"/>
  <c r="A27" i="20" s="1"/>
  <c r="A3" i="20"/>
  <c r="A4" i="20" s="1"/>
  <c r="A5" i="20" s="1"/>
  <c r="A6" i="20" s="1"/>
  <c r="A7" i="20" s="1"/>
  <c r="A8" i="20" s="1"/>
  <c r="A9" i="20" s="1"/>
  <c r="A12" i="20" s="1"/>
  <c r="A13" i="20" s="1"/>
  <c r="A14" i="20" s="1"/>
  <c r="A15" i="20" s="1"/>
  <c r="A16" i="20" s="1"/>
  <c r="A17" i="20" s="1"/>
  <c r="F9" i="19" l="1"/>
  <c r="G58" i="19" l="1"/>
  <c r="G57" i="19"/>
  <c r="G56" i="19"/>
  <c r="G55" i="19"/>
  <c r="G54" i="19"/>
  <c r="G53" i="19"/>
  <c r="G52" i="19"/>
  <c r="G51" i="19"/>
  <c r="G50" i="19"/>
  <c r="G49" i="19"/>
  <c r="G48" i="19"/>
  <c r="G47" i="19"/>
  <c r="G46" i="19"/>
  <c r="G45" i="19"/>
  <c r="G44" i="19"/>
  <c r="G43" i="19"/>
  <c r="G42" i="19"/>
  <c r="G41" i="19"/>
  <c r="G40" i="19"/>
  <c r="G39" i="19"/>
  <c r="G38" i="19"/>
  <c r="G37" i="19"/>
  <c r="G36" i="19"/>
  <c r="G35" i="19"/>
  <c r="G34" i="19"/>
  <c r="G33" i="19"/>
  <c r="G30" i="19"/>
  <c r="G23" i="19"/>
  <c r="G22" i="19"/>
  <c r="G21" i="19"/>
  <c r="G20" i="19"/>
  <c r="G19" i="19"/>
  <c r="G18" i="19"/>
  <c r="G17" i="19"/>
  <c r="G16" i="19"/>
  <c r="G15" i="19"/>
  <c r="G14" i="19"/>
  <c r="G13" i="19"/>
  <c r="G12" i="19"/>
  <c r="G11" i="19"/>
  <c r="G9" i="19"/>
  <c r="G10" i="19"/>
  <c r="I10" i="19" l="1"/>
  <c r="I9" i="19"/>
  <c r="I11" i="19" l="1"/>
  <c r="I12" i="19" l="1"/>
  <c r="I13" i="19" l="1"/>
  <c r="I14" i="19" l="1"/>
  <c r="I15" i="19" l="1"/>
  <c r="I16" i="19" l="1"/>
  <c r="I17" i="19" l="1"/>
  <c r="I18" i="19" l="1"/>
  <c r="I19" i="19" l="1"/>
  <c r="I20" i="19" l="1"/>
  <c r="I21" i="19" l="1"/>
  <c r="I22" i="19" l="1"/>
  <c r="I23" i="19" l="1"/>
  <c r="I24" i="19" l="1"/>
  <c r="I25" i="19" l="1"/>
  <c r="I26" i="19" l="1"/>
  <c r="I27" i="19" l="1"/>
  <c r="I28" i="19" l="1"/>
  <c r="I29" i="19" l="1"/>
  <c r="I30" i="19" l="1"/>
  <c r="I31" i="19" l="1"/>
  <c r="I32" i="19"/>
  <c r="I33" i="19" l="1"/>
  <c r="I34" i="19" l="1"/>
  <c r="I35" i="19" l="1"/>
  <c r="I36" i="19" l="1"/>
  <c r="I37" i="19" l="1"/>
  <c r="I38" i="19" l="1"/>
  <c r="I39" i="19" l="1"/>
  <c r="I40" i="19" l="1"/>
  <c r="I41" i="19" l="1"/>
  <c r="I42" i="19" l="1"/>
  <c r="I43" i="19" l="1"/>
  <c r="I44" i="19" l="1"/>
  <c r="I45" i="19" l="1"/>
  <c r="I46" i="19" l="1"/>
  <c r="I47" i="19" l="1"/>
  <c r="I48" i="19" l="1"/>
  <c r="I49" i="19" l="1"/>
  <c r="I50" i="19" l="1"/>
  <c r="I51" i="19" l="1"/>
  <c r="I52" i="19" l="1"/>
  <c r="I53" i="19" l="1"/>
  <c r="I54" i="19" l="1"/>
  <c r="I55" i="19" l="1"/>
  <c r="I56" i="19" l="1"/>
  <c r="I57" i="19" l="1"/>
  <c r="I58" i="19" l="1"/>
  <c r="O111" i="22" l="1"/>
  <c r="O83" i="22"/>
  <c r="O85" i="22"/>
  <c r="O109" i="22" l="1"/>
  <c r="O112" i="22"/>
  <c r="O110" i="22"/>
  <c r="L77" i="22"/>
  <c r="O88" i="22"/>
  <c r="E66" i="22"/>
  <c r="H64" i="22" s="1"/>
  <c r="O87" i="22"/>
  <c r="O79" i="22" l="1"/>
  <c r="O84" i="22"/>
  <c r="O81" i="22"/>
  <c r="O86" i="22"/>
  <c r="O78" i="22"/>
  <c r="O82" i="22"/>
  <c r="O77" i="22"/>
  <c r="O80" i="22"/>
  <c r="I113" i="22" l="1"/>
  <c r="I114" i="22"/>
  <c r="I116" i="22"/>
  <c r="G113" i="22"/>
  <c r="G114" i="22"/>
  <c r="O114" i="22" l="1"/>
  <c r="G115" i="22"/>
  <c r="I115" i="22"/>
  <c r="G116" i="22"/>
  <c r="O116" i="22" s="1"/>
  <c r="H19" i="36"/>
  <c r="O113" i="22"/>
  <c r="O115" i="22" l="1"/>
  <c r="D45" i="36" l="1"/>
  <c r="H114" i="33" l="1"/>
  <c r="H115" i="33" s="1"/>
  <c r="H116" i="33" s="1"/>
  <c r="H118" i="33"/>
  <c r="H119" i="33" s="1"/>
  <c r="H120" i="33" s="1"/>
  <c r="H121" i="33" s="1"/>
  <c r="H122" i="33" s="1"/>
  <c r="M70" i="22" l="1"/>
  <c r="O70" i="22"/>
  <c r="K70" i="22"/>
  <c r="A71" i="22" l="1"/>
</calcChain>
</file>

<file path=xl/sharedStrings.xml><?xml version="1.0" encoding="utf-8"?>
<sst xmlns="http://schemas.openxmlformats.org/spreadsheetml/2006/main" count="8602" uniqueCount="2068">
  <si>
    <t>СПИСОК СУДЕЙ</t>
  </si>
  <si>
    <t>№ п/п</t>
  </si>
  <si>
    <t>Должность</t>
  </si>
  <si>
    <t>Фамилия, Имя, Отчество</t>
  </si>
  <si>
    <t>Кате- гория</t>
  </si>
  <si>
    <t>Город, клуб</t>
  </si>
  <si>
    <t>I</t>
  </si>
  <si>
    <t>Главный судья</t>
  </si>
  <si>
    <t>Главный секретарь</t>
  </si>
  <si>
    <t>Стартер</t>
  </si>
  <si>
    <t>Судья информатор</t>
  </si>
  <si>
    <t>Старший секундометрист</t>
  </si>
  <si>
    <t>Старший судья на финише</t>
  </si>
  <si>
    <t>Старший судья при участниках</t>
  </si>
  <si>
    <t>Старший судья на дистанции</t>
  </si>
  <si>
    <t>Секундометрист</t>
  </si>
  <si>
    <t>Разряд,
звание</t>
  </si>
  <si>
    <t>Команда</t>
  </si>
  <si>
    <t>Тренер</t>
  </si>
  <si>
    <t>Фамилия Имя</t>
  </si>
  <si>
    <t>II юн</t>
  </si>
  <si>
    <t>III юн</t>
  </si>
  <si>
    <t>лично</t>
  </si>
  <si>
    <t>II</t>
  </si>
  <si>
    <t>III</t>
  </si>
  <si>
    <t>б/р</t>
  </si>
  <si>
    <t>Место</t>
  </si>
  <si>
    <t>Результат</t>
  </si>
  <si>
    <t>Очки</t>
  </si>
  <si>
    <t>Предв.</t>
  </si>
  <si>
    <t>Финал</t>
  </si>
  <si>
    <t>ЗМС</t>
  </si>
  <si>
    <t>МСМК</t>
  </si>
  <si>
    <t>МС</t>
  </si>
  <si>
    <t>КМС</t>
  </si>
  <si>
    <t>I юн</t>
  </si>
  <si>
    <t>Зачеты</t>
  </si>
  <si>
    <t>Дорожка</t>
  </si>
  <si>
    <t>Плавание в ластах - 400 м (1460111811Я),  женщины</t>
  </si>
  <si>
    <t>Плавание в ластах - 50 м (1460081811Я),  женщины</t>
  </si>
  <si>
    <t>Разряд, звание</t>
  </si>
  <si>
    <t>Пол</t>
  </si>
  <si>
    <t>Ныряние</t>
  </si>
  <si>
    <t>Плавание в ластах</t>
  </si>
  <si>
    <t>Подводное плавание</t>
  </si>
  <si>
    <t>Классические ласты</t>
  </si>
  <si>
    <t>Эстафета</t>
  </si>
  <si>
    <t>25м</t>
  </si>
  <si>
    <t>50м</t>
  </si>
  <si>
    <t>100м</t>
  </si>
  <si>
    <t>200м</t>
  </si>
  <si>
    <t>400м</t>
  </si>
  <si>
    <t>800м</t>
  </si>
  <si>
    <t>1500м</t>
  </si>
  <si>
    <t>4х100м</t>
  </si>
  <si>
    <t>4х200м</t>
  </si>
  <si>
    <t>ТЕХНИЧЕСКАЯ ЗАЯВКА</t>
  </si>
  <si>
    <t>Сборной команды</t>
  </si>
  <si>
    <t>Краткое название</t>
  </si>
  <si>
    <t>на участие в соревнованиях</t>
  </si>
  <si>
    <t>Лично</t>
  </si>
  <si>
    <t>Итого дистанций:</t>
  </si>
  <si>
    <t>Тренер-представитель</t>
  </si>
  <si>
    <t>ПОРЯДОК ЗАПОЛНЕНИЯ</t>
  </si>
  <si>
    <t>При заполнении технической заявки автоматически будет заполняться Именная заявка. Будьте внимательны!</t>
  </si>
  <si>
    <t>2. Если не хватает строк у девушек или у юношей - выделить одну или несколько строк, в середине списка девушек или юношей, полностью, правая кнопка мыши- Вставить. После этого выделить ячейку со значением № п/п больше 1, установить курсор мыши на маленький черный квадратик в правом нижнем углу, выделенной ячейки, нажать левую кнопку мыши и потянуть вниз через пустые строки - нумерация должна продолжиться</t>
  </si>
  <si>
    <t>3. Аналогичные действия произвести для стобцов Команда и Пол</t>
  </si>
  <si>
    <t>4. Лишнее (например данный текст) удаляется тоже  путем выделения строк, правая кнопка мыши - Удалить</t>
  </si>
  <si>
    <t>мужчины</t>
  </si>
  <si>
    <t>женщины</t>
  </si>
  <si>
    <t>На участие в соревнованиях</t>
  </si>
  <si>
    <t>подпись</t>
  </si>
  <si>
    <t>расшифровка подписи</t>
  </si>
  <si>
    <t>чел.</t>
  </si>
  <si>
    <t>Дистанции женщины, мужчины (18 лет и старше)</t>
  </si>
  <si>
    <t>г. рождения и старше</t>
  </si>
  <si>
    <t>Плавание в ластах - 50 м (1460081811Я),  мужчины</t>
  </si>
  <si>
    <t>Плавание в ластах - 100 м (1460091811Я),  женщины</t>
  </si>
  <si>
    <t>Плавание в ластах - 100 м (1460091811Я),  мужчины</t>
  </si>
  <si>
    <t>Плавание в ластах - 200 м (1460101811Я),  женщины</t>
  </si>
  <si>
    <t>Плавание в ластах - 200 м (1460101811Я),  мужчины</t>
  </si>
  <si>
    <t>Плавание в ластах - 400 м (1460111811Я),  мужчины</t>
  </si>
  <si>
    <t>Плавание в ластах - 800 м (1460121811Я),  женщины</t>
  </si>
  <si>
    <t>Плавание в ластах - 800 м (1460121811Я),  мужчины</t>
  </si>
  <si>
    <t>Плавание в ластах - 1500 м (1460131811Я),  женщины</t>
  </si>
  <si>
    <t>Плавание в ластах - 1500 м (1460131811Я),  мужчины</t>
  </si>
  <si>
    <t>Подводное плавание - 100 м (1460141811Я),  женщины</t>
  </si>
  <si>
    <t>Подводное плавание - 100 м (1460141811Я),  мужчины</t>
  </si>
  <si>
    <t>Подводное плавание - 400 м (1460151811Я),  женщины</t>
  </si>
  <si>
    <t>Подводное плавание - 400 м (1460151811Я),  мужчины</t>
  </si>
  <si>
    <t>Подводное плавание - 800 м (1460161811Я),  женщины</t>
  </si>
  <si>
    <t>Подводное плавание - 800 м (1460161811Я),  мужчины</t>
  </si>
  <si>
    <t>Ныряние в ластах в длину - 25 м,  женщины</t>
  </si>
  <si>
    <t>Ныряние в ластах в длину - 25 м,  мужчины</t>
  </si>
  <si>
    <t>Ныряние в ластах в длину - 50 м (1460171811Я),  женщины</t>
  </si>
  <si>
    <t>Ныряние в ластах в длину - 50 м (1460171811Я),  мужчины</t>
  </si>
  <si>
    <t>Плавание в классических ластах- 50 м (1460241811Я),  женщины</t>
  </si>
  <si>
    <t>Плавание в классических ластах- 50 м (1460241811Я),  мужчины</t>
  </si>
  <si>
    <t>Плавание в классических ластах- 100 м (1460251811Я),  женщины</t>
  </si>
  <si>
    <t>Плавание в классических ластах- 100 м (1460251811Я),  мужчины</t>
  </si>
  <si>
    <t>Плавание в классических ластах- 200 м (1460261811Я),  женщины</t>
  </si>
  <si>
    <t>Плавание в классических ластах- 200 м (1460261811Я),  мужчины</t>
  </si>
  <si>
    <t>Плавание в ластах - эстафета 4х50 м (1460171811Я), женщины</t>
  </si>
  <si>
    <t>Плавание в ластах - эстафета 4х50 м (1460171811Я), мужчины</t>
  </si>
  <si>
    <t>Плавание в ластах - эстафета 4х100 м (1460181811Я), женщины</t>
  </si>
  <si>
    <t>Плавание в ластах - эстафета 4х100 м (1460181811Я), мужчины</t>
  </si>
  <si>
    <t>Плавание в ластах - эстафета 4х200 м (1460191811Я), женщины</t>
  </si>
  <si>
    <t>Плавание в ластах - эстафета 4х200 м (1460191811Я), мужчины</t>
  </si>
  <si>
    <t>Марафонский заплыв в ластах-эстафета 4х2 км - смешанная (1460221811Я)</t>
  </si>
  <si>
    <t>Дистанция</t>
  </si>
  <si>
    <t>Юниоры (16-17 лет )</t>
  </si>
  <si>
    <t>Взрослые (18 лет и старше )</t>
  </si>
  <si>
    <t>Девушки</t>
  </si>
  <si>
    <t>Юноши</t>
  </si>
  <si>
    <t>Женщины</t>
  </si>
  <si>
    <t>Мужчины</t>
  </si>
  <si>
    <t>50 м</t>
  </si>
  <si>
    <t>100 м</t>
  </si>
  <si>
    <t>200 м</t>
  </si>
  <si>
    <t>400 м</t>
  </si>
  <si>
    <t>800 м</t>
  </si>
  <si>
    <t>1500 м</t>
  </si>
  <si>
    <t>25 м</t>
  </si>
  <si>
    <t>Плавание в классических ластах</t>
  </si>
  <si>
    <t>Эстафетное плавание</t>
  </si>
  <si>
    <t>4х50 м</t>
  </si>
  <si>
    <t>4х100 м</t>
  </si>
  <si>
    <t>4х200 м</t>
  </si>
  <si>
    <t>Младшие юноши (13 лет и младше)</t>
  </si>
  <si>
    <t>Старшие юноши (14-15 лет)</t>
  </si>
  <si>
    <t>Девочки</t>
  </si>
  <si>
    <t>Мальчики</t>
  </si>
  <si>
    <t>Едини-цы измере-ния</t>
  </si>
  <si>
    <t>Спортивные разряды</t>
  </si>
  <si>
    <t>Юношеские спортивные разряды</t>
  </si>
  <si>
    <t xml:space="preserve">I </t>
  </si>
  <si>
    <t xml:space="preserve">II </t>
  </si>
  <si>
    <t xml:space="preserve">III </t>
  </si>
  <si>
    <t>Плавание в ластах - 50 м</t>
  </si>
  <si>
    <t>00:24,0</t>
  </si>
  <si>
    <t>00:27,4</t>
  </si>
  <si>
    <t>00:26,2</t>
  </si>
  <si>
    <t>00:30,0</t>
  </si>
  <si>
    <t>00:28,4</t>
  </si>
  <si>
    <t>00:32,4</t>
  </si>
  <si>
    <t xml:space="preserve">Плавание в ластах - 100 м </t>
  </si>
  <si>
    <t>00:54,6</t>
  </si>
  <si>
    <t>00:59,6</t>
  </si>
  <si>
    <t>01:04,6</t>
  </si>
  <si>
    <t xml:space="preserve">Плавание в ластах - 200 м </t>
  </si>
  <si>
    <t>02:07,5</t>
  </si>
  <si>
    <t>02:19,3</t>
  </si>
  <si>
    <t>02:31,0</t>
  </si>
  <si>
    <t xml:space="preserve">Плавание в ластах - 400 м </t>
  </si>
  <si>
    <t>04:41,7</t>
  </si>
  <si>
    <t>05:07,6</t>
  </si>
  <si>
    <t>05:33,5</t>
  </si>
  <si>
    <t xml:space="preserve">Плавание в ластах - 800 м </t>
  </si>
  <si>
    <t>00:50,2</t>
  </si>
  <si>
    <t>00:55,0</t>
  </si>
  <si>
    <t>00:54,8</t>
  </si>
  <si>
    <t>01:00,0</t>
  </si>
  <si>
    <t>00:59,4</t>
  </si>
  <si>
    <t>01:05,2</t>
  </si>
  <si>
    <t xml:space="preserve">Ныряние в ластах в длину - 50 м </t>
  </si>
  <si>
    <t>Плавание в классических ластах - 50 м</t>
  </si>
  <si>
    <t>Дайвинг - полоса препятствий</t>
  </si>
  <si>
    <t>Иные условия</t>
  </si>
  <si>
    <t>Сокращения, используемые в настоящих нормах, требованиях и условиях их выполнения по виду спорта «подводный спорт»:</t>
  </si>
  <si>
    <t>МСМК - спортивное звание мастер спорта России международного класса;</t>
  </si>
  <si>
    <t>МС - спортивное звание мастер спорта России;</t>
  </si>
  <si>
    <t>КМС - спортивный разряд кандидат в мастера спорта;</t>
  </si>
  <si>
    <t>Фамилия_1 Имя Отчество</t>
  </si>
  <si>
    <t>Фамилия_2 Имя Отчество</t>
  </si>
  <si>
    <t>Фамилия_3 Имя Отчество</t>
  </si>
  <si>
    <t>Зачетов</t>
  </si>
  <si>
    <t>Состав команды:</t>
  </si>
  <si>
    <t>женщин</t>
  </si>
  <si>
    <t>мужчин</t>
  </si>
  <si>
    <t>в  зачет</t>
  </si>
  <si>
    <t>Год рожд.</t>
  </si>
  <si>
    <t>выступают за команду женщины</t>
  </si>
  <si>
    <t>выступают за команду мужчины</t>
  </si>
  <si>
    <t>Заполни полное и краткое название клуба. Краткое название автоматически проставляется у каждого участника</t>
  </si>
  <si>
    <t>Перед началом работы очистите шаблон от ненужных результатов. Не очищать столбцы Команда, Пол, Тренер, Зачетов, Лично</t>
  </si>
  <si>
    <t>5. Если  участник плывет дистанцию лично - столбце Зачет для этой дистанции  - ставится буква Л, если вне конкурса - буква В. Ячейки окрасятся в желтый и синий цвет соответственно.</t>
  </si>
  <si>
    <t>Например, для ввода 16,56 - нужно набрать 16,56, для ввода 1.34,60 - нужно набрать 134,6, для ввода 15.28,00 - достаточно 1528, для ввода 1:23.15,56 - 12315,56</t>
  </si>
  <si>
    <t>Спортсменам, выступающим в эстафете, проставляется предварительное время команды и номер этапа</t>
  </si>
  <si>
    <t>Разряды  и звания   проставляются в соответствии с  ЕВСК</t>
  </si>
  <si>
    <t>Для распечатки, можно скрыть столбцы Звание, Название клуба, Пол, Тренер, выделить необходимые ячейки. В диалоге Печать  выбрать Вывод  на печать  - Выделенный диапазон</t>
  </si>
  <si>
    <t>Возраст, лет</t>
  </si>
  <si>
    <t>от</t>
  </si>
  <si>
    <t>до</t>
  </si>
  <si>
    <t>НЕ ИЗМЕНЯТЬ!!! Служебные поля, заполняются организаторами соревнований</t>
  </si>
  <si>
    <t xml:space="preserve">Ограничения по разрядам </t>
  </si>
  <si>
    <t>Настройки:</t>
  </si>
  <si>
    <t>1. Ввести название соревнований и дату проведения.</t>
  </si>
  <si>
    <t>3. Ограничения по разрядам (недопускаемые разряды просто удаляются)</t>
  </si>
  <si>
    <t>Следует иметь ввиду, что расчет возраста ведется от текущей даты, установленной на компьютере. Это необходимо учитывать, если соревнования будут проходить в следующем году.</t>
  </si>
  <si>
    <t xml:space="preserve">2. Ввести возраст  от и до количества лет (не годов рождения!!!)  участников соревнований. У участников, возраст которых не попадает в этот диапазон, года рождения будут высвечиваться на красном фоне. </t>
  </si>
  <si>
    <t>При сохранении заявки в названии файла указать Название команды и(или) Фамилию тренера</t>
  </si>
  <si>
    <t>09.05.12 Ярославль</t>
  </si>
  <si>
    <r>
      <t>09.05.12 Ярославль</t>
    </r>
    <r>
      <rPr>
        <b/>
        <i/>
        <sz val="7"/>
        <color theme="1"/>
        <rFont val="Times New Roman"/>
        <family val="1"/>
        <charset val="204"/>
      </rPr>
      <t xml:space="preserve"> </t>
    </r>
  </si>
  <si>
    <r>
      <t>10.05.12 Ярославль</t>
    </r>
    <r>
      <rPr>
        <b/>
        <i/>
        <sz val="7"/>
        <color theme="1"/>
        <rFont val="Times New Roman"/>
        <family val="1"/>
        <charset val="204"/>
      </rPr>
      <t xml:space="preserve"> </t>
    </r>
  </si>
  <si>
    <t>04.05.14 С-Петербург</t>
  </si>
  <si>
    <t>28.06.14 Ханья</t>
  </si>
  <si>
    <t>21.06.13 Челябинск</t>
  </si>
  <si>
    <t>21.07.04 Егер</t>
  </si>
  <si>
    <t>10.05.07 Пермь</t>
  </si>
  <si>
    <t>13.06.12 С-Петербург</t>
  </si>
  <si>
    <t xml:space="preserve">04.06.10 Пикалево </t>
  </si>
  <si>
    <t>23.07.04 Егер</t>
  </si>
  <si>
    <t>25.06.13 Челябинск</t>
  </si>
  <si>
    <t>30.07.10 Казань</t>
  </si>
  <si>
    <t>26.02.05 Кемерово</t>
  </si>
  <si>
    <t xml:space="preserve">16.07.12 Грац </t>
  </si>
  <si>
    <t>22.05.14 Челябинск</t>
  </si>
  <si>
    <t xml:space="preserve">22.05.14 Челябинск </t>
  </si>
  <si>
    <t xml:space="preserve">23.02.13 Бийск </t>
  </si>
  <si>
    <t>16.06.05 Москва</t>
  </si>
  <si>
    <t>09.08.13 Казань</t>
  </si>
  <si>
    <t xml:space="preserve">06.08.13 Казань </t>
  </si>
  <si>
    <t>18.07.12 Грац</t>
  </si>
  <si>
    <t xml:space="preserve">22.06.13 Челябинск </t>
  </si>
  <si>
    <t xml:space="preserve">10.07.13 Шецин </t>
  </si>
  <si>
    <t xml:space="preserve">16.12.09 С.Петербург </t>
  </si>
  <si>
    <t xml:space="preserve"> 26.10.14 Ольштен </t>
  </si>
  <si>
    <t xml:space="preserve">15.06.12 С-Петербург </t>
  </si>
  <si>
    <t>02.05.14 С-Петербург</t>
  </si>
  <si>
    <t>03.05.13 С-Петербург</t>
  </si>
  <si>
    <t>17.05.13 Ачинск</t>
  </si>
  <si>
    <t>03.05.14 С-Петербург</t>
  </si>
  <si>
    <t>02.05.13 С-Петербург</t>
  </si>
  <si>
    <t>18.05.13 Ачинск</t>
  </si>
  <si>
    <t>17.06.09 С-Петербург</t>
  </si>
  <si>
    <t>18.12.11 Новосибирск</t>
  </si>
  <si>
    <t>12.07.13 Шецин</t>
  </si>
  <si>
    <t>02.08.05 Островец</t>
  </si>
  <si>
    <t>04.08.05 Островец</t>
  </si>
  <si>
    <t>27.03.14 Челябинск</t>
  </si>
  <si>
    <t>05.04.11 Бийск</t>
  </si>
  <si>
    <t xml:space="preserve">02.05.13 С-Петербург </t>
  </si>
  <si>
    <t>06.05.11 Балаково</t>
  </si>
  <si>
    <t xml:space="preserve">08.12.12 Ачинск </t>
  </si>
  <si>
    <t>11.12.10 Новосибирск</t>
  </si>
  <si>
    <t xml:space="preserve">07.12.12 Ачинск </t>
  </si>
  <si>
    <t>04.05.13 С-Петербург</t>
  </si>
  <si>
    <t>09.01.01 Томск</t>
  </si>
  <si>
    <t>28.03.14 Челябинск</t>
  </si>
  <si>
    <t>08.04.10 Пермь</t>
  </si>
  <si>
    <t>Ж</t>
  </si>
  <si>
    <t>М</t>
  </si>
  <si>
    <t>Заплыв __________ дорожка_____</t>
  </si>
  <si>
    <t>Этап</t>
  </si>
  <si>
    <t>Дата рождения</t>
  </si>
  <si>
    <t>Тренеры:</t>
  </si>
  <si>
    <t>От команды</t>
  </si>
  <si>
    <t>Статус</t>
  </si>
  <si>
    <t>Допуск врача</t>
  </si>
  <si>
    <t>Судьи:</t>
  </si>
  <si>
    <t>Проводимых в</t>
  </si>
  <si>
    <t>в период</t>
  </si>
  <si>
    <t>Представитель команды</t>
  </si>
  <si>
    <t>Фамилия, имя, отчество участника</t>
  </si>
  <si>
    <t>ЗАЯВКА</t>
  </si>
  <si>
    <t>Председатель Федерации Подводного Спорта Региона</t>
  </si>
  <si>
    <t>Приложение № 2 
к Положению о межрегиональных и всероссийских официальных спортивных соревнованиях по подводному спорту</t>
  </si>
  <si>
    <t>г. Город, бассейн "ААА", 50 м</t>
  </si>
  <si>
    <t>Сроки проведения:</t>
  </si>
  <si>
    <t>Место проведения:</t>
  </si>
  <si>
    <t>Название Соревнований по подводному спорту (1460008511Я) (плавание в ластах)</t>
  </si>
  <si>
    <t>Полное Название команды, город (край, область и пр.)</t>
  </si>
  <si>
    <t>02-06 февраля 2015 г.</t>
  </si>
  <si>
    <t>Сокращенное название</t>
  </si>
  <si>
    <t>1. Верхние строки до жирной разделительной линии предназначены для женского пола, нижние для мужского</t>
  </si>
  <si>
    <t>6. В случае если участник моложе или старше годов рождения, указанных в Положении о соревнованиях, имеет подготовку ниже разряда указанного в Положении о соревнованиях - соответствующая ячейка выделяется красным цветом</t>
  </si>
  <si>
    <t>7. В случае превышения суммарного количества дистанций на одного участника, количества дистанций  в командном зачете - ячейки с количеством зачетов (или дистанций лично) выделяется красным цветом.</t>
  </si>
  <si>
    <t>8. В случае превышения суммарного количества участников, выступающих за команду  - ячейки с количеством выступающих за команду участников выделяются красным цветом.</t>
  </si>
  <si>
    <r>
      <rPr>
        <b/>
        <u/>
        <sz val="14"/>
        <color indexed="8"/>
        <rFont val="Times New Roman"/>
        <family val="1"/>
        <charset val="204"/>
      </rPr>
      <t xml:space="preserve">ВНИМАНИЕ!! </t>
    </r>
    <r>
      <rPr>
        <b/>
        <sz val="14"/>
        <color indexed="8"/>
        <rFont val="Times New Roman"/>
        <family val="1"/>
        <charset val="204"/>
      </rPr>
      <t xml:space="preserve">Предварительное время проставляется в формате </t>
    </r>
    <r>
      <rPr>
        <b/>
        <sz val="14"/>
        <color rgb="FFFF0000"/>
        <rFont val="Times New Roman"/>
        <family val="1"/>
        <charset val="204"/>
      </rPr>
      <t>ччммсс,дс</t>
    </r>
    <r>
      <rPr>
        <b/>
        <sz val="14"/>
        <color indexed="8"/>
        <rFont val="Times New Roman"/>
        <family val="1"/>
        <charset val="204"/>
      </rPr>
      <t xml:space="preserve">. Т.е. вводится только запятая перед десятыми. </t>
    </r>
  </si>
  <si>
    <r>
      <t xml:space="preserve">Незначащие нули вначале игнорируются. </t>
    </r>
    <r>
      <rPr>
        <b/>
        <sz val="14"/>
        <color rgb="FFFF0000"/>
        <rFont val="Times New Roman"/>
        <family val="1"/>
        <charset val="204"/>
      </rPr>
      <t>В случае неправильного ввода (ввод точек, лишних запятых, некорректных значений) ячейка выделяется красным цветом.</t>
    </r>
  </si>
  <si>
    <t>Министр спорта Региона (председатель спорткомитета, директор ДЮСТШ)</t>
  </si>
  <si>
    <t>Акватлон (борьба в ластах)  (1460281811Я), мужчины</t>
  </si>
  <si>
    <t>Марафонский заплыв в ластах 6 км (1460201811Я), женщины</t>
  </si>
  <si>
    <t>Марафонский заплыв в ластах 6 км (1460201811Я), мужчины</t>
  </si>
  <si>
    <r>
      <t>Апноэ – динамическое  (</t>
    </r>
    <r>
      <rPr>
        <b/>
        <u/>
        <sz val="11"/>
        <color theme="1"/>
        <rFont val="Times New Roman"/>
        <family val="1"/>
        <charset val="204"/>
      </rPr>
      <t>1460311811Л), мужчины</t>
    </r>
  </si>
  <si>
    <r>
      <t>Апноэ - динамическое в ластах (</t>
    </r>
    <r>
      <rPr>
        <b/>
        <u/>
        <sz val="11"/>
        <color theme="1"/>
        <rFont val="Times New Roman"/>
        <family val="1"/>
        <charset val="204"/>
      </rPr>
      <t>1460321811Л), мужчины</t>
    </r>
  </si>
  <si>
    <r>
      <t>Апноэ - скоростное 100 м (</t>
    </r>
    <r>
      <rPr>
        <b/>
        <u/>
        <sz val="11"/>
        <color theme="1"/>
        <rFont val="Times New Roman"/>
        <family val="1"/>
        <charset val="204"/>
      </rPr>
      <t>1460211811Л), мужчины</t>
    </r>
  </si>
  <si>
    <t>Апноэ – статическое (1460341811Л), мужчины</t>
  </si>
  <si>
    <t>Апноэ – квадрат (1460331811Л), мужчины</t>
  </si>
  <si>
    <t>Дайвинг - комбинированное плавание (1460271811Я), мужчины</t>
  </si>
  <si>
    <t>Дайвинг – ночной (1460351811Я), мужчины</t>
  </si>
  <si>
    <t>Дайвинг - подъем груза (1460361811Я), мужчины</t>
  </si>
  <si>
    <t>Дайвинг - полоса препятствий (1460301811Я), мужчины</t>
  </si>
  <si>
    <t>Подводная охота (1460231811Л), мужчины</t>
  </si>
  <si>
    <t>Подводное регби (1460292811Я), мужчины</t>
  </si>
  <si>
    <t>Акватлон (борьба в ластах)  (1460281811Я), женщины</t>
  </si>
  <si>
    <t>Апноэ – динамическое  (1460311811Л), женщины</t>
  </si>
  <si>
    <t>Апноэ - динамическое в ластах (1460321811Л), женщины</t>
  </si>
  <si>
    <t>Апноэ - скоростное 100 м (1460211811Л), женщины</t>
  </si>
  <si>
    <t>Апноэ – статическое (1460341811Л), женщины</t>
  </si>
  <si>
    <t>Апноэ – квадрат (1460331811Л), женщины</t>
  </si>
  <si>
    <t>Дайвинг - комбинированное плавание (1460271811Я), женщины</t>
  </si>
  <si>
    <t>Дайвинг – ночной (1460351811Я), женщины</t>
  </si>
  <si>
    <t>Дайвинг - подъем груза (1460361811Я), женщины</t>
  </si>
  <si>
    <t>Дайвинг - полоса препятствий (1460301811Я), женщины</t>
  </si>
  <si>
    <t>Подводная охота (1460231811Л), женщины</t>
  </si>
  <si>
    <t>Подводное регби (1460292811Я), женщины</t>
  </si>
  <si>
    <t>Ориентирование- упражнение  "звезда" (1460021811Я), мужчины</t>
  </si>
  <si>
    <t>Ориентирование- упражнение  "зоны" (1460011811Я), мужчины</t>
  </si>
  <si>
    <t>Ориентирование- упражнение "ориентиры" (1460041811Я), мужчины</t>
  </si>
  <si>
    <t>Ориентирование- упражнение "карта" (1460031811Л), мужчины</t>
  </si>
  <si>
    <t>Ориентирование-групповое упражнение (1460051811Я), мужчины</t>
  </si>
  <si>
    <t>Ориентирование-групповое упражнение "карта" (1460061811Л), мужчины</t>
  </si>
  <si>
    <t>Ориентирование-параллель (1460071811Я), мужчины</t>
  </si>
  <si>
    <t>Ориентирование- упражнение  "зоны" (1460011811Я), женщины</t>
  </si>
  <si>
    <t>Ориентирование- упражнение  "звезда" (1460021811Я), женщины</t>
  </si>
  <si>
    <t>Ориентирование- упражнение "карта" (1460031811Л), женщины</t>
  </si>
  <si>
    <t>Ориентирование- упражнение "ориентиры" (1460041811Я), женщины</t>
  </si>
  <si>
    <t>Ориентирование-групповое упражнение (1460051811Я), женщины</t>
  </si>
  <si>
    <t>Ориентирование-групповое упражнение "карта" (1460061811Л), женщины</t>
  </si>
  <si>
    <t>Ориентирование-параллель (1460071811Я), женщины</t>
  </si>
  <si>
    <t>Марафонский заплыв в ластах 12-20 км, женщины</t>
  </si>
  <si>
    <t>Марафонский заплыв в ластах 12-20 км, мужчины</t>
  </si>
  <si>
    <t>В зависимости от ранга соревнований и занятого места</t>
  </si>
  <si>
    <t>4. Выделяются строки (именно строки!!!) с 1 по 13 (окрашены синим цветом), нажимается правая кнопка мыши и выбирается "Скрыть". Сохранить файл  под нужным Вам названием. Для отображения настроек соревнований выделить строки (именно строки!!!) с 14 и вверх , нажать правую кнопку мыши  и выбрать " Отобразить" (или "Показать")</t>
  </si>
  <si>
    <t>финал</t>
  </si>
  <si>
    <t>предв.</t>
  </si>
  <si>
    <r>
      <t>Апноэ – динамическое  (</t>
    </r>
    <r>
      <rPr>
        <b/>
        <u/>
        <sz val="10"/>
        <color theme="1"/>
        <rFont val="Times New Roman"/>
        <family val="1"/>
        <charset val="204"/>
      </rPr>
      <t>1460311811Л), мужчины</t>
    </r>
  </si>
  <si>
    <r>
      <t>Апноэ - динамическое в ластах (</t>
    </r>
    <r>
      <rPr>
        <b/>
        <u/>
        <sz val="10"/>
        <color theme="1"/>
        <rFont val="Times New Roman"/>
        <family val="1"/>
        <charset val="204"/>
      </rPr>
      <t>1460321811Л), мужчины</t>
    </r>
  </si>
  <si>
    <r>
      <t>Апноэ - скоростное 100 м (</t>
    </r>
    <r>
      <rPr>
        <b/>
        <u/>
        <sz val="10"/>
        <color theme="1"/>
        <rFont val="Times New Roman"/>
        <family val="1"/>
        <charset val="204"/>
      </rPr>
      <t>1460211811Л), мужчины</t>
    </r>
  </si>
  <si>
    <t>Др. межд-ные</t>
  </si>
  <si>
    <t>Чемпионат России</t>
  </si>
  <si>
    <t>Финал Кубка России</t>
  </si>
  <si>
    <t>Первенство России</t>
  </si>
  <si>
    <t>Сор-ния ЕКП</t>
  </si>
  <si>
    <t>Чемпионат фед-го округа,гг. Москва, С-Петербург</t>
  </si>
  <si>
    <t>Чемпионат Субъекта</t>
  </si>
  <si>
    <t>Кубок Субъекта</t>
  </si>
  <si>
    <t>Официальные сор-ния Муниципального образования</t>
  </si>
  <si>
    <t>ОТЧЕТ</t>
  </si>
  <si>
    <t xml:space="preserve">          </t>
  </si>
  <si>
    <t xml:space="preserve">  </t>
  </si>
  <si>
    <t xml:space="preserve"> </t>
  </si>
  <si>
    <t>Команда (субъект РФ)</t>
  </si>
  <si>
    <t>Спортсмены</t>
  </si>
  <si>
    <t>Всего</t>
  </si>
  <si>
    <t xml:space="preserve"> Возрастные группы в соответствии  с ЕВСК</t>
  </si>
  <si>
    <t xml:space="preserve">Всего  </t>
  </si>
  <si>
    <t xml:space="preserve">Юноши </t>
  </si>
  <si>
    <t xml:space="preserve">ЗМС, МСМК </t>
  </si>
  <si>
    <t>Спортсмен</t>
  </si>
  <si>
    <t>золото</t>
  </si>
  <si>
    <t>серебро</t>
  </si>
  <si>
    <t>бронза</t>
  </si>
  <si>
    <t>Приложения.</t>
  </si>
  <si>
    <t xml:space="preserve"> «____» _____________ 2014  г.</t>
  </si>
  <si>
    <t xml:space="preserve">                              </t>
  </si>
  <si>
    <t>главной судейской коллегии</t>
  </si>
  <si>
    <t>Сроки проведения</t>
  </si>
  <si>
    <t xml:space="preserve">1. </t>
  </si>
  <si>
    <t xml:space="preserve">2. </t>
  </si>
  <si>
    <t xml:space="preserve">3. </t>
  </si>
  <si>
    <t>Всего участников соревнований</t>
  </si>
  <si>
    <r>
      <rPr>
        <sz val="14"/>
        <color theme="1"/>
        <rFont val="Times New Roman"/>
        <family val="1"/>
        <charset val="204"/>
      </rPr>
      <t>О проведении  первенства России по</t>
    </r>
    <r>
      <rPr>
        <sz val="12"/>
        <color theme="1"/>
        <rFont val="Times New Roman"/>
        <family val="1"/>
        <charset val="204"/>
      </rPr>
      <t/>
    </r>
  </si>
  <si>
    <t>, из</t>
  </si>
  <si>
    <t xml:space="preserve">4.   __________ , из  __________ </t>
  </si>
  <si>
    <t>Место проведения (субъект РФ, город)</t>
  </si>
  <si>
    <t>Наименование спортивного сооружения</t>
  </si>
  <si>
    <t>Спортсменов</t>
  </si>
  <si>
    <t>чел. , в том числе</t>
  </si>
  <si>
    <t>мужчин,</t>
  </si>
  <si>
    <t xml:space="preserve">Представителей, тренеров </t>
  </si>
  <si>
    <t xml:space="preserve">чел.  </t>
  </si>
  <si>
    <t>5.</t>
  </si>
  <si>
    <t>Количество судей (всего)</t>
  </si>
  <si>
    <t>чел., в том числе иногородних</t>
  </si>
  <si>
    <t>1 разряд</t>
  </si>
  <si>
    <t>2 разряд</t>
  </si>
  <si>
    <t>3 разряд</t>
  </si>
  <si>
    <t xml:space="preserve">1 юношеский разряд </t>
  </si>
  <si>
    <t>10.</t>
  </si>
  <si>
    <t>9.</t>
  </si>
  <si>
    <t>6.</t>
  </si>
  <si>
    <t>Состав участвующих команд (регионов), в том числе количество спортсменов, тренеров и другого обслуживающего персонала:</t>
  </si>
  <si>
    <t>Тренеры и др. обсл. персонал</t>
  </si>
  <si>
    <t>7.</t>
  </si>
  <si>
    <t>Уровень подготовки спортсменов:</t>
  </si>
  <si>
    <t>8.</t>
  </si>
  <si>
    <t>Представительство спортивных организаций:</t>
  </si>
  <si>
    <t>Вооруженные силы</t>
  </si>
  <si>
    <t>,  Минобрнауки России</t>
  </si>
  <si>
    <t>, «Динамо»</t>
  </si>
  <si>
    <t>,</t>
  </si>
  <si>
    <t>ФСО профсоюзов «Россия»</t>
  </si>
  <si>
    <t>, «Юность России»</t>
  </si>
  <si>
    <t>, РС СО «Спартак»</t>
  </si>
  <si>
    <t xml:space="preserve">, </t>
  </si>
  <si>
    <t xml:space="preserve">РФСО «Локомотив» </t>
  </si>
  <si>
    <t>, спортивные клубы (СК)</t>
  </si>
  <si>
    <t>,  РССС</t>
  </si>
  <si>
    <t>другие организации</t>
  </si>
  <si>
    <t>Принадлежность к спортивной школе:</t>
  </si>
  <si>
    <t>человек</t>
  </si>
  <si>
    <t>ДЮСШ</t>
  </si>
  <si>
    <t>, СДЮШОР</t>
  </si>
  <si>
    <t>, УОР</t>
  </si>
  <si>
    <t>, другие организации</t>
  </si>
  <si>
    <t>11.</t>
  </si>
  <si>
    <t>Выполнение (подтверждение) нормативов (количество показанных результатов):</t>
  </si>
  <si>
    <t>Результаты  соревнований:</t>
  </si>
  <si>
    <t>Занятые места</t>
  </si>
  <si>
    <t>12.</t>
  </si>
  <si>
    <t>Количество медалей</t>
  </si>
  <si>
    <t>13.</t>
  </si>
  <si>
    <t xml:space="preserve">Общая оценка состояния спортивной базы, наличие и состояние спортивного оборудования и инвентаря, возможности для разминки и тренировок: </t>
  </si>
  <si>
    <t>Количество субъектов Российской Федерации команд (перечислить территории согласно занятым местам):</t>
  </si>
  <si>
    <t>14.</t>
  </si>
  <si>
    <t>Общая оценка состояния и оснащения служебных помещений - раздевалок для спортсменов, помещений для судей и других служб:</t>
  </si>
  <si>
    <t>15.</t>
  </si>
  <si>
    <t>Информационное обеспечение соревнований - табло, радиоинформация, своевременность и доступность стартовых протоколов и результатов соревнований, обеспечение судейской коллегии средствами вычислительной техники и множительной аппаратурой:</t>
  </si>
  <si>
    <t xml:space="preserve">16. </t>
  </si>
  <si>
    <t xml:space="preserve">Обеспечение работы средств массовой информации - места на трибунах, помещение для пресс-центра и т.д., в том числе освещение соревнования в местных СМИ (копии публикаций в СМИ прилагаются): </t>
  </si>
  <si>
    <t>17.</t>
  </si>
  <si>
    <t>Количество зрителей_________________чел.</t>
  </si>
  <si>
    <t>18.</t>
  </si>
  <si>
    <t>Общая оценка качества проведения соревнований - точность соблюдения расписания, объективность судейства (с указанием нарушений правил соревнований и т.д.):</t>
  </si>
  <si>
    <t xml:space="preserve">Медицинское обеспечение соревнований, в том числе сведения о травмах и других несчастных случаях: </t>
  </si>
  <si>
    <t>19.</t>
  </si>
  <si>
    <t>20.</t>
  </si>
  <si>
    <t xml:space="preserve">Общая оценка качества размещения, питания, транспортного обслуживания, организации встреч и проводов спортивных делегаций, шефская работа и т.п.: </t>
  </si>
  <si>
    <t>21.</t>
  </si>
  <si>
    <t>Общая оценка соблюдения мер по обеспечению безопасности при проведении соревнования:</t>
  </si>
  <si>
    <t>22.</t>
  </si>
  <si>
    <t>Выводы и предложения (замечания) по подготовке и проведению соревнования:</t>
  </si>
  <si>
    <t xml:space="preserve"> 1.</t>
  </si>
  <si>
    <t>Полный состав судейской коллегии с указанием выполняемых на соревновании функций (судейская категория, субъект РФ, город).</t>
  </si>
  <si>
    <t xml:space="preserve">3.  </t>
  </si>
  <si>
    <t xml:space="preserve">Итоги командного первенства. </t>
  </si>
  <si>
    <t>4.</t>
  </si>
  <si>
    <t>Протоколы (результаты) соревнований, подписанные главным судьей и главным секретарем.</t>
  </si>
  <si>
    <t xml:space="preserve">(подпись) </t>
  </si>
  <si>
    <t>(расшифровка подписи)              печать</t>
  </si>
  <si>
    <t>(расшифровка подписи)</t>
  </si>
  <si>
    <t>6 км</t>
  </si>
  <si>
    <t xml:space="preserve">Уровень подготовки судей по судейским категориям: </t>
  </si>
  <si>
    <t>МК</t>
  </si>
  <si>
    <t>, ВК</t>
  </si>
  <si>
    <t>других категорий.</t>
  </si>
  <si>
    <t>Юниоры</t>
  </si>
  <si>
    <t>Юниорки</t>
  </si>
  <si>
    <t>, I кат.</t>
  </si>
  <si>
    <t>ЭСТАФЕТНАЯ КАРТОЧКА</t>
  </si>
  <si>
    <t>Вид дистанции</t>
  </si>
  <si>
    <t>Планируемый результат</t>
  </si>
  <si>
    <t>Разряд</t>
  </si>
  <si>
    <t>Заплыв</t>
  </si>
  <si>
    <t>результат</t>
  </si>
  <si>
    <t>Ст. секундометрист</t>
  </si>
  <si>
    <t>Время</t>
  </si>
  <si>
    <t>Яровицкая Вера</t>
  </si>
  <si>
    <t>Дианема</t>
  </si>
  <si>
    <t>Жаткина Анастасия</t>
  </si>
  <si>
    <t>Мельникова Елизавета</t>
  </si>
  <si>
    <t>Варламова Надежда</t>
  </si>
  <si>
    <t>Плотникова Полина</t>
  </si>
  <si>
    <t>Кочнева Валерия</t>
  </si>
  <si>
    <t>Тимофеева Маргарита</t>
  </si>
  <si>
    <t>23.04.99 Красноярск</t>
  </si>
  <si>
    <t>Коваль Никита</t>
  </si>
  <si>
    <t>Сухарева Алина</t>
  </si>
  <si>
    <t>Бабаев Федор</t>
  </si>
  <si>
    <t xml:space="preserve">Марченко Леонид </t>
  </si>
  <si>
    <t>Замятина Дарья</t>
  </si>
  <si>
    <t>Попов Вячеслав</t>
  </si>
  <si>
    <t>Горохова Кристина</t>
  </si>
  <si>
    <t>Пономарев Сергей</t>
  </si>
  <si>
    <t>Михневич Анатолий</t>
  </si>
  <si>
    <t>Логунов С.</t>
  </si>
  <si>
    <t>Одинокин Павел</t>
  </si>
  <si>
    <t>Кузнецова Аллена</t>
  </si>
  <si>
    <t>16.12.10 Красноярск</t>
  </si>
  <si>
    <t xml:space="preserve">27.11.13 Красноярск </t>
  </si>
  <si>
    <t>02.05.99 Красноярск</t>
  </si>
  <si>
    <t>Калинина Даяна</t>
  </si>
  <si>
    <t>Кузнецова Анна</t>
  </si>
  <si>
    <t>Соколов Владимир</t>
  </si>
  <si>
    <t>Минаев Семён</t>
  </si>
  <si>
    <t>Харина Анна</t>
  </si>
  <si>
    <t>Зыков Анатолий</t>
  </si>
  <si>
    <t xml:space="preserve">Мельникова Елизавета </t>
  </si>
  <si>
    <t>15.10.11 Красноярск</t>
  </si>
  <si>
    <t xml:space="preserve">14.03.13 Красноярск </t>
  </si>
  <si>
    <t xml:space="preserve">Кочнева Валерия </t>
  </si>
  <si>
    <t>05.10.10 Красноярск</t>
  </si>
  <si>
    <t>06.03.12 Красноярск</t>
  </si>
  <si>
    <t xml:space="preserve">Майстренко Дарья </t>
  </si>
  <si>
    <t xml:space="preserve">01.05.13 Красноярск </t>
  </si>
  <si>
    <t>Логунов Семён</t>
  </si>
  <si>
    <t>Логунов Семен</t>
  </si>
  <si>
    <t>Марковцова Алина</t>
  </si>
  <si>
    <t>27.11.13 Красноярск</t>
  </si>
  <si>
    <t>24.11.12 Красноярск</t>
  </si>
  <si>
    <t>Ямковая Дарья</t>
  </si>
  <si>
    <t>27.04.13 Красноярск</t>
  </si>
  <si>
    <t>11.04.09 Красноярск</t>
  </si>
  <si>
    <t>23.01.02 Красноярск</t>
  </si>
  <si>
    <t>04.04.13 Красноярск</t>
  </si>
  <si>
    <t>Аршанов Денис</t>
  </si>
  <si>
    <t>Пахомова Маргарита</t>
  </si>
  <si>
    <t xml:space="preserve">Ямковая Дарья </t>
  </si>
  <si>
    <t>06.04.00 Красноярск</t>
  </si>
  <si>
    <t>24.01.02 Красноярск</t>
  </si>
  <si>
    <t>05.03.04 Красноярск</t>
  </si>
  <si>
    <t>Евтушенко Евгений</t>
  </si>
  <si>
    <t>Кононова Елена</t>
  </si>
  <si>
    <t>07.05.03 Красноярск</t>
  </si>
  <si>
    <t>01.05.01 Красноярск</t>
  </si>
  <si>
    <t>03.03.04 Красноярск</t>
  </si>
  <si>
    <t>02.09.03 Чеджудо</t>
  </si>
  <si>
    <t>10.05.03 Красноярск</t>
  </si>
  <si>
    <t>17.12.11 Новосибирск</t>
  </si>
  <si>
    <t>19.06.09 С-Петербург</t>
  </si>
  <si>
    <t>Бабкина Марина</t>
  </si>
  <si>
    <t>18.03.11 Красноярск</t>
  </si>
  <si>
    <t xml:space="preserve">12.12.13 Красноярск </t>
  </si>
  <si>
    <r>
      <t xml:space="preserve">Рекорды Красноярского края по плаванию в ластах на 01.11.2014 </t>
    </r>
    <r>
      <rPr>
        <b/>
        <i/>
        <sz val="9"/>
        <color theme="1"/>
        <rFont val="Times New Roman"/>
        <family val="1"/>
        <charset val="204"/>
      </rPr>
      <t>(желтым - электроника)</t>
    </r>
  </si>
  <si>
    <t>Дроздов Михаил</t>
  </si>
  <si>
    <t>Пиляев Никита</t>
  </si>
  <si>
    <t>Чудинова Елена</t>
  </si>
  <si>
    <t>Чернецких И.</t>
  </si>
  <si>
    <t>13.12.12 Красноярск</t>
  </si>
  <si>
    <t>Марченко Леонид</t>
  </si>
  <si>
    <t>Прус Сергей</t>
  </si>
  <si>
    <t>Степанов Алексей</t>
  </si>
  <si>
    <t>Нуриев Ринат</t>
  </si>
  <si>
    <t>Зотов Константин</t>
  </si>
  <si>
    <t xml:space="preserve">Кондратьев Виктор </t>
  </si>
  <si>
    <t>15.04.11 Красноярск</t>
  </si>
  <si>
    <t xml:space="preserve"> 16.12.10 Красноярск</t>
  </si>
  <si>
    <t>Айтов Максим</t>
  </si>
  <si>
    <t xml:space="preserve">Кононова Елена </t>
  </si>
  <si>
    <t xml:space="preserve">Бабкина Марина </t>
  </si>
  <si>
    <t xml:space="preserve">Попов Вячеслав </t>
  </si>
  <si>
    <t>17.12.10 Красноярск</t>
  </si>
  <si>
    <t>30.04.16   Санкт-Петербург</t>
  </si>
  <si>
    <t>01.05.16   Санкт-Петербург</t>
  </si>
  <si>
    <t>03.05.16   Санкт-Петербург</t>
  </si>
  <si>
    <t>02.05.16   Санкт-Петербург</t>
  </si>
  <si>
    <t>25.11.15   Красноярск</t>
  </si>
  <si>
    <t>Волков Сергей</t>
  </si>
  <si>
    <t>22.11.14  Красноярск</t>
  </si>
  <si>
    <t>Дроздов михаил</t>
  </si>
  <si>
    <t>22.11.15 Новосибирск</t>
  </si>
  <si>
    <t>03.07.15 Белград</t>
  </si>
  <si>
    <t>Бойченко Егор</t>
  </si>
  <si>
    <t>23.01.16 Красноярск</t>
  </si>
  <si>
    <t>04.02.12 Тосмск</t>
  </si>
  <si>
    <t>Одиновик Павел</t>
  </si>
  <si>
    <t>25.11.15 Красноярск</t>
  </si>
  <si>
    <t>25.11.2015 Красноярск</t>
  </si>
  <si>
    <t>12.05.16 Челябинск</t>
  </si>
  <si>
    <t>Бодня Валерия</t>
  </si>
  <si>
    <t>10.05.16 Челябинск</t>
  </si>
  <si>
    <t>09.05.16 Челябинск</t>
  </si>
  <si>
    <t>11.05.16 Челябинск</t>
  </si>
  <si>
    <t>11.12.14 Красноярск</t>
  </si>
  <si>
    <t xml:space="preserve">04.05.15 С-Петербург </t>
  </si>
  <si>
    <t>03.05.15   Санкт-Петербург</t>
  </si>
  <si>
    <t>02.05.15   Санкт-Петербург</t>
  </si>
  <si>
    <t>01.05.15   Санкт-Петербург</t>
  </si>
  <si>
    <t>28.02.15 Красноярск</t>
  </si>
  <si>
    <t>02.02.04 Красноярск</t>
  </si>
  <si>
    <t>Красносельцева Евгения</t>
  </si>
  <si>
    <t>Аникина Екатерина</t>
  </si>
  <si>
    <t xml:space="preserve">18.03.15 Красноярск </t>
  </si>
  <si>
    <t>Просалова Алина</t>
  </si>
  <si>
    <t>30.03.16 Ярославль</t>
  </si>
  <si>
    <t>Эйсмонт Юлия</t>
  </si>
  <si>
    <t>Кузнецова Алёна</t>
  </si>
  <si>
    <t>Моложаева София</t>
  </si>
  <si>
    <t>Ермолаева София</t>
  </si>
  <si>
    <t>Никифорова Ирина</t>
  </si>
  <si>
    <t>31.03.16 Ярославль</t>
  </si>
  <si>
    <t>Карагашева Стефания</t>
  </si>
  <si>
    <t>Шилова кристина</t>
  </si>
  <si>
    <t>29.03.16 Ярославль</t>
  </si>
  <si>
    <t>Кочан Никита</t>
  </si>
  <si>
    <t>Стопа Александр</t>
  </si>
  <si>
    <t>Кондратенко Алексей</t>
  </si>
  <si>
    <t>Пель Евгений</t>
  </si>
  <si>
    <t>Брагин Константин</t>
  </si>
  <si>
    <t>Пель Е.вгений</t>
  </si>
  <si>
    <t>Логунов Егор</t>
  </si>
  <si>
    <t>Константинов Иван</t>
  </si>
  <si>
    <t>№</t>
  </si>
  <si>
    <t>время</t>
  </si>
  <si>
    <t>6 круг</t>
  </si>
  <si>
    <t>5 круг</t>
  </si>
  <si>
    <t>4 круг</t>
  </si>
  <si>
    <t>3 круг</t>
  </si>
  <si>
    <t>2 круг</t>
  </si>
  <si>
    <t>1 круг</t>
  </si>
  <si>
    <t>Протокол прохождения дистанции ______________</t>
  </si>
  <si>
    <t>Приложение №___ к Договору №____</t>
  </si>
  <si>
    <t>от "___"_________20___г.</t>
  </si>
  <si>
    <t xml:space="preserve">  ВЕДОМОСТЬ № 5 НА ВЫДАЧУ ПРИЗОВ ПОБЕДИТЕЛЯМ ПЕРВЕНСТВА РОССИИ ПО ПОДВОДНОМУ СПОРТУ (МАРАФОНСКИЙ ЗАПЛЫВ В ЛАСТАХ) СРЕДИ ЮНОШЕЙ И ДЕВУШЕК ДО 18 ЛЕТ, ПРОХОДИВШЕГО С «16» ПО «19» МАЯ 2016 Г. В ГОРОДЕ КРОПОТКИН (КРАСНОДАРСКИЙ КРАЙ), СМ ПО ЕКП № 7502</t>
  </si>
  <si>
    <t>№ П/П</t>
  </si>
  <si>
    <t>ФАМИЛИЯ, ИМЯ, ОТЧЕСТВО НАГРАЖДАЕМОГО</t>
  </si>
  <si>
    <t>Из какого города и членом какой организации является награжденный</t>
  </si>
  <si>
    <t>За что награжден</t>
  </si>
  <si>
    <t>ОПИСАНИЕ ПРИЗА</t>
  </si>
  <si>
    <t>Стоимость</t>
  </si>
  <si>
    <t>Подпись получателя</t>
  </si>
  <si>
    <t>медаль золото</t>
  </si>
  <si>
    <t>диплом 1 степени</t>
  </si>
  <si>
    <t>медаль серебро</t>
  </si>
  <si>
    <t>диплом 2 степени</t>
  </si>
  <si>
    <t>медаль бронза</t>
  </si>
  <si>
    <t>диплом 3 степени</t>
  </si>
  <si>
    <t>4х2км</t>
  </si>
  <si>
    <t>Всего на сумму:</t>
  </si>
  <si>
    <t>Рекорд края</t>
  </si>
  <si>
    <r>
      <t>Рекорды Красноярского края по плаванию в ластах на 01.11.2016</t>
    </r>
    <r>
      <rPr>
        <b/>
        <i/>
        <sz val="9"/>
        <color theme="1"/>
        <rFont val="Times New Roman"/>
        <family val="1"/>
        <charset val="204"/>
      </rPr>
      <t xml:space="preserve"> (желтым - электроника)</t>
    </r>
  </si>
  <si>
    <t>Рекорд края 16-17 лет</t>
  </si>
  <si>
    <t>Рекорд края 14-15 лет</t>
  </si>
  <si>
    <t>Рекорд края 13 лет и младше</t>
  </si>
  <si>
    <t xml:space="preserve">Выделить и скопировать нужные строки дистанций вместе с рекордами. </t>
  </si>
  <si>
    <t>На странице Стартовый протокол - правая кнопка мыши -Вставить</t>
  </si>
  <si>
    <t>Ручной хроно-метраж</t>
  </si>
  <si>
    <t>Авто-хроно-метраж</t>
  </si>
  <si>
    <t>00:14,90</t>
  </si>
  <si>
    <t>00:16,70</t>
  </si>
  <si>
    <t>00:15,60</t>
  </si>
  <si>
    <t>00:17,50</t>
  </si>
  <si>
    <t>00:16,40</t>
  </si>
  <si>
    <t>00:18,40</t>
  </si>
  <si>
    <t>00:19,60</t>
  </si>
  <si>
    <t>00:19,00</t>
  </si>
  <si>
    <t>00:21,30</t>
  </si>
  <si>
    <t>00:20,60</t>
  </si>
  <si>
    <t>00:23,10</t>
  </si>
  <si>
    <t>4. Нормы и условия их выполнения для присвоения спортивных званий и спортивных разрядов.</t>
  </si>
  <si>
    <t>МСМК выполняется в спортивных дисциплинах в наименованиях которых содержатся слова:</t>
  </si>
  <si>
    <t>«апноэ» с 18 лет; «дайвинг» с 16 лет; «ныряние», «плавание» с 14 лет;</t>
  </si>
  <si>
    <t>МС выполняется в спортивных дисциплинах в наименованиях которых содержатся слова:</t>
  </si>
  <si>
    <t>«апноэ» с 18 лет; «дайвинг», «ныряние» с 14 лет;  «плавание» с 12 лет; «ориентирование» с 15 лет;</t>
  </si>
  <si>
    <t>КМС выполняется в спортивных дисциплинах в наименованиях которых содержатся слова:</t>
  </si>
  <si>
    <t>I, II, III спортивные разряды выполняются в спортивных дисциплинах в наименованиях которых содержатся слова:</t>
  </si>
  <si>
    <t>юношеские спортивные разряды выполняются в спортивных дисциплинах в наименованиях которых содержатся слова:</t>
  </si>
  <si>
    <t>Спортивная дисциплина, стартующий</t>
  </si>
  <si>
    <t>Хроно-метраж</t>
  </si>
  <si>
    <t>Апноэ - динамическое</t>
  </si>
  <si>
    <t>метры</t>
  </si>
  <si>
    <t>Апноэ - динамическое в ластах</t>
  </si>
  <si>
    <t>Апноэ - ныряние в глубину</t>
  </si>
  <si>
    <t>Апноэ - ныряние в глубину в классических ластах</t>
  </si>
  <si>
    <t>Апноэ - ныряние в глубину в ластах</t>
  </si>
  <si>
    <t>Апноэ -                    скоростное 100 м</t>
  </si>
  <si>
    <t>00:34,80</t>
  </si>
  <si>
    <t>00:38,00</t>
  </si>
  <si>
    <t>00:36,80</t>
  </si>
  <si>
    <t>00:40,20</t>
  </si>
  <si>
    <t>00:39,80</t>
  </si>
  <si>
    <t>00:41,80</t>
  </si>
  <si>
    <t>00:42,40</t>
  </si>
  <si>
    <t>00:45,20</t>
  </si>
  <si>
    <t>00:45,80</t>
  </si>
  <si>
    <t>00:48,80</t>
  </si>
  <si>
    <t>00:49,70</t>
  </si>
  <si>
    <t>00:53,20</t>
  </si>
  <si>
    <t>01:32,20</t>
  </si>
  <si>
    <t>01:44,20</t>
  </si>
  <si>
    <t>01:38,70</t>
  </si>
  <si>
    <t>01:51,20</t>
  </si>
  <si>
    <t>01:45,20</t>
  </si>
  <si>
    <t>01:58,70</t>
  </si>
  <si>
    <t>01:52,70</t>
  </si>
  <si>
    <t>02:07,70</t>
  </si>
  <si>
    <t>02:02,70</t>
  </si>
  <si>
    <t>02:16,20</t>
  </si>
  <si>
    <t>02:12,20</t>
  </si>
  <si>
    <t>02:26,70</t>
  </si>
  <si>
    <t>Дайвинг - комбиниро-ванное плавание</t>
  </si>
  <si>
    <t>03:26,20</t>
  </si>
  <si>
    <t>03:52,70</t>
  </si>
  <si>
    <t>03:44,20</t>
  </si>
  <si>
    <t>04:10,20</t>
  </si>
  <si>
    <t>04:00,20</t>
  </si>
  <si>
    <t>04:27,70</t>
  </si>
  <si>
    <t>04:16,70</t>
  </si>
  <si>
    <t>04:44,20</t>
  </si>
  <si>
    <t>04:36,70</t>
  </si>
  <si>
    <t>04:58,20</t>
  </si>
  <si>
    <t>05:00,20</t>
  </si>
  <si>
    <t>05:34,20</t>
  </si>
  <si>
    <t>Дайвинг -                            подъем груза</t>
  </si>
  <si>
    <t>00:18,20</t>
  </si>
  <si>
    <t>00:23,00</t>
  </si>
  <si>
    <t>00:24,70</t>
  </si>
  <si>
    <t>00:21,00</t>
  </si>
  <si>
    <t>00:26,00</t>
  </si>
  <si>
    <t>00:23,2</t>
  </si>
  <si>
    <t>00:28,20</t>
  </si>
  <si>
    <t>00:25,70</t>
  </si>
  <si>
    <t>00:30,50</t>
  </si>
  <si>
    <t>00:29,80</t>
  </si>
  <si>
    <t>00:35,20</t>
  </si>
  <si>
    <t>00:35,5</t>
  </si>
  <si>
    <t>00:19,70</t>
  </si>
  <si>
    <t>00:22,80</t>
  </si>
  <si>
    <t>00:20,90</t>
  </si>
  <si>
    <t>00:24,10</t>
  </si>
  <si>
    <t>00:21,90</t>
  </si>
  <si>
    <t>00:25,20</t>
  </si>
  <si>
    <t>00:23,30</t>
  </si>
  <si>
    <t>00:26,80</t>
  </si>
  <si>
    <t>00:28,70</t>
  </si>
  <si>
    <t>00:27,00</t>
  </si>
  <si>
    <t>00:31,00</t>
  </si>
  <si>
    <t>Плавание в классических ластах -
100 м</t>
  </si>
  <si>
    <t>00:44,00</t>
  </si>
  <si>
    <t>00:46,00</t>
  </si>
  <si>
    <t>00:51,50</t>
  </si>
  <si>
    <t>00:48,30</t>
  </si>
  <si>
    <t>00:54,00</t>
  </si>
  <si>
    <t>00:51,70</t>
  </si>
  <si>
    <t>00:57,80</t>
  </si>
  <si>
    <t>00:56,20</t>
  </si>
  <si>
    <t>01:02,20</t>
  </si>
  <si>
    <t>01:00,70</t>
  </si>
  <si>
    <t>01:08,20</t>
  </si>
  <si>
    <t>Плавание в классических ластах -
200 м</t>
  </si>
  <si>
    <t>01:38,40</t>
  </si>
  <si>
    <t>01:48,70</t>
  </si>
  <si>
    <t>01:43,10</t>
  </si>
  <si>
    <t>01:54,70</t>
  </si>
  <si>
    <t>01:48,20</t>
  </si>
  <si>
    <t>01:59,80</t>
  </si>
  <si>
    <t>01:56,00</t>
  </si>
  <si>
    <t>02:08,60</t>
  </si>
  <si>
    <t>02:05,20</t>
  </si>
  <si>
    <t>02:17,70</t>
  </si>
  <si>
    <t>02:29,70</t>
  </si>
  <si>
    <t>00:15,90</t>
  </si>
  <si>
    <t>00:18,10</t>
  </si>
  <si>
    <t>00:16,90</t>
  </si>
  <si>
    <t>00:19,0</t>
  </si>
  <si>
    <t>00:17,80</t>
  </si>
  <si>
    <t>00:19,90</t>
  </si>
  <si>
    <t>00:18,70</t>
  </si>
  <si>
    <t>00:20,30</t>
  </si>
  <si>
    <t>00:22,10</t>
  </si>
  <si>
    <t>00:25,00</t>
  </si>
  <si>
    <t>00:59,8</t>
  </si>
  <si>
    <t>01:05,4</t>
  </si>
  <si>
    <t>00:36,00</t>
  </si>
  <si>
    <t>00:40,00</t>
  </si>
  <si>
    <t>00:37,80</t>
  </si>
  <si>
    <t>00:42,00</t>
  </si>
  <si>
    <t>00:39,60</t>
  </si>
  <si>
    <t>00:42,50</t>
  </si>
  <si>
    <t>00:47,20</t>
  </si>
  <si>
    <t>00:46,10</t>
  </si>
  <si>
    <t>00:51,20</t>
  </si>
  <si>
    <t>00:50,00</t>
  </si>
  <si>
    <t>00:55,40</t>
  </si>
  <si>
    <t>02:20,0</t>
  </si>
  <si>
    <t>02:31,2</t>
  </si>
  <si>
    <t>02:42,2</t>
  </si>
  <si>
    <t>01:23,20</t>
  </si>
  <si>
    <t>01:30,80</t>
  </si>
  <si>
    <t>01:27,40</t>
  </si>
  <si>
    <t>01:36,20</t>
  </si>
  <si>
    <t>01:31,70</t>
  </si>
  <si>
    <t>01:41,20</t>
  </si>
  <si>
    <t>01:38,20</t>
  </si>
  <si>
    <t>01:47,70</t>
  </si>
  <si>
    <t>01:47,20</t>
  </si>
  <si>
    <t>01:57,70</t>
  </si>
  <si>
    <t>01:55,70</t>
  </si>
  <si>
    <t>02:06,40</t>
  </si>
  <si>
    <t>05:00,0</t>
  </si>
  <si>
    <t>05:30,0</t>
  </si>
  <si>
    <t>05:55,0</t>
  </si>
  <si>
    <t>03:04,20</t>
  </si>
  <si>
    <t>03:18,20</t>
  </si>
  <si>
    <t>03:14,00</t>
  </si>
  <si>
    <t>03:28,60</t>
  </si>
  <si>
    <t>03:22,20</t>
  </si>
  <si>
    <t>03:38,80</t>
  </si>
  <si>
    <t>03:37,00</t>
  </si>
  <si>
    <t>03:55,40</t>
  </si>
  <si>
    <t>03:55,00</t>
  </si>
  <si>
    <t>04:13,60</t>
  </si>
  <si>
    <t>04:13,00</t>
  </si>
  <si>
    <t>04:33,20</t>
  </si>
  <si>
    <t>06:34,70</t>
  </si>
  <si>
    <t>07:05,20</t>
  </si>
  <si>
    <t>06:52,20</t>
  </si>
  <si>
    <t>07:25,70</t>
  </si>
  <si>
    <t>07:14,70</t>
  </si>
  <si>
    <t>07:48,20</t>
  </si>
  <si>
    <t>07:36,20</t>
  </si>
  <si>
    <t>08:20,70</t>
  </si>
  <si>
    <t>08:25,20</t>
  </si>
  <si>
    <t>09:02,70</t>
  </si>
  <si>
    <t>09:05,40</t>
  </si>
  <si>
    <t>09:44,70</t>
  </si>
  <si>
    <t>Плавание в ластах -                                          1500 м</t>
  </si>
  <si>
    <t>12:41,20</t>
  </si>
  <si>
    <t>13:39,20</t>
  </si>
  <si>
    <t>13:20,70</t>
  </si>
  <si>
    <t>14:18,20</t>
  </si>
  <si>
    <t>13:58,20</t>
  </si>
  <si>
    <t>14:58,70</t>
  </si>
  <si>
    <t>14:52,70</t>
  </si>
  <si>
    <t>16:00,20</t>
  </si>
  <si>
    <t>16:15,20</t>
  </si>
  <si>
    <t>17:24,70</t>
  </si>
  <si>
    <t>17:33,20</t>
  </si>
  <si>
    <t>18:50,20</t>
  </si>
  <si>
    <t>Плавание в ластах - эстафета              4х100 м (только для спортсмена, стартующего первым)</t>
  </si>
  <si>
    <t>Плавание в ластах - эстафета               4х200 м (только для спортсмена, стартующего первым)</t>
  </si>
  <si>
    <t>00:33,10</t>
  </si>
  <si>
    <t>00:36,30</t>
  </si>
  <si>
    <t>00:34,70</t>
  </si>
  <si>
    <t>00:38,10</t>
  </si>
  <si>
    <t>00:36,40</t>
  </si>
  <si>
    <t>00:39,90</t>
  </si>
  <si>
    <t>00:42,80</t>
  </si>
  <si>
    <t>00:42,30</t>
  </si>
  <si>
    <t>00:46,40</t>
  </si>
  <si>
    <t>00:50,40</t>
  </si>
  <si>
    <t xml:space="preserve">Подводное плавание -
400 м </t>
  </si>
  <si>
    <t>02:50,20</t>
  </si>
  <si>
    <t>03:04,60</t>
  </si>
  <si>
    <t>02:59,20</t>
  </si>
  <si>
    <t>03:14,40</t>
  </si>
  <si>
    <t>03:07,90</t>
  </si>
  <si>
    <t>03:23,20</t>
  </si>
  <si>
    <t>03:21,20</t>
  </si>
  <si>
    <t>03:38,20</t>
  </si>
  <si>
    <t>03:56,20</t>
  </si>
  <si>
    <t>03:56,70</t>
  </si>
  <si>
    <t>04:15,20</t>
  </si>
  <si>
    <t>05:40,20</t>
  </si>
  <si>
    <t>06:08,20</t>
  </si>
  <si>
    <t>06:21,20</t>
  </si>
  <si>
    <t>06:55,20</t>
  </si>
  <si>
    <t>06:54,20</t>
  </si>
  <si>
    <t>07:35,20</t>
  </si>
  <si>
    <t>07:59,20</t>
  </si>
  <si>
    <t>08:50,20</t>
  </si>
  <si>
    <t>09:30,20</t>
  </si>
  <si>
    <t>10:26,20</t>
  </si>
  <si>
    <t>06:18,20</t>
  </si>
  <si>
    <t>07:06,20</t>
  </si>
  <si>
    <t>07:00,20</t>
  </si>
  <si>
    <t>07:42,20</t>
  </si>
  <si>
    <t>08:52,20</t>
  </si>
  <si>
    <t>09:45,20</t>
  </si>
  <si>
    <t>10:20,20</t>
  </si>
  <si>
    <t>11:28,20</t>
  </si>
  <si>
    <t>06:56,20</t>
  </si>
  <si>
    <t>06:50,20</t>
  </si>
  <si>
    <t>07:30,20</t>
  </si>
  <si>
    <t>07:32,20</t>
  </si>
  <si>
    <t>08:18,20</t>
  </si>
  <si>
    <t>08:43,20</t>
  </si>
  <si>
    <t>09:37,20</t>
  </si>
  <si>
    <t>10:09,20</t>
  </si>
  <si>
    <t>11:18,20</t>
  </si>
  <si>
    <t>2.3.   КМС присваивается за выполнение нормы на спортивных соревнованиях не ниже статуса официальных спортивных соревнований субъекта Российской Федерации.</t>
  </si>
  <si>
    <t>2.4.   I спортивный разряд присваивается за выполнение нормы на спортивных соревнованиях, имеющих статус не ниже статуса официальных спортивных соревнований субъекта Российской Федерации.</t>
  </si>
  <si>
    <t>I - первый спортивный разряд;</t>
  </si>
  <si>
    <t xml:space="preserve">II - второй спортивный разряд;  </t>
  </si>
  <si>
    <t>III - третий спортивный разряд;</t>
  </si>
  <si>
    <t>ЕКП - Единый календарный план межрегиональных, всероссийских и международных физкультурных мероприятий и спортивных мероприятий;</t>
  </si>
  <si>
    <t>М - мужской пол;</t>
  </si>
  <si>
    <t>Ж - женский пол;</t>
  </si>
  <si>
    <t>мин - минута.</t>
  </si>
  <si>
    <t>Автохронометраж</t>
  </si>
  <si>
    <t>Ручной хронометраж</t>
  </si>
  <si>
    <t>Спортивный разряд, звание</t>
  </si>
  <si>
    <t>Возраст-ная группа</t>
  </si>
  <si>
    <t>К соревнованиям допущено</t>
  </si>
  <si>
    <t>спортсменов Врач</t>
  </si>
  <si>
    <t>"КСШ" г. Ачинск</t>
  </si>
  <si>
    <t>"Витязь"</t>
  </si>
  <si>
    <t xml:space="preserve">"Спутник"-"Авангард" </t>
  </si>
  <si>
    <t>ПК "Сибирь"</t>
  </si>
  <si>
    <t>СШОР-ДВС СибГУ</t>
  </si>
  <si>
    <t>Лосев Матвей</t>
  </si>
  <si>
    <t>Лазовский Семен</t>
  </si>
  <si>
    <t>Селезнева Анна</t>
  </si>
  <si>
    <t>Магомедалиева Эльмира</t>
  </si>
  <si>
    <t>Трофимчик Никита</t>
  </si>
  <si>
    <t xml:space="preserve">Панкратьев Вячеслав </t>
  </si>
  <si>
    <t>Мураев Александр</t>
  </si>
  <si>
    <t>Жаров Лев</t>
  </si>
  <si>
    <t xml:space="preserve">Шугалей Полина </t>
  </si>
  <si>
    <t>Торощина Юля</t>
  </si>
  <si>
    <t>Зырянова Алена</t>
  </si>
  <si>
    <t xml:space="preserve">Бушкова Мария </t>
  </si>
  <si>
    <t>Артемьева Анастасия</t>
  </si>
  <si>
    <t xml:space="preserve">Цыпенко Мария </t>
  </si>
  <si>
    <t>Солуянова Марина</t>
  </si>
  <si>
    <t>Сердобинцева Ангелина</t>
  </si>
  <si>
    <t>Бабурина Света</t>
  </si>
  <si>
    <t>Сухарев Максим</t>
  </si>
  <si>
    <t>Савосин Родион</t>
  </si>
  <si>
    <t>Королёв Арсений</t>
  </si>
  <si>
    <t>Иванов Олег</t>
  </si>
  <si>
    <t>Стародубцева Арина</t>
  </si>
  <si>
    <t>Максакова Ксения</t>
  </si>
  <si>
    <t>Карпова Екатерина</t>
  </si>
  <si>
    <t>Веккессер Полина</t>
  </si>
  <si>
    <t>Черкасов Александр</t>
  </si>
  <si>
    <t>Федоров Никита</t>
  </si>
  <si>
    <t>Кривошеев Артем</t>
  </si>
  <si>
    <t>Карпов Владислав</t>
  </si>
  <si>
    <t>Замяткин Никита</t>
  </si>
  <si>
    <t>Смирнова Арина</t>
  </si>
  <si>
    <t>Маркова Арина</t>
  </si>
  <si>
    <t>Малько Ксения</t>
  </si>
  <si>
    <t>Корявина Анастасия</t>
  </si>
  <si>
    <t>Красноярск</t>
  </si>
  <si>
    <t>соответствует рангу соревнований</t>
  </si>
  <si>
    <t>2005-2006 гг рождения</t>
  </si>
  <si>
    <t>Плавание в ластах - 100 м (1460091811Я),  девушки, 2005-2006 гг. рождения</t>
  </si>
  <si>
    <t>Плавание в ластах - 50 м (1460081811Я),  юноши 2005-2006 гг. рождения</t>
  </si>
  <si>
    <t>Плавание в ластах - 100 м (1460091811Я),  юноши 2005-2006 гг. рождения</t>
  </si>
  <si>
    <t>Плавание в классических ластах- 50 м (1460241811Я),  девушки 2005-2006 гг. рождения</t>
  </si>
  <si>
    <t>Плавание в классических ластах- 100 м (1460251811Я),  девушки 2005-2006 гг. рождения</t>
  </si>
  <si>
    <t>Плавание в классических ластах- 50 м (1460241811Я),  юноши 2005-2006 гг. рождения</t>
  </si>
  <si>
    <t>Плавание в классических ластах- 100 м (1460251811Я),  юноши 2005-2006 гг. рождения</t>
  </si>
  <si>
    <t>Плавание в ластах - 200 м (1460101811Я),  девушки 2005-2006 гг. рождения</t>
  </si>
  <si>
    <t>Плавание в ластах - 800 м (1460121811Я),  девушки 2005-2006 гг. рождения</t>
  </si>
  <si>
    <t>Плавание в ластах - 200 м (1460101811Я),  юноши 2005-2006 гг. рождения</t>
  </si>
  <si>
    <t>Плавание в ластах - 800 м (1460121811Я),  юноши 2005-2006 гг. рождения</t>
  </si>
  <si>
    <t>Плавание в классических ластах- 200 м (1460261811Я),  девушки 2005-2006 гг. рождения</t>
  </si>
  <si>
    <t>Плавание в ластах - 50 м (1460081811Я),  девушки 2005-2006 гг. рождения</t>
  </si>
  <si>
    <t>Плавание в классических ластах- 200 м (1460261811Я),  юноши 2005-2006 гг. рождения</t>
  </si>
  <si>
    <t>Подводное плавание - 100 м (1460141811Я),  девушки 2005-2006 гг. рождения</t>
  </si>
  <si>
    <t>Плавание в ластах - 400 м (1460111811Я),  девушки 2005-2006 гг. рождения</t>
  </si>
  <si>
    <t>Подводное плавание - 100 м (1460141811Я),  юноши 2005-2006 гг. рождения</t>
  </si>
  <si>
    <t>Плавание в ластах - 400 м (1460111811Я),  юноши 2005-2006 гг. рождения</t>
  </si>
  <si>
    <t>Плавание в ластах - эстафета 4х200 м (1460191811Я), девушки 2005-2006 гг. рождения</t>
  </si>
  <si>
    <t>Плавание в ластах - эстафета 4х200 м (1460191811Я), юноши 2005-2006 гг. рождения</t>
  </si>
  <si>
    <t>Плавание в ластах - эстафета 4х100 м (1460181811Я), девушки 2005-2006 гг. рождения</t>
  </si>
  <si>
    <t>Плавание в ластах - эстафета 4х100 м (1460181811Я), юноши 2005-2006 гг. рождения</t>
  </si>
  <si>
    <t>городов Красноярского края</t>
  </si>
  <si>
    <t>Заместитель директора по работе со сборными командами и проведению мероприятий КГАУ "Центр спортивно подготовки"</t>
  </si>
  <si>
    <t>В.И Мусиенко</t>
  </si>
  <si>
    <r>
      <t>Главный секретарь</t>
    </r>
    <r>
      <rPr>
        <i/>
        <sz val="12"/>
        <color theme="1"/>
        <rFont val="Times New Roman"/>
        <family val="1"/>
        <charset val="204"/>
      </rPr>
      <t xml:space="preserve"> </t>
    </r>
  </si>
  <si>
    <t>4х50м смеш</t>
  </si>
  <si>
    <r>
      <t>Апноэ - динамическое в классических ластах (</t>
    </r>
    <r>
      <rPr>
        <b/>
        <u/>
        <sz val="10"/>
        <color theme="1"/>
        <rFont val="Times New Roman"/>
        <family val="1"/>
        <charset val="204"/>
      </rPr>
      <t>1460161811Л), мужчины</t>
    </r>
  </si>
  <si>
    <r>
      <t>Апноэ - динамическое в классических ластах (</t>
    </r>
    <r>
      <rPr>
        <b/>
        <u/>
        <sz val="10"/>
        <color theme="1"/>
        <rFont val="Times New Roman"/>
        <family val="1"/>
        <charset val="204"/>
      </rPr>
      <t>1460161811Л), женщины</t>
    </r>
  </si>
  <si>
    <r>
      <t>Апноэ - 16 раз х 50м (</t>
    </r>
    <r>
      <rPr>
        <b/>
        <u/>
        <sz val="10"/>
        <color theme="1"/>
        <rFont val="Times New Roman"/>
        <family val="1"/>
        <charset val="204"/>
      </rPr>
      <t>1460371811Л), женщины</t>
    </r>
  </si>
  <si>
    <t>Чемпионат, Кубок мира</t>
  </si>
  <si>
    <t>Чемпионат, Кубок Европы</t>
  </si>
  <si>
    <r>
      <t>Апноэ - динамическое в классических ластах (</t>
    </r>
    <r>
      <rPr>
        <b/>
        <u/>
        <sz val="10"/>
        <color theme="1"/>
        <rFont val="Times New Roman"/>
        <family val="1"/>
        <charset val="204"/>
      </rPr>
      <t>1460161811Л), женщины, мужчины</t>
    </r>
  </si>
  <si>
    <r>
      <t>Апноэ - 16 раз х 50м (</t>
    </r>
    <r>
      <rPr>
        <b/>
        <u/>
        <sz val="10"/>
        <color theme="1"/>
        <rFont val="Times New Roman"/>
        <family val="1"/>
        <charset val="204"/>
      </rPr>
      <t>1460371811Л), женщины, мужчины</t>
    </r>
  </si>
  <si>
    <t>Марафонский заплыв в ластах 6 км (1460201811Я), женщины, мужчины</t>
  </si>
  <si>
    <r>
      <t>Апноэ - квадрат (</t>
    </r>
    <r>
      <rPr>
        <b/>
        <u/>
        <sz val="10"/>
        <color theme="1"/>
        <rFont val="Times New Roman"/>
        <family val="1"/>
        <charset val="204"/>
      </rPr>
      <t>1460331811Л), женщины, мужчины</t>
    </r>
  </si>
  <si>
    <r>
      <t>Акватлон (</t>
    </r>
    <r>
      <rPr>
        <b/>
        <u/>
        <sz val="10"/>
        <color theme="1"/>
        <rFont val="Times New Roman"/>
        <family val="1"/>
        <charset val="204"/>
      </rPr>
      <t>1460281811Л), женщины, мужчины</t>
    </r>
  </si>
  <si>
    <r>
      <t>Апноэ - статическое (</t>
    </r>
    <r>
      <rPr>
        <b/>
        <u/>
        <sz val="10"/>
        <color theme="1"/>
        <rFont val="Times New Roman"/>
        <family val="1"/>
        <charset val="204"/>
      </rPr>
      <t>1460341811Л), женщины, мужчины</t>
    </r>
  </si>
  <si>
    <r>
      <t>Дайвинг ночной (</t>
    </r>
    <r>
      <rPr>
        <b/>
        <u/>
        <sz val="10"/>
        <color theme="1"/>
        <rFont val="Times New Roman"/>
        <family val="1"/>
        <charset val="204"/>
      </rPr>
      <t>1460351811Л), женщины, мужчины</t>
    </r>
  </si>
  <si>
    <t>Ориентирование</t>
  </si>
  <si>
    <t>Подводная охота</t>
  </si>
  <si>
    <t>Первентво мира марафон</t>
  </si>
  <si>
    <t>Первентво Европы марафон</t>
  </si>
  <si>
    <t>Первенство фед-го округа,гг. Москва, С-Петербург</t>
  </si>
  <si>
    <t>Официальные сор-ния субъекта (14-17 лет)</t>
  </si>
  <si>
    <t>Официальные сор-ния субъекта 18 и ст.</t>
  </si>
  <si>
    <t>Первенство Муниципального образования</t>
  </si>
  <si>
    <r>
      <t xml:space="preserve">Первенство Европы </t>
    </r>
    <r>
      <rPr>
        <b/>
        <sz val="10"/>
        <color rgb="FF0070C0"/>
        <rFont val="Times New Roman"/>
        <family val="1"/>
        <charset val="204"/>
      </rPr>
      <t>марафон</t>
    </r>
  </si>
  <si>
    <r>
      <t xml:space="preserve">Первентво мира </t>
    </r>
    <r>
      <rPr>
        <b/>
        <sz val="10"/>
        <color rgb="FF0070C0"/>
        <rFont val="Times New Roman"/>
        <family val="1"/>
        <charset val="204"/>
      </rPr>
      <t>марафон</t>
    </r>
  </si>
  <si>
    <r>
      <t xml:space="preserve">Др. юниорские межд-ные </t>
    </r>
    <r>
      <rPr>
        <b/>
        <sz val="10"/>
        <color rgb="FF0070C0"/>
        <rFont val="Times New Roman"/>
        <family val="1"/>
        <charset val="204"/>
      </rPr>
      <t>марафон</t>
    </r>
  </si>
  <si>
    <r>
      <t xml:space="preserve">«дайвинг» с 13 лет; «плавание» с </t>
    </r>
    <r>
      <rPr>
        <sz val="19"/>
        <rFont val="Times New Roman"/>
        <family val="1"/>
        <charset val="204"/>
      </rPr>
      <t xml:space="preserve">9 </t>
    </r>
    <r>
      <rPr>
        <sz val="19"/>
        <rFont val="Times New Roman"/>
        <family val="1"/>
      </rPr>
      <t>лет (за исключением «подводное плавание - 100 м»); «подводное плавание -   100 м» с 12 лет</t>
    </r>
  </si>
  <si>
    <r>
      <t>Ориентиро-
вание  -</t>
    </r>
    <r>
      <rPr>
        <sz val="14"/>
        <rFont val="Times New Roman"/>
        <family val="1"/>
      </rPr>
      <t xml:space="preserve"> упражнение "зоны"</t>
    </r>
  </si>
  <si>
    <r>
      <t xml:space="preserve">Ориентиро-
вание  - </t>
    </r>
    <r>
      <rPr>
        <sz val="14"/>
        <rFont val="Times New Roman"/>
        <family val="1"/>
      </rPr>
      <t>упражнение "ориентиры"</t>
    </r>
  </si>
  <si>
    <r>
      <t xml:space="preserve">Ориентиро-
вание  </t>
    </r>
    <r>
      <rPr>
        <sz val="14"/>
        <rFont val="Times New Roman"/>
        <family val="1"/>
      </rPr>
      <t>- упражнение "звезда"</t>
    </r>
  </si>
  <si>
    <t>УТВЕРЖДАЮ</t>
  </si>
  <si>
    <t>Заместитель директора</t>
  </si>
  <si>
    <t>по работе со сборными командами</t>
  </si>
  <si>
    <t>и проведению мероприятий</t>
  </si>
  <si>
    <t>КГАУ "ЦСП"</t>
  </si>
  <si>
    <t>__________________ В.И. Мусиенко</t>
  </si>
  <si>
    <t>Отчет главного судьи</t>
  </si>
  <si>
    <t>(наименование согласно положению/регламенту о соревновании)</t>
  </si>
  <si>
    <t>(город/район края, поселок/село, наименование спортивного сооружения)</t>
  </si>
  <si>
    <t>(число, месяц, количество соревновательных/игровых дней)</t>
  </si>
  <si>
    <t>I.</t>
  </si>
  <si>
    <t>УЧАСТНИКИ:</t>
  </si>
  <si>
    <t>региона (гг. Красноярск, Ачинск, Зеленогорск)</t>
  </si>
  <si>
    <t xml:space="preserve">команд, </t>
  </si>
  <si>
    <t>участник(ов)</t>
  </si>
  <si>
    <t>-</t>
  </si>
  <si>
    <t>Участники</t>
  </si>
  <si>
    <t>в том числе имеющие спортивние звания и разряды</t>
  </si>
  <si>
    <t>Массовые разряды</t>
  </si>
  <si>
    <t>ИТОГО:</t>
  </si>
  <si>
    <t>Количество зрителей, посетивших спортивное соревнование:</t>
  </si>
  <si>
    <t>II.</t>
  </si>
  <si>
    <t>СПОРТИВНАЯ БАЗА:</t>
  </si>
  <si>
    <t>Место проведения соревнований соответствовали правилам ТБ и СанПиНам. Акт готовности спортивного объекта имеется.</t>
  </si>
  <si>
    <t>III.</t>
  </si>
  <si>
    <t>РЕЗУЛЬТАТЫ СОРЕВНОВАНИЙ:</t>
  </si>
  <si>
    <t>Командные</t>
  </si>
  <si>
    <t>Личные</t>
  </si>
  <si>
    <t>Протоколы прилагаются</t>
  </si>
  <si>
    <t>IV.</t>
  </si>
  <si>
    <t>ЗАКЛЮЧЕНИЕ ВРАЧА:</t>
  </si>
  <si>
    <t>За время проведения соревнований травм и жалоб на здоровье участников не было</t>
  </si>
  <si>
    <t>(указать ФИО спортсменов, получивших травму, характер травмы)</t>
  </si>
  <si>
    <t>V.</t>
  </si>
  <si>
    <t>СПИСОК СУДЕЙСКОЙ КОЛЛЕГИИ</t>
  </si>
  <si>
    <t>Ф.И.О. 
(полностью)</t>
  </si>
  <si>
    <t>Судейская категория</t>
  </si>
  <si>
    <t>Судейская должность</t>
  </si>
  <si>
    <t>Оценка</t>
  </si>
  <si>
    <t>отлично</t>
  </si>
  <si>
    <t>Ответственный за проведение</t>
  </si>
  <si>
    <t>Букина Галина</t>
  </si>
  <si>
    <t>Плавание в классических ластах- 400 м (1460411811Я),  женщины</t>
  </si>
  <si>
    <t>Плавание в классических ластах- 400 м (1460411811Я),  мужчины</t>
  </si>
  <si>
    <t>4х100м к/л смеш</t>
  </si>
  <si>
    <t>сор 1</t>
  </si>
  <si>
    <t>сор 2</t>
  </si>
  <si>
    <t>сор 3</t>
  </si>
  <si>
    <t>сор 4</t>
  </si>
  <si>
    <t>Сведения о соревнованиях 1:</t>
  </si>
  <si>
    <t>Сведения о соревнованиях 2:</t>
  </si>
  <si>
    <t>Сведения о соревнованиях 3:</t>
  </si>
  <si>
    <t>Сведения о соревнованиях 4:</t>
  </si>
  <si>
    <t>л</t>
  </si>
  <si>
    <t>Сор 1</t>
  </si>
  <si>
    <t>Сор 2</t>
  </si>
  <si>
    <t>Сор 3</t>
  </si>
  <si>
    <t>Сор 4</t>
  </si>
  <si>
    <t>ССВК</t>
  </si>
  <si>
    <t>СС1К</t>
  </si>
  <si>
    <t>«апноэ» с 18 лет; «дайвинг», «ныряние» с 14 лет; «плавание» с 9 лет (за исключением  «плавание в ластах - 1500 м», «подводное плавание»); «плавание в ластах - 1500 м», «подводное плавание» с  12 лет;  «ориентирование» с 15 лет;</t>
  </si>
  <si>
    <t>«апноэ» с 18 лет; «дайвинг» с 13 лет; «ныряние» с 14 лет; «плавание» с 9 лет (за исключением «плавание в ластах - 1500 м», «подводное плавание»); «плавание в ластах - 1500 м», «подводное плавание» - с 12 лет;  «ориентирование» с 15 лет;</t>
  </si>
  <si>
    <t>мин, с</t>
  </si>
  <si>
    <t>02:25,70</t>
  </si>
  <si>
    <t>02:41,20</t>
  </si>
  <si>
    <t>02:40,20</t>
  </si>
  <si>
    <t>02:55,20</t>
  </si>
  <si>
    <t>02:54,20</t>
  </si>
  <si>
    <t>03:10,20</t>
  </si>
  <si>
    <t>05:28,20</t>
  </si>
  <si>
    <t>05:55,20</t>
  </si>
  <si>
    <t>05:52,70</t>
  </si>
  <si>
    <t>06:32,20</t>
  </si>
  <si>
    <t>06:28,20</t>
  </si>
  <si>
    <t>00:33,20</t>
  </si>
  <si>
    <t>00:38,70</t>
  </si>
  <si>
    <t>00:41,20</t>
  </si>
  <si>
    <t>00:39,20</t>
  </si>
  <si>
    <t>00:30,00</t>
  </si>
  <si>
    <t>00:33,70</t>
  </si>
  <si>
    <t>00:32,60</t>
  </si>
  <si>
    <t>00:36,90</t>
  </si>
  <si>
    <t>00:35,70</t>
  </si>
  <si>
    <t>01:06,20</t>
  </si>
  <si>
    <t>01:13,70</t>
  </si>
  <si>
    <t>01:12,20</t>
  </si>
  <si>
    <t>01:19,80</t>
  </si>
  <si>
    <t>01:18,70</t>
  </si>
  <si>
    <t>01:26,20</t>
  </si>
  <si>
    <t>02:28,70</t>
  </si>
  <si>
    <t>02:44,20</t>
  </si>
  <si>
    <t>02:42,20</t>
  </si>
  <si>
    <t>02:58,70</t>
  </si>
  <si>
    <t>03:12,20</t>
  </si>
  <si>
    <t>Плавание в классических ластах -
400 м</t>
  </si>
  <si>
    <t>03:57,0</t>
  </si>
  <si>
    <t>04:15,0</t>
  </si>
  <si>
    <t>04:10,0</t>
  </si>
  <si>
    <t>04:30,0</t>
  </si>
  <si>
    <t>04:28,0</t>
  </si>
  <si>
    <t>04:48,0</t>
  </si>
  <si>
    <t>5:08,0</t>
  </si>
  <si>
    <t>5:12,5</t>
  </si>
  <si>
    <t>5:34,0</t>
  </si>
  <si>
    <t>5:38,5</t>
  </si>
  <si>
    <t>6:01,0</t>
  </si>
  <si>
    <t>06:07,0</t>
  </si>
  <si>
    <t>06:30,0</t>
  </si>
  <si>
    <t>03:38,40</t>
  </si>
  <si>
    <t>03:55,30</t>
  </si>
  <si>
    <t>03:47,80</t>
  </si>
  <si>
    <t>04:05,50</t>
  </si>
  <si>
    <t>03:57,20</t>
  </si>
  <si>
    <t>04:30,20</t>
  </si>
  <si>
    <t>04:28,20</t>
  </si>
  <si>
    <t>04:48,20</t>
  </si>
  <si>
    <t>5:08,20</t>
  </si>
  <si>
    <t>5:12,70</t>
  </si>
  <si>
    <t>5:34,20</t>
  </si>
  <si>
    <t>5:38,70</t>
  </si>
  <si>
    <t>6:01,20</t>
  </si>
  <si>
    <t>06:07,20</t>
  </si>
  <si>
    <t>06:30,20</t>
  </si>
  <si>
    <t>Плавание в классических ластах - эстафета               4х100 м - смешанная (только для спортсмена, стартующего первым)</t>
  </si>
  <si>
    <t>00:24,20</t>
  </si>
  <si>
    <t>00:27,60</t>
  </si>
  <si>
    <t>00:26,40</t>
  </si>
  <si>
    <t>00:30,20</t>
  </si>
  <si>
    <t>00:28,60</t>
  </si>
  <si>
    <t>00:54,80</t>
  </si>
  <si>
    <t>00:60,00</t>
  </si>
  <si>
    <t>00:59,80</t>
  </si>
  <si>
    <t>01:05,60</t>
  </si>
  <si>
    <t>01:04,80</t>
  </si>
  <si>
    <t>01:10,60</t>
  </si>
  <si>
    <t>02:20,20</t>
  </si>
  <si>
    <t>02:19,50</t>
  </si>
  <si>
    <t>02:31,40</t>
  </si>
  <si>
    <t>02:31,20</t>
  </si>
  <si>
    <t>02:42,40</t>
  </si>
  <si>
    <t>04:41,90</t>
  </si>
  <si>
    <t>05:07,80</t>
  </si>
  <si>
    <t>05:30,20</t>
  </si>
  <si>
    <t>05:33,70</t>
  </si>
  <si>
    <t>09:55,20</t>
  </si>
  <si>
    <t>10:38,70</t>
  </si>
  <si>
    <t>10:54,20</t>
  </si>
  <si>
    <t>11:42,20</t>
  </si>
  <si>
    <t>11:50,70</t>
  </si>
  <si>
    <t>12:36,70</t>
  </si>
  <si>
    <t>Плавание в ластах - эстафета               4х50 м - смешанная (только для спортсмена, стартующего первым)</t>
  </si>
  <si>
    <t xml:space="preserve">Подводное плавание -
100 м </t>
  </si>
  <si>
    <t>00:55,20</t>
  </si>
  <si>
    <t>00:55,00</t>
  </si>
  <si>
    <t>01:00,20</t>
  </si>
  <si>
    <t>00:59,60</t>
  </si>
  <si>
    <t>01:05,40</t>
  </si>
  <si>
    <t xml:space="preserve">1. Условия выполнения норм для спортивных дисциплин, содержащих в своих наименованиях слово «апноэ»:                                                                                                                                  </t>
  </si>
  <si>
    <t xml:space="preserve">1.1. МСМК присваивается за выполнение нормы: на чемпионате мира, кубке мира (финал) и занятии при этом 1-6 места в соответствующем виде программы; чемпионате Европы, кубке Европы (финал) и занятии при этом 1-4 места в соответствующем виде программы; других международных спортивных соревнованиях, включенных в ЕКП, и занятии при этом 1 места в соответствующем виде программы.                                                                                                                    </t>
  </si>
  <si>
    <t xml:space="preserve">1.2. МС присваивается за выполнение нормы: на чемпионате России и занятии при этом 1-4 места в соответствующем виде программы; на Кубке России и занятии при этом 1-3 места в соответствующем виде программы; других всероссийских спортивных соревнованиях, включенных в ЕКП и занятии при этом 1-2 места в соответствующем виде программы.                    </t>
  </si>
  <si>
    <t xml:space="preserve">1.3. КМС присваивается за выполнение нормы: на чемпионате России и занятии при этом не ниже 5-8 места в соответствующем виде программы; на Кубке России и занятии при этом не ниже 4-6 места в соответствующем виде программы; других всероссийских спортивных соревнованиях, включенных в ЕКП и занятии при этом не ниже 3-4 места в соответствующем виде программы.     </t>
  </si>
  <si>
    <t>1.4. I спортивный разряд присваивается за выполнение нормы на спортивных соревнованиях, имеющих статус не ниже статуса официальных спортивных соревнований субъекта Российской Федерации.</t>
  </si>
  <si>
    <t>1.5. II, III спортивные разряды присваиваются за выполнение нормы на спортивных соревнованиях любого статуса.</t>
  </si>
  <si>
    <t>2. Условия выполнения норм для спортивных дисциплин, содержащих в своих наименованиях слова «дайвинг», «ныряние», «плавание»:</t>
  </si>
  <si>
    <t xml:space="preserve">2.1. МСМК присваивается за выполнение нормы на международных спортивных соревнованиях, включенных в ЕКП.   </t>
  </si>
  <si>
    <t>2.2. МС присваивается за выполнение нормы на спортивных соревнованиях, имеющих статус не ниже всероссийских спортивных соревнований, включенных в ЕКП.</t>
  </si>
  <si>
    <t>2.5. II, III спортивные разряды и юношеские спортивные разряды присваиваются за выполнение нормы на спортивных соревнованиях любого статуса.</t>
  </si>
  <si>
    <t xml:space="preserve">3. Условия выполнения норм для спортивных дисциплин, содержащих в своих наименованиях слово «ориентирование»:                                                                                                                                  </t>
  </si>
  <si>
    <t xml:space="preserve">3.1. МС присваивается за выполнение нормы: на международных спортивных соревнованиях, включенных в ЕКП; на чемпионате России и занятии при этом 1-4 места в соответствующем виде программы; на Кубке России и занятии при этом 1-3 места в соответствующем виде программы; на первенстве России и занятии при этом 1-2 места в соответствующем виде программы; других всероссийских спортивных соревнованиях, включенных в ЕКП, и занятии при этом 1-2 места в соответствующем виде программы.                    </t>
  </si>
  <si>
    <t xml:space="preserve">3.2. КМС присваивается за выполнение нормы: на международных спортивных соревнованиях, включенных в ЕКП; на чемпионате России и занятии при этом не ниже 5-8 места в соответствующем виде программы; на Кубке России и занятии при этом не ниже 4-6 места в соответствующем виде программы; на первенстве России и занятии при этом не ниже 3-4 места в соответствующем виде программы; других всероссийских спортивных соревнованиях, включенных в ЕКП, и занятии при этом не ниже 3-4 места в соответствующем виде программы.     </t>
  </si>
  <si>
    <t>3.3. I спортивный разряд присваивается за выполнение нормы на спортивных соревнованиях, имеющих статус не ниже статуса официальных спортивных соревнований субъекта Российской Федерации.</t>
  </si>
  <si>
    <t>3.4. II, III спортивные разряды присваиваются за выполнение нормы на спортивных соревнованиях любого статуса.</t>
  </si>
  <si>
    <t>4. Первенства России, всероссийские спортивные соревнования, включенные в ЕКП, среди лиц с ограничением верхней границы возраста, первенства федерального округа, двух и более федеральных округов, первенства г. Москвы, г. Санкт-Петербурга, проводятся: по спортивным дисциплинам, содержащим в своих наименованиях слова «дайвинг», «ныряние» в возрастной группе: юниоры-юниорки (14-17 лет);  по                                    спортивным дисциплинам, содержащим в своих наименованиях слово «плавание» в возрастных группах: юниоры, юниорки (14-17 лет), юноши, девушки (12-13 лет); по спортивным дисциплинам, содержащим в своих наименованиях слово «ориентирование» в возрастной группе: юниоры, юниорки (15-21 год).</t>
  </si>
  <si>
    <t>5. Первенства субъекта Российской Федерации, другие официальные спортивные соревнования субъекта Российской Федерации среди лиц с ограничением верхней границы возраста, первенства муниципального образования, другие официальные спортивные соревнования                               муниципального образования среди лиц с ограничением верхней границы возраста проводятся: по спортивным дисциплинам, содержащим в своих наименованиях слова «дайвинг», «ныряние» в возрастной группе: юниоры-юниорки (14-17 лет); по спортивным дисциплинам, содержащим                                 в своих наименованиях слово «плавание» (за исключением «плавание в ластах - 1500 м», «подводное плавание -100 м», «подводное плавание - 400 м») в возрастных группах: юниоры, юниорки (14-17 лет), юноши, девушки (12-13 лет), мальчики, девочки (9-11 лет); по спортивным дисциплинам «плавание в ластах - 1500 м», «подводное плавание - 100 м», «подводное плавание -400 м» в возрастной группе: юниоры, юниорки (14-17 лет), юноши, девушки (12-13 лет); по спортивным дисциплинам, содержащим в своих наименованиях слово «ориентирование» в возрастной группе: юниоры, юниорки (15-21 год).</t>
  </si>
  <si>
    <t>6. Первенство мира среди студентов, первенство Европы среди студентов, другие международные спортивные соревнования среди студентов, всероссийские спортивные соревнования среди студентов, включенные в ЕКП, проводятся в возрастной группе юниоры, юниорки (17-25 лет).</t>
  </si>
  <si>
    <t>7. Для участия в спортивных соревнованиях спортсмен должен достичь установленного возраста в календарный год проведения спортивных соревнований (за исключением спортивных дисциплин в наименованиях которых содержится слово «апноэ»).</t>
  </si>
  <si>
    <t>8. В спортивных дисциплинах в наименованиях которых содержится слово «апноэ» спортсмен должен достичь установленного возраста до дня начала спортивного соревнования.</t>
  </si>
  <si>
    <t>Подводное плавание - 200 м (),  женщины</t>
  </si>
  <si>
    <t>Подводное плавание - 200 м (),  мужчины</t>
  </si>
  <si>
    <t>Апноэ - динамическое           в ластах</t>
  </si>
  <si>
    <t>Апноэ -                    скоростное 
100 м</t>
  </si>
  <si>
    <t>00:32,80</t>
  </si>
  <si>
    <t>00:37,20</t>
  </si>
  <si>
    <t>00:35,00</t>
  </si>
  <si>
    <t>00:39,50</t>
  </si>
  <si>
    <t>01:16,40</t>
  </si>
  <si>
    <t>01:28,80</t>
  </si>
  <si>
    <t>01:30,50</t>
  </si>
  <si>
    <t>01:43,00</t>
  </si>
  <si>
    <t>03:16,00</t>
  </si>
  <si>
    <t>03:37,70</t>
  </si>
  <si>
    <t>03:34,60</t>
  </si>
  <si>
    <t>03:58,00</t>
  </si>
  <si>
    <t>03:51,50</t>
  </si>
  <si>
    <t>04:20,20</t>
  </si>
  <si>
    <t>Плавание            в классических ластах - 50 м</t>
  </si>
  <si>
    <t>00:19,40</t>
  </si>
  <si>
    <t>00:22,30</t>
  </si>
  <si>
    <t>00:20,50</t>
  </si>
  <si>
    <t>00:23,70</t>
  </si>
  <si>
    <t>00:21,50</t>
  </si>
  <si>
    <t>00:24,80</t>
  </si>
  <si>
    <t>00:23,20</t>
  </si>
  <si>
    <t>00:26,60</t>
  </si>
  <si>
    <t>00:26,70</t>
  </si>
  <si>
    <t>00:30,70</t>
  </si>
  <si>
    <t>Плавание            в классических ластах -
100 м</t>
  </si>
  <si>
    <t>00:43,30</t>
  </si>
  <si>
    <t>00:48,10</t>
  </si>
  <si>
    <t>00:45,10</t>
  </si>
  <si>
    <t>00:51,00</t>
  </si>
  <si>
    <t>00:47,50</t>
  </si>
  <si>
    <t>00:53,50</t>
  </si>
  <si>
    <t>00:57,50</t>
  </si>
  <si>
    <t>00:56,10</t>
  </si>
  <si>
    <t>01:02,10</t>
  </si>
  <si>
    <t>01:00,60</t>
  </si>
  <si>
    <t>01:08,00</t>
  </si>
  <si>
    <t>Плавание           в классических ластах -
200 м</t>
  </si>
  <si>
    <t>01:36,50</t>
  </si>
  <si>
    <t>01:47,50</t>
  </si>
  <si>
    <t>01:41,40</t>
  </si>
  <si>
    <t>01:52,60</t>
  </si>
  <si>
    <t>01:46,00</t>
  </si>
  <si>
    <t>01:57,80</t>
  </si>
  <si>
    <t>01:54,80</t>
  </si>
  <si>
    <t>02:07,50</t>
  </si>
  <si>
    <t>02:04,00</t>
  </si>
  <si>
    <t>02:16,50</t>
  </si>
  <si>
    <t>02:14,80</t>
  </si>
  <si>
    <t>02:28,20</t>
  </si>
  <si>
    <t>Плавание            в классических ластах -
400 м</t>
  </si>
  <si>
    <t>03:55,0</t>
  </si>
  <si>
    <t>04:14,0</t>
  </si>
  <si>
    <t>03:32,50</t>
  </si>
  <si>
    <t>03:49,00</t>
  </si>
  <si>
    <t>03:45,20</t>
  </si>
  <si>
    <t>04:04,40</t>
  </si>
  <si>
    <t>03:55,20</t>
  </si>
  <si>
    <t>04:14,20</t>
  </si>
  <si>
    <t>Апноэ - 16 раз х 50 м</t>
  </si>
  <si>
    <t>09:38,00</t>
  </si>
  <si>
    <t>12:11,00</t>
  </si>
  <si>
    <t>10:09,00</t>
  </si>
  <si>
    <t>13:56,00</t>
  </si>
  <si>
    <t>11:30,00</t>
  </si>
  <si>
    <t>16:00,00</t>
  </si>
  <si>
    <t>15:00,00</t>
  </si>
  <si>
    <t>17:40,00</t>
  </si>
  <si>
    <t>16:15,00</t>
  </si>
  <si>
    <t>18:45,00</t>
  </si>
  <si>
    <t>17:20,00</t>
  </si>
  <si>
    <t>19:45,00</t>
  </si>
  <si>
    <t>Апноэ - динамическое             в  классических ластах</t>
  </si>
  <si>
    <t>Апноэ - ныряние            в глубину              по тросу</t>
  </si>
  <si>
    <t>Заплыв 1</t>
  </si>
  <si>
    <t>Заплыв 2</t>
  </si>
  <si>
    <t>Заплыв 3</t>
  </si>
  <si>
    <t>Заплыв 4</t>
  </si>
  <si>
    <t>Заплыв 5</t>
  </si>
  <si>
    <t>Заплыв 6</t>
  </si>
  <si>
    <t>Заплыв 7</t>
  </si>
  <si>
    <t>Заплыв 8</t>
  </si>
  <si>
    <t>Заплыв 9</t>
  </si>
  <si>
    <t>Заплыв 10</t>
  </si>
  <si>
    <t>Заплыв 11</t>
  </si>
  <si>
    <t>Заплыв 12</t>
  </si>
  <si>
    <t>Катран</t>
  </si>
  <si>
    <t>Заплыв 13</t>
  </si>
  <si>
    <t>Заплыв 14</t>
  </si>
  <si>
    <t>Заплыв 15</t>
  </si>
  <si>
    <t>Заплыв 16</t>
  </si>
  <si>
    <t>Заплыв 17</t>
  </si>
  <si>
    <t>Заплыв 18</t>
  </si>
  <si>
    <t>Заплыв 19</t>
  </si>
  <si>
    <t>Заплыв 20</t>
  </si>
  <si>
    <t>Заплыв 21</t>
  </si>
  <si>
    <t>Заплыв 22</t>
  </si>
  <si>
    <t>Заплыв 23</t>
  </si>
  <si>
    <t>Заплыв 24</t>
  </si>
  <si>
    <t>Заплыв 25</t>
  </si>
  <si>
    <t>Заплыв 26</t>
  </si>
  <si>
    <t>Заплыв 27</t>
  </si>
  <si>
    <t>Заплыв 28</t>
  </si>
  <si>
    <t>Заплыв 30</t>
  </si>
  <si>
    <t>Заплыв 31</t>
  </si>
  <si>
    <t>Заплыв 32</t>
  </si>
  <si>
    <t>Заплыв 33</t>
  </si>
  <si>
    <t>Заплыв 34</t>
  </si>
  <si>
    <t>Заплыв 35</t>
  </si>
  <si>
    <t>Заплыв 36</t>
  </si>
  <si>
    <t>Заплыв 37</t>
  </si>
  <si>
    <t>Заплыв 38</t>
  </si>
  <si>
    <t>Заплыв 39</t>
  </si>
  <si>
    <t>Заплыв 40</t>
  </si>
  <si>
    <t>Заплыв 41</t>
  </si>
  <si>
    <t>Заплыв 42</t>
  </si>
  <si>
    <t>Заплыв 43</t>
  </si>
  <si>
    <t>Заплыв 44</t>
  </si>
  <si>
    <t>Заплыв 45</t>
  </si>
  <si>
    <t>Заплыв 46</t>
  </si>
  <si>
    <t>Заплыв 47</t>
  </si>
  <si>
    <t>Заплыв 48</t>
  </si>
  <si>
    <t>Заплыв 49</t>
  </si>
  <si>
    <t>Реди Елена Владимировна</t>
  </si>
  <si>
    <t>Старший судья по награждению</t>
  </si>
  <si>
    <t>ПК Авангард</t>
  </si>
  <si>
    <t>Зайцева Анастасия</t>
  </si>
  <si>
    <t>Налетова Юлия</t>
  </si>
  <si>
    <t>Игнатова Ирина</t>
  </si>
  <si>
    <t>Шубарова Софья</t>
  </si>
  <si>
    <t>Работько Марина</t>
  </si>
  <si>
    <t>Черепанова Анна</t>
  </si>
  <si>
    <t>Фельк Полина</t>
  </si>
  <si>
    <t>Улько Вячеслав</t>
  </si>
  <si>
    <t>Лавренчик Дмитрий</t>
  </si>
  <si>
    <t>Куликов Тимофей</t>
  </si>
  <si>
    <t>Гаппель Вадим</t>
  </si>
  <si>
    <t>Трофимчик Егор</t>
  </si>
  <si>
    <t>Солодовников Арсений</t>
  </si>
  <si>
    <t>3юн</t>
  </si>
  <si>
    <t>Заплыв 50</t>
  </si>
  <si>
    <t>Заплыв 51</t>
  </si>
  <si>
    <t>Зам гл. судьи-врач</t>
  </si>
  <si>
    <t>Пом.ст. секундометриста</t>
  </si>
  <si>
    <t>Дмитренко Михаил</t>
  </si>
  <si>
    <t>Капитонов Кирилл</t>
  </si>
  <si>
    <t>Емельянов Иван</t>
  </si>
  <si>
    <t>Ветошкин Вячеслав</t>
  </si>
  <si>
    <t>Ишунин Владимир</t>
  </si>
  <si>
    <t>Вебер Егор</t>
  </si>
  <si>
    <t>Федотов Дмитрий</t>
  </si>
  <si>
    <t>Баулин Степан</t>
  </si>
  <si>
    <t>Кузнецова Мария</t>
  </si>
  <si>
    <t>Чеменева Милана</t>
  </si>
  <si>
    <t>Спичак Максим</t>
  </si>
  <si>
    <t>Шлома Иван</t>
  </si>
  <si>
    <t>Миляков Владимир</t>
  </si>
  <si>
    <t>Латнюк Даниил</t>
  </si>
  <si>
    <t>Деревянных Никита</t>
  </si>
  <si>
    <t>Кулаков Глеб</t>
  </si>
  <si>
    <t>Абросимова Мария</t>
  </si>
  <si>
    <t>Цвинтарная София</t>
  </si>
  <si>
    <t>Сечкина Ксения</t>
  </si>
  <si>
    <t>Маракова Амелия</t>
  </si>
  <si>
    <t>Вычужанина Яна</t>
  </si>
  <si>
    <t>Шихова Елизавета</t>
  </si>
  <si>
    <t>Самойлова Юлия</t>
  </si>
  <si>
    <t>Карпова Ксения</t>
  </si>
  <si>
    <t>Клопченко Максим</t>
  </si>
  <si>
    <t>Курчевский Антон</t>
  </si>
  <si>
    <t>Капитонов Игнат</t>
  </si>
  <si>
    <t>Яковлев Семен</t>
  </si>
  <si>
    <t>Пряников Даниил</t>
  </si>
  <si>
    <t>Жижов Матвей</t>
  </si>
  <si>
    <t>Новохатько Роман</t>
  </si>
  <si>
    <t>Сивоус Руслан</t>
  </si>
  <si>
    <t>Скурту Давид</t>
  </si>
  <si>
    <t>Горохов Севастьян</t>
  </si>
  <si>
    <t>Бабаев Андрей</t>
  </si>
  <si>
    <t>Климов Ярослав</t>
  </si>
  <si>
    <t>Игнатов Владислав</t>
  </si>
  <si>
    <t>Зайцев Михаил</t>
  </si>
  <si>
    <t>Зиборова Ева</t>
  </si>
  <si>
    <t>Высоцкая Рада</t>
  </si>
  <si>
    <t>Ильюхина Виктория</t>
  </si>
  <si>
    <t>Евсеева Джулия</t>
  </si>
  <si>
    <t>Юсупов Константин</t>
  </si>
  <si>
    <t>Тимерман Константин</t>
  </si>
  <si>
    <t>Терских Максим</t>
  </si>
  <si>
    <t>Андрущак Андрей</t>
  </si>
  <si>
    <t>Замятин Эрик</t>
  </si>
  <si>
    <t>Тарасов Всеволод</t>
  </si>
  <si>
    <t>Беляев Иван</t>
  </si>
  <si>
    <t>Татленко Вадим</t>
  </si>
  <si>
    <t>Статейнов Максим</t>
  </si>
  <si>
    <t>Лялин Богдан</t>
  </si>
  <si>
    <t>Мылко Александр</t>
  </si>
  <si>
    <t>Черный Михаил</t>
  </si>
  <si>
    <t>Гапонов Тимофей</t>
  </si>
  <si>
    <t>Хоменко Марк</t>
  </si>
  <si>
    <t>Горбачёв Роман</t>
  </si>
  <si>
    <t>Мамонтов Евгений</t>
  </si>
  <si>
    <t>Тарасов Владимир</t>
  </si>
  <si>
    <t>Гетто Степан</t>
  </si>
  <si>
    <t>Латнюк Святослав</t>
  </si>
  <si>
    <t>Похабов Михаил</t>
  </si>
  <si>
    <t>Терских Федор</t>
  </si>
  <si>
    <t>Гришакова Варвара</t>
  </si>
  <si>
    <t>Стрижнева Анастасия</t>
  </si>
  <si>
    <t>Живаева Александра</t>
  </si>
  <si>
    <t>Заплыв 52</t>
  </si>
  <si>
    <t>Заплыв 53</t>
  </si>
  <si>
    <t>Заплыв 54</t>
  </si>
  <si>
    <t>Заплыв 55</t>
  </si>
  <si>
    <t>Заплыв 56</t>
  </si>
  <si>
    <t>Норматив</t>
  </si>
  <si>
    <t>Терских Анатолий</t>
  </si>
  <si>
    <t>ДВС СибГУ</t>
  </si>
  <si>
    <t>Цыбуля Аделина</t>
  </si>
  <si>
    <t>Марченко Кира</t>
  </si>
  <si>
    <t>Гора Арина</t>
  </si>
  <si>
    <t>Баранова Варвара</t>
  </si>
  <si>
    <t>Слипченко Полина</t>
  </si>
  <si>
    <t>Седайкин Семен</t>
  </si>
  <si>
    <t>Пауткин Матвей</t>
  </si>
  <si>
    <t>Фёдоров Вячеслав</t>
  </si>
  <si>
    <t>Андреев Михаил</t>
  </si>
  <si>
    <t>Макаров Владимир</t>
  </si>
  <si>
    <t>Тесленко Дмитрий</t>
  </si>
  <si>
    <t>Вострецов Александр</t>
  </si>
  <si>
    <t>Кандеев Федор</t>
  </si>
  <si>
    <t>Молоканов Михаил</t>
  </si>
  <si>
    <t>Ребенков Роман</t>
  </si>
  <si>
    <t xml:space="preserve">по подводному спорту (1460008511Я) (плавание в ластах) </t>
  </si>
  <si>
    <t>г. Сосновоборск</t>
  </si>
  <si>
    <t>Фалеева Александра</t>
  </si>
  <si>
    <t>Новик-Качан Яна</t>
  </si>
  <si>
    <t>Мусатова Дарья</t>
  </si>
  <si>
    <t>Подымаева Елена</t>
  </si>
  <si>
    <t>Фабриченко Мария</t>
  </si>
  <si>
    <t>Сайбель Пелагея</t>
  </si>
  <si>
    <t xml:space="preserve">Брехт Алиса </t>
  </si>
  <si>
    <t>Фабриченко Прохор</t>
  </si>
  <si>
    <t>Мариловцев Матвей</t>
  </si>
  <si>
    <t>Липхарт Арсений</t>
  </si>
  <si>
    <t>Липхарт Захар</t>
  </si>
  <si>
    <t>Анфимов Артем</t>
  </si>
  <si>
    <t>Мухин Егор</t>
  </si>
  <si>
    <t>Петрушков Матвей</t>
  </si>
  <si>
    <t>Коновалов Александр</t>
  </si>
  <si>
    <t>Раводин Иван</t>
  </si>
  <si>
    <t>Балакин Артём</t>
  </si>
  <si>
    <t>Лобова Софья</t>
  </si>
  <si>
    <t>Гусев Илья</t>
  </si>
  <si>
    <t>Мамлеев Ярослав</t>
  </si>
  <si>
    <t>Заплыв 57</t>
  </si>
  <si>
    <t>Заплыв 58</t>
  </si>
  <si>
    <t>Огурцов Роман</t>
  </si>
  <si>
    <t>ИТОГОВЫЙ ПРОТОКОЛ</t>
  </si>
  <si>
    <t>Трапезников Олег</t>
  </si>
  <si>
    <t>Анкудинова Полина</t>
  </si>
  <si>
    <t>Членова Анастасия</t>
  </si>
  <si>
    <t xml:space="preserve">Дианема </t>
  </si>
  <si>
    <t>Валеева Лейсан</t>
  </si>
  <si>
    <t>Рудакова Валерия</t>
  </si>
  <si>
    <t>Харсекина Злата</t>
  </si>
  <si>
    <t>Дельфин</t>
  </si>
  <si>
    <t>Позднякова Яна</t>
  </si>
  <si>
    <t>Агеева Ульяна</t>
  </si>
  <si>
    <t>СКПС "РИФ"</t>
  </si>
  <si>
    <t>"Спутник"-"Авангард"</t>
  </si>
  <si>
    <t>Комогорцева Анастасия</t>
  </si>
  <si>
    <t xml:space="preserve">СтКПС </t>
  </si>
  <si>
    <t>Хуторская Дарья</t>
  </si>
  <si>
    <t>Неткачева Арина</t>
  </si>
  <si>
    <t>Сбытова Кристина</t>
  </si>
  <si>
    <t>Анищенко Василиса</t>
  </si>
  <si>
    <t>Меновщикова Софья</t>
  </si>
  <si>
    <t>Шевцова Татьяна</t>
  </si>
  <si>
    <t>МАУ ДО "СШ" г. Сосновоборска</t>
  </si>
  <si>
    <t>Катеренюк Анастасия</t>
  </si>
  <si>
    <t>Гурьева Ольга</t>
  </si>
  <si>
    <t>Мартынова Веста</t>
  </si>
  <si>
    <t>Курчатова Полина</t>
  </si>
  <si>
    <t>Артюшина Варвара</t>
  </si>
  <si>
    <t>Леонтьева Виктория</t>
  </si>
  <si>
    <t>ДВС</t>
  </si>
  <si>
    <t>Чуринова Вероника</t>
  </si>
  <si>
    <t>ДВС СибГУ г. Красноярск</t>
  </si>
  <si>
    <t>Журавель Софья</t>
  </si>
  <si>
    <t>Завгородняя Ирина</t>
  </si>
  <si>
    <t xml:space="preserve">Мажирина Мария </t>
  </si>
  <si>
    <t>Евдокимова Валерия</t>
  </si>
  <si>
    <t>Лебедева Екатерина</t>
  </si>
  <si>
    <t>Тимофеева Диана</t>
  </si>
  <si>
    <t>Ионазенк Мирослава</t>
  </si>
  <si>
    <t>Мокрова Дарья</t>
  </si>
  <si>
    <t>Баринова Полина</t>
  </si>
  <si>
    <t>Азиатцева Юля</t>
  </si>
  <si>
    <t>Байкова Эвелина</t>
  </si>
  <si>
    <t>Чебаница Софья</t>
  </si>
  <si>
    <t xml:space="preserve">Мандрыгина Регина </t>
  </si>
  <si>
    <t>Зайцева Марина</t>
  </si>
  <si>
    <t>Воробьева Ева</t>
  </si>
  <si>
    <t>Носкова Анна</t>
  </si>
  <si>
    <t>СтКПС</t>
  </si>
  <si>
    <t>Михалева Мария</t>
  </si>
  <si>
    <t>Якоби София</t>
  </si>
  <si>
    <t>Воробьева Василина</t>
  </si>
  <si>
    <t>Герасимова Анна</t>
  </si>
  <si>
    <t>Демина Кристина</t>
  </si>
  <si>
    <t>Гордиец Анна</t>
  </si>
  <si>
    <t>Мирончик Елизавета</t>
  </si>
  <si>
    <t>Курпас Елизавета</t>
  </si>
  <si>
    <t>Белоглазов Степан</t>
  </si>
  <si>
    <t>Мусатов Иван</t>
  </si>
  <si>
    <t>Мясников Матвей</t>
  </si>
  <si>
    <t>Кондратьев Вячеслав</t>
  </si>
  <si>
    <t>Пашенных Прохор</t>
  </si>
  <si>
    <t>Караулин Григорий</t>
  </si>
  <si>
    <t>Анищенко Игорь</t>
  </si>
  <si>
    <t>Абдухаков Дмитрий</t>
  </si>
  <si>
    <t>Поздняков Семен</t>
  </si>
  <si>
    <t>Мараков Ярослав</t>
  </si>
  <si>
    <t>Фёдоров Константин</t>
  </si>
  <si>
    <t>Семенков Александр</t>
  </si>
  <si>
    <t>Сисько Илья</t>
  </si>
  <si>
    <t>Синенко Ярослав</t>
  </si>
  <si>
    <t>Челазнов Никита</t>
  </si>
  <si>
    <t>Башлаков Кирилл</t>
  </si>
  <si>
    <t>Высоцкий Семён</t>
  </si>
  <si>
    <t>Зыков Захар</t>
  </si>
  <si>
    <t>Ямилов Роман</t>
  </si>
  <si>
    <t>Бурцев Никита</t>
  </si>
  <si>
    <t>Чемезов Дмитрий</t>
  </si>
  <si>
    <t>Песегов Иван</t>
  </si>
  <si>
    <t>Соболев Давид</t>
  </si>
  <si>
    <t>Свистун Яков</t>
  </si>
  <si>
    <t>Пуздрановский Даниил</t>
  </si>
  <si>
    <t>Чуданов Семён</t>
  </si>
  <si>
    <t>Деревцов Марк</t>
  </si>
  <si>
    <t>Зыков Игнат</t>
  </si>
  <si>
    <t xml:space="preserve">Подымаев Семен </t>
  </si>
  <si>
    <t>Секанкин Иван</t>
  </si>
  <si>
    <t>Клесов Сергей</t>
  </si>
  <si>
    <t>Володинский Степан</t>
  </si>
  <si>
    <t>Кович Степан</t>
  </si>
  <si>
    <t>Челазнов Роман</t>
  </si>
  <si>
    <t>Писарев Максим</t>
  </si>
  <si>
    <t xml:space="preserve">Катран </t>
  </si>
  <si>
    <t>Ковригин Иван</t>
  </si>
  <si>
    <t>Поплыкин Иван</t>
  </si>
  <si>
    <t>Поплыкин Роман</t>
  </si>
  <si>
    <t>Сакович Макар</t>
  </si>
  <si>
    <t>Гайдуков Сергей</t>
  </si>
  <si>
    <t>Плотников Алексей</t>
  </si>
  <si>
    <t>Бензик Семен</t>
  </si>
  <si>
    <t>Березуцкий Ярослав</t>
  </si>
  <si>
    <t>Щербатенко Алексей</t>
  </si>
  <si>
    <t>Осипов Владислав</t>
  </si>
  <si>
    <t>Карпов Тимур</t>
  </si>
  <si>
    <t>Сергеев Андрей</t>
  </si>
  <si>
    <t>Масловский Ярослав</t>
  </si>
  <si>
    <t>Автушко Федор</t>
  </si>
  <si>
    <t>Шлома Роман</t>
  </si>
  <si>
    <t>Щукин Иван</t>
  </si>
  <si>
    <t>Вычужанин Роман</t>
  </si>
  <si>
    <t>Емельянов Арсений</t>
  </si>
  <si>
    <t>Евсеев Никита</t>
  </si>
  <si>
    <t>Понамарев Сергей</t>
  </si>
  <si>
    <t>Пашенных Арсений</t>
  </si>
  <si>
    <t>Гутник Максим</t>
  </si>
  <si>
    <t>Морозов Макар</t>
  </si>
  <si>
    <t>Никитин Никита</t>
  </si>
  <si>
    <t>Гуляев Вадим</t>
  </si>
  <si>
    <t>Ахраменко Антон</t>
  </si>
  <si>
    <t>Валько Артём</t>
  </si>
  <si>
    <t>Задверняк Вячеслав</t>
  </si>
  <si>
    <t>Мишарин Артем</t>
  </si>
  <si>
    <t>Тюклин Артем</t>
  </si>
  <si>
    <t>Давлячин Илья</t>
  </si>
  <si>
    <t>Виноградова Варвара</t>
  </si>
  <si>
    <t>Банникова Мария</t>
  </si>
  <si>
    <t>Балбаров Михаил</t>
  </si>
  <si>
    <t>Темерова Ольга</t>
  </si>
  <si>
    <t>Гилев Александр</t>
  </si>
  <si>
    <t>Темеров Алексей</t>
  </si>
  <si>
    <t>Цветков Алексей</t>
  </si>
  <si>
    <t>Плавание в  ластах 50 метров, девочки 2015 г.р. и младше</t>
  </si>
  <si>
    <t>Плавание в ластах 50 метров, девочки 2013-2014 г.р.</t>
  </si>
  <si>
    <t>Плавание в ластах 50 метров, девочки 2011-2012 г.р.</t>
  </si>
  <si>
    <t>Плавание в ластах 50 метров, девочки 2007-2010 г.р.</t>
  </si>
  <si>
    <t>Плавание в ластах 50 метров, мальчики 2015 г.р. и младше</t>
  </si>
  <si>
    <t>Плавание в ластах 50 метров, мальчики 2013-2014 г.р.</t>
  </si>
  <si>
    <t>Плавание в ластах 50 метров, мальчики 2011-2012 г.р.</t>
  </si>
  <si>
    <t>Плавание в  ластах 50 метров, мальчики 2007-2010 г.р.</t>
  </si>
  <si>
    <t>Плавание в  классических ластах 100 метров, девочки 2015 г.р.и младше</t>
  </si>
  <si>
    <t>Плавание в  классических ластах 100 метров, девочки 2013-2014 г.р.</t>
  </si>
  <si>
    <t>Плавание в  классических ластах 100 метров, девочки 2011-2012 г.р.</t>
  </si>
  <si>
    <t>Плавание в  классических ластах 100 метров, девочки 2007-2010 г.р.</t>
  </si>
  <si>
    <t>Плавание в  классических ластах 100 метров, мальчики 2015 г.р.и младше</t>
  </si>
  <si>
    <t>Плавание в  классических ластах 100 метров, мальчики 2013-2014 г.р.</t>
  </si>
  <si>
    <t>Плавание в  классических ластах 100 метров, мальчики 2011-2012 г.р.</t>
  </si>
  <si>
    <t>Рогозин Егор</t>
  </si>
  <si>
    <t>Плавание в  классических ластах 100 метров, мальчики 2007-2010 г.р.</t>
  </si>
  <si>
    <t>Бражевский Кирилл</t>
  </si>
  <si>
    <t>Плавание в ластах 200 метров, девочки 2013-2014 г.р.</t>
  </si>
  <si>
    <t>Плавание в ластах 200 метров, девочки 2011-2012 г.р.</t>
  </si>
  <si>
    <t>Плавание в ластах 200 метров, девочки 2007-2010 г.р.</t>
  </si>
  <si>
    <t>Плавание в ластах 200 метров, мальчики 2013-2014 г.р. 2011-2012 г.р.</t>
  </si>
  <si>
    <t>Плавание в ластах 200 метров, мальчики 2007-2010 г.р.</t>
  </si>
  <si>
    <t xml:space="preserve">Плавание в классических ластах 400 метров, мальчики 2011-2012 г.р. </t>
  </si>
  <si>
    <t xml:space="preserve">Плавание в классических ластах 400 метров, мальчики 2007-2010 г.р. </t>
  </si>
  <si>
    <t>Жук Павел</t>
  </si>
  <si>
    <t>Василевич Андрей</t>
  </si>
  <si>
    <t xml:space="preserve">Плавание в классических ластах 400 метров, девочки 2011-2012 г.р. </t>
  </si>
  <si>
    <t>Плавание в классических ластах 400 метров, девочки  2007-2010 г.р.</t>
  </si>
  <si>
    <t>Гаппель Виктория</t>
  </si>
  <si>
    <t>Катеренюк Виктория</t>
  </si>
  <si>
    <t>Лактисова Екатерина</t>
  </si>
  <si>
    <t>Головко Семен</t>
  </si>
  <si>
    <t>Бояркин Александр</t>
  </si>
  <si>
    <t>Терещенко Николай</t>
  </si>
  <si>
    <t>Сосновоборск</t>
  </si>
  <si>
    <t xml:space="preserve">Судья при участниках </t>
  </si>
  <si>
    <t>22-23 ноября 2025 г.</t>
  </si>
  <si>
    <t>Плавание в классических ластах 50 метров, девочки 2016 г.р. и младше</t>
  </si>
  <si>
    <t>Плавание в классических ластах 50 метров, девочки 2014-2015 г.р.</t>
  </si>
  <si>
    <t>Плавание в классических ластах 50 метров, девочки 2012-2013 г.р.</t>
  </si>
  <si>
    <t>Плавание в классических ластах 50 метров, девочки 2008-2011 г.р.</t>
  </si>
  <si>
    <t xml:space="preserve">Чаркина Александра </t>
  </si>
  <si>
    <t>Сергеевна</t>
  </si>
  <si>
    <t>ПК "Авангард"</t>
  </si>
  <si>
    <t>Васильева Стефания</t>
  </si>
  <si>
    <t>"Спутник-Авангард"</t>
  </si>
  <si>
    <t>Вадимовна</t>
  </si>
  <si>
    <t xml:space="preserve">Больших Анастасия </t>
  </si>
  <si>
    <t>Никитовна</t>
  </si>
  <si>
    <t xml:space="preserve">Рязанцева Екатерина </t>
  </si>
  <si>
    <t>Дмитриевна</t>
  </si>
  <si>
    <t>20.06,2016</t>
  </si>
  <si>
    <t xml:space="preserve">Сакова Софья </t>
  </si>
  <si>
    <t>Николаевна</t>
  </si>
  <si>
    <t xml:space="preserve">Федорович Виктория </t>
  </si>
  <si>
    <t xml:space="preserve">Голованова Ольга </t>
  </si>
  <si>
    <t>Владиславовна</t>
  </si>
  <si>
    <t>Горохова Маргарита</t>
  </si>
  <si>
    <t>Павловна</t>
  </si>
  <si>
    <t>Васильевна</t>
  </si>
  <si>
    <t>Евгеньевна</t>
  </si>
  <si>
    <t xml:space="preserve">Пустоватова София </t>
  </si>
  <si>
    <t xml:space="preserve">Сугак Алиса </t>
  </si>
  <si>
    <t>Александровна</t>
  </si>
  <si>
    <t xml:space="preserve">Виноградова Арина </t>
  </si>
  <si>
    <t>Максимовна</t>
  </si>
  <si>
    <t xml:space="preserve">Гернего Светлана </t>
  </si>
  <si>
    <t>Ивановна</t>
  </si>
  <si>
    <t xml:space="preserve">Кругликова Аглая </t>
  </si>
  <si>
    <t xml:space="preserve">Чечина Мария </t>
  </si>
  <si>
    <t>Антоновна</t>
  </si>
  <si>
    <t xml:space="preserve">Харсекина Злата </t>
  </si>
  <si>
    <t>Витальевна</t>
  </si>
  <si>
    <t xml:space="preserve">Похабова Виктория </t>
  </si>
  <si>
    <t>Семёновна</t>
  </si>
  <si>
    <t>СКПС Катран</t>
  </si>
  <si>
    <t xml:space="preserve">Ельченинова Арина </t>
  </si>
  <si>
    <t>Вячеславовна</t>
  </si>
  <si>
    <t xml:space="preserve">Колегова Маргарита </t>
  </si>
  <si>
    <t>СкПС Катран</t>
  </si>
  <si>
    <t xml:space="preserve">Фартушняк Мирослава </t>
  </si>
  <si>
    <t>МАУ ДО "СШ" г. Сосновоборск</t>
  </si>
  <si>
    <t xml:space="preserve">Плякина Елизаветта </t>
  </si>
  <si>
    <t>Игоревна</t>
  </si>
  <si>
    <t>Степанова София</t>
  </si>
  <si>
    <t>III юн.</t>
  </si>
  <si>
    <t>Кузьмина Виктория</t>
  </si>
  <si>
    <t>Витязь</t>
  </si>
  <si>
    <t xml:space="preserve">Млынарь Милана </t>
  </si>
  <si>
    <t>Алексеевна</t>
  </si>
  <si>
    <t xml:space="preserve">Карпова Ксения </t>
  </si>
  <si>
    <t>Романовна</t>
  </si>
  <si>
    <t xml:space="preserve">Анкудинова Полина </t>
  </si>
  <si>
    <t xml:space="preserve">Шевцова Татьяна </t>
  </si>
  <si>
    <t xml:space="preserve">Данилова Анна </t>
  </si>
  <si>
    <t xml:space="preserve">Частухина Вера </t>
  </si>
  <si>
    <t>Денисовна</t>
  </si>
  <si>
    <t xml:space="preserve">Ковригина Ксения </t>
  </si>
  <si>
    <t>Бавтрушко Елизавета</t>
  </si>
  <si>
    <t>Артемовна</t>
  </si>
  <si>
    <t xml:space="preserve">Кошелева Яна </t>
  </si>
  <si>
    <t>КСШ г. Ачинск</t>
  </si>
  <si>
    <t xml:space="preserve">Вохмина Алиса </t>
  </si>
  <si>
    <t>Липкина Полина</t>
  </si>
  <si>
    <t>Михайловна</t>
  </si>
  <si>
    <t xml:space="preserve">Гаппель Виктория </t>
  </si>
  <si>
    <t>Кузьмина Дарья</t>
  </si>
  <si>
    <t xml:space="preserve">Шнаркина Екатерина </t>
  </si>
  <si>
    <t xml:space="preserve">Токарева Мария </t>
  </si>
  <si>
    <t xml:space="preserve">Тюпкина Светлана </t>
  </si>
  <si>
    <t xml:space="preserve">Сотникова Евлалия </t>
  </si>
  <si>
    <t>Андреевна</t>
  </si>
  <si>
    <t xml:space="preserve">Аршинская София </t>
  </si>
  <si>
    <t xml:space="preserve">Титкова Елизавета </t>
  </si>
  <si>
    <t xml:space="preserve">Пивнёва Полина </t>
  </si>
  <si>
    <t>Руслановна</t>
  </si>
  <si>
    <t>Сидорова Алина</t>
  </si>
  <si>
    <t>Сафарян Алина</t>
  </si>
  <si>
    <t xml:space="preserve">Курчатова Полина </t>
  </si>
  <si>
    <t xml:space="preserve">Цыбуля Аделина </t>
  </si>
  <si>
    <t xml:space="preserve">Шихова Елизавета </t>
  </si>
  <si>
    <t>Юрьевна</t>
  </si>
  <si>
    <t>Киселева Дарья</t>
  </si>
  <si>
    <t xml:space="preserve">Ильюхина Виктория </t>
  </si>
  <si>
    <t xml:space="preserve">Сысоева Юлия </t>
  </si>
  <si>
    <t xml:space="preserve">Цимбалюк Валерия </t>
  </si>
  <si>
    <t>Платонова Арина</t>
  </si>
  <si>
    <t>Олеговна</t>
  </si>
  <si>
    <t xml:space="preserve">Журавель Софья </t>
  </si>
  <si>
    <t xml:space="preserve">Позднякова Яна </t>
  </si>
  <si>
    <t xml:space="preserve">Лактисова Екатерина </t>
  </si>
  <si>
    <t>Эдуардовна</t>
  </si>
  <si>
    <t xml:space="preserve">Стрижнева Анастасия </t>
  </si>
  <si>
    <t xml:space="preserve">Маркова Мария </t>
  </si>
  <si>
    <t xml:space="preserve"> Андреевна</t>
  </si>
  <si>
    <t xml:space="preserve">Артюшина Варвара </t>
  </si>
  <si>
    <t>Станиславовна</t>
  </si>
  <si>
    <t xml:space="preserve">Рогачева Евгения </t>
  </si>
  <si>
    <t xml:space="preserve">Храпова Маргарита </t>
  </si>
  <si>
    <t xml:space="preserve">Мартынова Веста </t>
  </si>
  <si>
    <t xml:space="preserve">Мишина Анастасия </t>
  </si>
  <si>
    <t>Кумохина Варвара</t>
  </si>
  <si>
    <t>Ильинична</t>
  </si>
  <si>
    <t>Носачева Евангелина</t>
  </si>
  <si>
    <t xml:space="preserve">Леонтьева Виктория </t>
  </si>
  <si>
    <t xml:space="preserve">Зиборова Ева </t>
  </si>
  <si>
    <t xml:space="preserve">Шолухо Алина </t>
  </si>
  <si>
    <t xml:space="preserve">Фельк Полина </t>
  </si>
  <si>
    <t xml:space="preserve">Шубарова Софья </t>
  </si>
  <si>
    <t>1ю</t>
  </si>
  <si>
    <t>Половинкина Софья</t>
  </si>
  <si>
    <t>24.01.2011</t>
  </si>
  <si>
    <t>Комарова Анастасия</t>
  </si>
  <si>
    <t>Астафьева Милана</t>
  </si>
  <si>
    <t>16.11.2008</t>
  </si>
  <si>
    <t xml:space="preserve">Пчелинцева Анна </t>
  </si>
  <si>
    <t xml:space="preserve">Игнатова Ирина </t>
  </si>
  <si>
    <t xml:space="preserve">Петрова Алина </t>
  </si>
  <si>
    <t>СибГУ</t>
  </si>
  <si>
    <t xml:space="preserve">Болотова Мария </t>
  </si>
  <si>
    <t xml:space="preserve">Киприна Софья </t>
  </si>
  <si>
    <t>Долгова Диана</t>
  </si>
  <si>
    <t>Валерьевна</t>
  </si>
  <si>
    <t>14.12.2008</t>
  </si>
  <si>
    <t xml:space="preserve">Виноградова Варвара </t>
  </si>
  <si>
    <t>Плавание в классических ластах 50 метров, мальчики 2016 г.р. и младше</t>
  </si>
  <si>
    <t>Плавание в классических ластах 50 метров, мальчики 2014-2015 г.р.</t>
  </si>
  <si>
    <t>Плавание в классических ластах 50 метров, мальчики 2012-2013 г.р.</t>
  </si>
  <si>
    <t>Плавание в классических ластах 50 метров, мальчики 2008-2011 г.р.</t>
  </si>
  <si>
    <t xml:space="preserve">Кучканов Егор </t>
  </si>
  <si>
    <t>Павлович</t>
  </si>
  <si>
    <t xml:space="preserve">Науменко Семен </t>
  </si>
  <si>
    <t>Романович</t>
  </si>
  <si>
    <t xml:space="preserve">Винниченко Лев </t>
  </si>
  <si>
    <t>Кириллович</t>
  </si>
  <si>
    <t xml:space="preserve">Жуков Егор </t>
  </si>
  <si>
    <t>Евгеньевич</t>
  </si>
  <si>
    <t>Казаков Демид</t>
  </si>
  <si>
    <t>Валентинович</t>
  </si>
  <si>
    <t xml:space="preserve">Яковлев Платон </t>
  </si>
  <si>
    <t>Александрович</t>
  </si>
  <si>
    <t>Назаркин Дмитрий</t>
  </si>
  <si>
    <t>Игоревич</t>
  </si>
  <si>
    <t xml:space="preserve">Левченко Семен </t>
  </si>
  <si>
    <t>Андреевич</t>
  </si>
  <si>
    <t xml:space="preserve">Стрельч Елисей </t>
  </si>
  <si>
    <t>Иванович</t>
  </si>
  <si>
    <t>СКПС КАТРАН</t>
  </si>
  <si>
    <t xml:space="preserve">Вохмин Лев </t>
  </si>
  <si>
    <t>Максимович</t>
  </si>
  <si>
    <t xml:space="preserve">Степанов Кирилл </t>
  </si>
  <si>
    <t>Вадимович</t>
  </si>
  <si>
    <t xml:space="preserve">Колеснёв Иван </t>
  </si>
  <si>
    <t>Витальевич</t>
  </si>
  <si>
    <t>Николаев Дмитрий</t>
  </si>
  <si>
    <t>Ильич</t>
  </si>
  <si>
    <t>Ушаков Михаил</t>
  </si>
  <si>
    <t>Антонович</t>
  </si>
  <si>
    <t xml:space="preserve">Полилей Кирилл  </t>
  </si>
  <si>
    <t>Константинович</t>
  </si>
  <si>
    <t xml:space="preserve">Круговой Владислав </t>
  </si>
  <si>
    <t>Рауд Марк</t>
  </si>
  <si>
    <t>Денисович</t>
  </si>
  <si>
    <t xml:space="preserve">Челазнов Никита </t>
  </si>
  <si>
    <t>Николаевич</t>
  </si>
  <si>
    <t xml:space="preserve">Сухов Александр </t>
  </si>
  <si>
    <t xml:space="preserve">Осипов Глеб </t>
  </si>
  <si>
    <t>Алексеевич</t>
  </si>
  <si>
    <t xml:space="preserve">Ребушев Данил </t>
  </si>
  <si>
    <t xml:space="preserve">Широбоков Михаил </t>
  </si>
  <si>
    <t xml:space="preserve">Игнатов Владислав </t>
  </si>
  <si>
    <t>Вячеславович</t>
  </si>
  <si>
    <t xml:space="preserve">Пашенных Прохор </t>
  </si>
  <si>
    <t>Семёнович</t>
  </si>
  <si>
    <t xml:space="preserve">Котнеков Константин </t>
  </si>
  <si>
    <t>Сергеевич</t>
  </si>
  <si>
    <t xml:space="preserve">Зверев Артем </t>
  </si>
  <si>
    <t xml:space="preserve">Горобец Иван </t>
  </si>
  <si>
    <t xml:space="preserve">Александров Дмитрий </t>
  </si>
  <si>
    <t xml:space="preserve">Бояркин Александр </t>
  </si>
  <si>
    <t xml:space="preserve">Ивашко Фёдор </t>
  </si>
  <si>
    <t xml:space="preserve">Блудов Руслан </t>
  </si>
  <si>
    <t>Геннадьевич</t>
  </si>
  <si>
    <t xml:space="preserve">Мельников Артем </t>
  </si>
  <si>
    <t xml:space="preserve">Сачек Ярослав </t>
  </si>
  <si>
    <t>Никитич</t>
  </si>
  <si>
    <t xml:space="preserve">Бурцев Никита </t>
  </si>
  <si>
    <t xml:space="preserve">Соловьёв Алексей </t>
  </si>
  <si>
    <t>Олегович</t>
  </si>
  <si>
    <t xml:space="preserve">Пичкуров Савелий </t>
  </si>
  <si>
    <t>Малоканов Илья</t>
  </si>
  <si>
    <t>Губарь Андрей</t>
  </si>
  <si>
    <t>Михайлович</t>
  </si>
  <si>
    <t xml:space="preserve">Дрокин Федор </t>
  </si>
  <si>
    <t>Васильевич</t>
  </si>
  <si>
    <t xml:space="preserve">Балакин Артем </t>
  </si>
  <si>
    <t>Дмитриевич</t>
  </si>
  <si>
    <t xml:space="preserve">Молоканов Михаил </t>
  </si>
  <si>
    <t xml:space="preserve">Борецкий Михаил </t>
  </si>
  <si>
    <t>Владимирович</t>
  </si>
  <si>
    <t xml:space="preserve">Демченко Иван </t>
  </si>
  <si>
    <t>Семенович</t>
  </si>
  <si>
    <t xml:space="preserve">Сердитов Андрей </t>
  </si>
  <si>
    <t>I юн.</t>
  </si>
  <si>
    <t>Полигнотов Егор</t>
  </si>
  <si>
    <t>Викторович</t>
  </si>
  <si>
    <t>Орлов Артём</t>
  </si>
  <si>
    <t xml:space="preserve">Кович Степан </t>
  </si>
  <si>
    <t xml:space="preserve">Володин Артемий </t>
  </si>
  <si>
    <t xml:space="preserve">Чумаков Семён </t>
  </si>
  <si>
    <t xml:space="preserve">Гетто Степан </t>
  </si>
  <si>
    <t xml:space="preserve">Букатич Артем </t>
  </si>
  <si>
    <t xml:space="preserve">Баздникин Михаил </t>
  </si>
  <si>
    <t>Печатнов Мирон</t>
  </si>
  <si>
    <t>Юрьевич</t>
  </si>
  <si>
    <t>Вохмин Константин</t>
  </si>
  <si>
    <t>Станиславович</t>
  </si>
  <si>
    <t xml:space="preserve">Яковлев Семен </t>
  </si>
  <si>
    <t>II ю</t>
  </si>
  <si>
    <t>Мут Федор</t>
  </si>
  <si>
    <t xml:space="preserve">Мылко Александр </t>
  </si>
  <si>
    <t xml:space="preserve">Латнюк Святослав </t>
  </si>
  <si>
    <t>Бессмольный Константин</t>
  </si>
  <si>
    <t xml:space="preserve">Тарасов Владимир </t>
  </si>
  <si>
    <t>Егорович</t>
  </si>
  <si>
    <t>Воробьев Юрий</t>
  </si>
  <si>
    <t xml:space="preserve">Поплыкин Иван </t>
  </si>
  <si>
    <t>Рукосуев Егор</t>
  </si>
  <si>
    <t>Самсонов Семен</t>
  </si>
  <si>
    <t>Шалыгин Степан</t>
  </si>
  <si>
    <t>Панов Глеб</t>
  </si>
  <si>
    <t xml:space="preserve">Лялин Богдан </t>
  </si>
  <si>
    <t xml:space="preserve">Гапонов Тимофей </t>
  </si>
  <si>
    <t xml:space="preserve">Санько Леонид </t>
  </si>
  <si>
    <t xml:space="preserve">Пауткин Матевей </t>
  </si>
  <si>
    <t xml:space="preserve">Раводин Иван </t>
  </si>
  <si>
    <t xml:space="preserve">Спирягин Всеволод </t>
  </si>
  <si>
    <t>Георгиевич</t>
  </si>
  <si>
    <t xml:space="preserve">Поплыкин Роман </t>
  </si>
  <si>
    <t xml:space="preserve">Бервинов Александр </t>
  </si>
  <si>
    <t xml:space="preserve"> Игоревич</t>
  </si>
  <si>
    <t>ВИТЯЗЬ</t>
  </si>
  <si>
    <t xml:space="preserve">Малютин Даниил </t>
  </si>
  <si>
    <t xml:space="preserve">Хлопаев Глеб </t>
  </si>
  <si>
    <t>Коваленко Кирилл</t>
  </si>
  <si>
    <t xml:space="preserve">Клесов Сергей </t>
  </si>
  <si>
    <t>I ю</t>
  </si>
  <si>
    <t>Таскин Евгений</t>
  </si>
  <si>
    <t>Седайкин Семён</t>
  </si>
  <si>
    <t xml:space="preserve">Загайнов Михаил </t>
  </si>
  <si>
    <t xml:space="preserve">Притуленко Роман </t>
  </si>
  <si>
    <t xml:space="preserve"> Вячеславович</t>
  </si>
  <si>
    <t>Гостев Матвей</t>
  </si>
  <si>
    <t xml:space="preserve">Кадышев Леонид </t>
  </si>
  <si>
    <t xml:space="preserve">Челазнов Роман </t>
  </si>
  <si>
    <t xml:space="preserve">Писарев Максим </t>
  </si>
  <si>
    <t xml:space="preserve">Сизых Платон </t>
  </si>
  <si>
    <t xml:space="preserve">Клименко Макар </t>
  </si>
  <si>
    <t xml:space="preserve"> Алексеевич</t>
  </si>
  <si>
    <t xml:space="preserve">Балбаров Михаил </t>
  </si>
  <si>
    <t xml:space="preserve">Габдулхаев Максим </t>
  </si>
  <si>
    <t>Мальков Михаил</t>
  </si>
  <si>
    <t xml:space="preserve">Лукашков Фёдор </t>
  </si>
  <si>
    <t xml:space="preserve"> Иванович</t>
  </si>
  <si>
    <t xml:space="preserve">Сухой Марк </t>
  </si>
  <si>
    <t xml:space="preserve">Сорокин Егор </t>
  </si>
  <si>
    <t xml:space="preserve">Деревянных Никита </t>
  </si>
  <si>
    <t xml:space="preserve">Анфимов Артём </t>
  </si>
  <si>
    <t xml:space="preserve">Трапезников Олег </t>
  </si>
  <si>
    <t>Артемович</t>
  </si>
  <si>
    <t>Гадецкий Владислав</t>
  </si>
  <si>
    <t xml:space="preserve">Тарасов Всеволод </t>
  </si>
  <si>
    <t xml:space="preserve">Клюшенков Святослав </t>
  </si>
  <si>
    <t xml:space="preserve">Бензик Семён </t>
  </si>
  <si>
    <t>Степанов Глеб</t>
  </si>
  <si>
    <t>Пермяков Вячеслав</t>
  </si>
  <si>
    <t xml:space="preserve">Миляков Владимир </t>
  </si>
  <si>
    <t xml:space="preserve">Замятин Эрик </t>
  </si>
  <si>
    <t xml:space="preserve">Татленко Вадим </t>
  </si>
  <si>
    <t>Автушко Фёдор</t>
  </si>
  <si>
    <t>24.08.2010 </t>
  </si>
  <si>
    <t xml:space="preserve">Иванюшко Тимофей </t>
  </si>
  <si>
    <t xml:space="preserve">Улько Вячеслав </t>
  </si>
  <si>
    <t xml:space="preserve">Коробейников Иван </t>
  </si>
  <si>
    <t xml:space="preserve">Огурцов Роман </t>
  </si>
  <si>
    <t xml:space="preserve">Латнюк Даниил </t>
  </si>
  <si>
    <t xml:space="preserve">Беляев Иван </t>
  </si>
  <si>
    <t xml:space="preserve">Малько Александр </t>
  </si>
  <si>
    <t xml:space="preserve">Скачков Артём </t>
  </si>
  <si>
    <t xml:space="preserve">Якубовский Дмитрий </t>
  </si>
  <si>
    <t>Эдуардович</t>
  </si>
  <si>
    <t xml:space="preserve">Китаев Дмитрий </t>
  </si>
  <si>
    <t xml:space="preserve">Лесков Матвей </t>
  </si>
  <si>
    <t>Никифоров Дмитрий</t>
  </si>
  <si>
    <t xml:space="preserve">Андрущак Андрей </t>
  </si>
  <si>
    <t>Храпов Александр</t>
  </si>
  <si>
    <t xml:space="preserve">Энгель Дмитрий </t>
  </si>
  <si>
    <t xml:space="preserve">Пашенных Арсений </t>
  </si>
  <si>
    <t>Бояринов Павел</t>
  </si>
  <si>
    <t xml:space="preserve">Морозов Макар </t>
  </si>
  <si>
    <t xml:space="preserve">Павильч Макар </t>
  </si>
  <si>
    <t xml:space="preserve">Макотрин Влаимир </t>
  </si>
  <si>
    <t xml:space="preserve">Ермолаев Арсений </t>
  </si>
  <si>
    <t>Данилович</t>
  </si>
  <si>
    <t xml:space="preserve">Фуражкин Максим </t>
  </si>
  <si>
    <t xml:space="preserve">Колупаев Богдан </t>
  </si>
  <si>
    <t xml:space="preserve">Зверев Марк </t>
  </si>
  <si>
    <t>Наместников Владислав</t>
  </si>
  <si>
    <t>Федоров Александр</t>
  </si>
  <si>
    <t>Пугач Дмитрий</t>
  </si>
  <si>
    <t>10.08.2010</t>
  </si>
  <si>
    <t>Колганов Егор</t>
  </si>
  <si>
    <t>08.03.2008</t>
  </si>
  <si>
    <t>Плавание в ластах 100 метров, девочки 2016 г.р. и младше</t>
  </si>
  <si>
    <t>Фомина Виктория</t>
  </si>
  <si>
    <t>Плавание в ластах 100 метров, девочки 2014-2015 г.р.</t>
  </si>
  <si>
    <t xml:space="preserve">Котнекова Ксения </t>
  </si>
  <si>
    <t>Плащенко Дарина</t>
  </si>
  <si>
    <t xml:space="preserve">Марченко Кира </t>
  </si>
  <si>
    <t>Плавание в ластах 100 метров, девочки 2012-2013 г.р.</t>
  </si>
  <si>
    <t xml:space="preserve">Ступнева София </t>
  </si>
  <si>
    <t xml:space="preserve">Пересыпкина Анна </t>
  </si>
  <si>
    <t>Плавание в ластах 100 метров, девочки 2008-2011 г.р.</t>
  </si>
  <si>
    <t xml:space="preserve">Цвинтарная София </t>
  </si>
  <si>
    <t>Плавание в ластах 100 метров, мальчики 2016 г.р. и младше</t>
  </si>
  <si>
    <t xml:space="preserve">Кондратьев Михаил </t>
  </si>
  <si>
    <t>Плавание в ластах 100 метров, мальчики 2014-2015 г.р.</t>
  </si>
  <si>
    <t xml:space="preserve">Провалинский Артём </t>
  </si>
  <si>
    <t xml:space="preserve">Солодкий Александр </t>
  </si>
  <si>
    <t xml:space="preserve">Климов Ярослав </t>
  </si>
  <si>
    <t>Плавание в ластах 100 метров, мальчики 2012-2013 г.р.</t>
  </si>
  <si>
    <t>Карл Денис</t>
  </si>
  <si>
    <t>Севрюков Юрий</t>
  </si>
  <si>
    <t>Плавание в ластах 100 метров, мальчики 2008-2011 г.р.</t>
  </si>
  <si>
    <t>Тимофеев Федор</t>
  </si>
  <si>
    <t>Плавание в  классических ластах 200 метров, девочки 2014-2015 г.р.</t>
  </si>
  <si>
    <t>Юркова Валерия</t>
  </si>
  <si>
    <t xml:space="preserve">Терских Федор </t>
  </si>
  <si>
    <t xml:space="preserve">Гаппель Вадим </t>
  </si>
  <si>
    <t xml:space="preserve">Терских Анатолий </t>
  </si>
  <si>
    <t>Плавание в  классических ластах 200 метров, девочки 2012-2013 г.р.</t>
  </si>
  <si>
    <t>Плавание в  классических ластах 200 метров, девочки 2008-2011 г.р.</t>
  </si>
  <si>
    <t>Горохова Мария</t>
  </si>
  <si>
    <t>Плавание в  классических ластах 200 метров, мальчики 2014-2015 г.р.</t>
  </si>
  <si>
    <t xml:space="preserve">Юрьев Мирослав </t>
  </si>
  <si>
    <t xml:space="preserve">Зайцев Михаил </t>
  </si>
  <si>
    <t>Плавание в  классических ластах 200 метров, мальчики 2012-2013 г.р.</t>
  </si>
  <si>
    <t>Владимирович </t>
  </si>
  <si>
    <t xml:space="preserve">Пряников Даниил </t>
  </si>
  <si>
    <t>Плавание в  классических ластах 200 метров, мальчики 2008-2011 г.р.</t>
  </si>
  <si>
    <t xml:space="preserve">Цветков Алексей </t>
  </si>
  <si>
    <t xml:space="preserve">Федотов Дмитрий </t>
  </si>
  <si>
    <t xml:space="preserve">Тупота Константин </t>
  </si>
  <si>
    <t xml:space="preserve"> Валерьевич</t>
  </si>
  <si>
    <t>Карл Дмитрий</t>
  </si>
  <si>
    <t>Дата рожд-я</t>
  </si>
  <si>
    <t xml:space="preserve">Краевые соревнования </t>
  </si>
  <si>
    <t>г. Сосновоборск, 2025 г.</t>
  </si>
  <si>
    <t>МАУДО "СШ" г.Сосновоборск</t>
  </si>
  <si>
    <t>Устюгова Василина Юрьевна</t>
  </si>
  <si>
    <t xml:space="preserve">                      г. Сосновоборск 2025</t>
  </si>
  <si>
    <t xml:space="preserve">                                     Открытые городские соревнования</t>
  </si>
  <si>
    <t xml:space="preserve">                 по подводному спорту (1460008511Я) (плавание в ластах) </t>
  </si>
  <si>
    <t xml:space="preserve">                                   Открытые городские соревнования</t>
  </si>
  <si>
    <t>Ходоренко Мария Александровна</t>
  </si>
  <si>
    <t>Фалеева Елена Александровна</t>
  </si>
  <si>
    <t>Потапова Анна Евгеньевна</t>
  </si>
  <si>
    <t>СС2К</t>
  </si>
  <si>
    <t>Ермолаева Софья Егоровна</t>
  </si>
  <si>
    <t>СС3К</t>
  </si>
  <si>
    <t>Бабаев Федор Игоревич</t>
  </si>
  <si>
    <t>Крутяков Андрей Владимирович</t>
  </si>
  <si>
    <t>Дьячуков Роман Игоревич</t>
  </si>
  <si>
    <t>Канск</t>
  </si>
  <si>
    <t>Солодкая Полина Вадимовна</t>
  </si>
  <si>
    <t>СС</t>
  </si>
  <si>
    <t>Швецова Нина Васильевна</t>
  </si>
  <si>
    <t>Ветошкин Вячеслав Владиславович</t>
  </si>
  <si>
    <t>Симановская Светлана Петровна</t>
  </si>
  <si>
    <t>Жихарева София Игоревна</t>
  </si>
  <si>
    <t>Казаков Валентин Олегович</t>
  </si>
  <si>
    <t>Ачинск</t>
  </si>
  <si>
    <t>Ворошилов Алексей Леонидович</t>
  </si>
  <si>
    <t>Потапов Демид Евгеньевич</t>
  </si>
  <si>
    <t>Лукьянова Валерия Алексеевна</t>
  </si>
  <si>
    <t>Непомнящая Маргарита Артемовна</t>
  </si>
  <si>
    <t>Судья на финише</t>
  </si>
  <si>
    <t>Степанов Ярослав Денисович</t>
  </si>
  <si>
    <t>Беляев Максим Артемович</t>
  </si>
  <si>
    <t>Судья на дистанции</t>
  </si>
  <si>
    <t>Судья по награждению</t>
  </si>
  <si>
    <t>Иващенко Надежда Николаевна</t>
  </si>
  <si>
    <t>Судья на повороте</t>
  </si>
  <si>
    <t>Токарева Ольга Николаевна</t>
  </si>
  <si>
    <t>Секретарь</t>
  </si>
  <si>
    <t>Мокров Ярослав</t>
  </si>
  <si>
    <t>Плавание в  ластах 400 метров, девочки 2012-2013 г.р.</t>
  </si>
  <si>
    <t>Плавание в  ластах 400 метров, мальчики 2012-2013 г.р.</t>
  </si>
  <si>
    <t>Плавание в  ластах 400 метров, мальчики 2008-2011 г.р.</t>
  </si>
  <si>
    <t>Плавание в  ластах 400 метров, девочки  2008-2011 г.р.</t>
  </si>
  <si>
    <t>Министерство спорта Красноярского края</t>
  </si>
  <si>
    <t>Краевое государственное автономное учреждение "Центр спортивной подготовки"</t>
  </si>
  <si>
    <t>в городе Канске</t>
  </si>
  <si>
    <t>г. Сосновоборск  б-н "Надежда"</t>
  </si>
  <si>
    <t>СПИСОК УЧАСТНИКОВ</t>
  </si>
  <si>
    <t>Дата
рожд.</t>
  </si>
  <si>
    <t>Фамилия, имя, отчество</t>
  </si>
  <si>
    <t>СКПС "Дианема" г. Красноярск</t>
  </si>
  <si>
    <t>Иваницкий В.В.</t>
  </si>
  <si>
    <t>Сбродов И. Г.</t>
  </si>
  <si>
    <t>Сбродов Иван Геннадьевич</t>
  </si>
  <si>
    <t>Иваницкий Владимир Владимирович</t>
  </si>
  <si>
    <t>СКПС "Катран" г. Красноярск</t>
  </si>
  <si>
    <t>Фалеева Е.А., Ермолаева С.Е.</t>
  </si>
  <si>
    <t xml:space="preserve">Лукьянова Анастасия </t>
  </si>
  <si>
    <t>КПС "Дельфин" г.Канск</t>
  </si>
  <si>
    <t xml:space="preserve">Тупока Константин </t>
  </si>
  <si>
    <t>Дьячуков Р.И.</t>
  </si>
  <si>
    <t>МАУ  ДО "СШ" г. Сосновоборск</t>
  </si>
  <si>
    <t>Устюгова В.Ю.</t>
  </si>
  <si>
    <t>ПК "Авангард" г. Красноярск</t>
  </si>
  <si>
    <t>Коваленко В.С., Худорба Е.С.</t>
  </si>
  <si>
    <t>Коваленко Вадим Сергеевич</t>
  </si>
  <si>
    <t>МБУ ДОЦ "Витязь" г.Зеленогорск</t>
  </si>
  <si>
    <t>Цыпенко И.Н.</t>
  </si>
  <si>
    <t>Цыпенко Ирина Николаевна</t>
  </si>
  <si>
    <t>ДВС г. Красноярск</t>
  </si>
  <si>
    <t>Бабаев Ф.И.</t>
  </si>
  <si>
    <t>Федорович</t>
  </si>
  <si>
    <t>Крутяков А.В.</t>
  </si>
  <si>
    <t>Гаппель Вадим Д</t>
  </si>
  <si>
    <t>Лучискенс Т.В.</t>
  </si>
  <si>
    <t>Лучискенс Татьяна Викторовна</t>
  </si>
  <si>
    <t>МБУ ДО КСШ г. Ачинск</t>
  </si>
  <si>
    <t>С.П.Симановская</t>
  </si>
  <si>
    <t>СКПС "Спутник"-"Авангард" г.Красноярск</t>
  </si>
  <si>
    <t>Реди Е.В., Попов П.А., Поляков В.В.</t>
  </si>
  <si>
    <t>Реди Е.В. Попов П.А. Поляков В.В.</t>
  </si>
  <si>
    <t>Реди Виктория</t>
  </si>
  <si>
    <t>Матвеевна</t>
  </si>
  <si>
    <t>СКПС "СибГУ" г.Красноярск</t>
  </si>
  <si>
    <t>Толстопятова М.В. Лисовик А.Н.</t>
  </si>
  <si>
    <t>Лисовик Алла Николаевна</t>
  </si>
  <si>
    <t>Плавание в  ластах 50 метров, девочки 2016 г.р. и младше</t>
  </si>
  <si>
    <t>Плавание в ластах 50 метров, девочки 2014-2015 г.р.</t>
  </si>
  <si>
    <t>Плавание в ластах 50 метров, девочки 2012-2013 г.р.</t>
  </si>
  <si>
    <t>Плавание в ластах 50 метров, девочки 2008-2011 г.р.</t>
  </si>
  <si>
    <t>Плавание в ластах 50 метров, мальчики 2016 г.р. и младше</t>
  </si>
  <si>
    <t>Плавание в ластах 50 метров, мальчики 2014-2015 г.р.</t>
  </si>
  <si>
    <t>Плавание в ластах 50 метров, мальчики 2012-2013 г.р.</t>
  </si>
  <si>
    <t>Плавание в  ластах 50 метров, мальчики 2008-2011 г.р.</t>
  </si>
  <si>
    <t>Плавание в  классических ластах 100 метров, девочки 2016 г.р.и младше</t>
  </si>
  <si>
    <t>Плавание в  классических ластах 100 метров, девочки 2014-2015 г.р.</t>
  </si>
  <si>
    <t>Плавание в  классических ластах 100 метров, девочки 2012-2013 г.р.</t>
  </si>
  <si>
    <t>Плавание в  классических ластах 100 метров, мальчики 2016 г.р.и младше</t>
  </si>
  <si>
    <t>Плавание в  классических ластах 100 метров, мальчики 2014-2015 г.р.</t>
  </si>
  <si>
    <t>Плавание в  классических ластах 100 метров, мальчики 2012-2013 г.р.</t>
  </si>
  <si>
    <t>Плавание в ластах 200 метров, девочки 2014-2015 г.р.,2008-2011 г.р.</t>
  </si>
  <si>
    <t>Фартушняк Мирослава</t>
  </si>
  <si>
    <t xml:space="preserve">Плавание в ластах 200 метров, девочки 2013-2014 г.р. </t>
  </si>
  <si>
    <t>Плавание в ластах 200 метров, мальчики 2014-2015 г.р.</t>
  </si>
  <si>
    <t>Плавание в ластах 200 метров, мальчики 2012-2013 г.р.</t>
  </si>
  <si>
    <t>Плавание в ластах 200 метров, мальчики 2008-2011 г.р.</t>
  </si>
  <si>
    <t xml:space="preserve">Плавание в классических ластах 400 метров, девочки 2012-2013 г.р. </t>
  </si>
  <si>
    <t xml:space="preserve">Плавание в классических ластах 400 метров, девочки 2008-2011 г.р. </t>
  </si>
  <si>
    <t xml:space="preserve">Плавание в классических ластах 400 метров, мальчики 2012-2013 г.р. </t>
  </si>
  <si>
    <t xml:space="preserve">Плавание в классических ластах 400 метров, мальчики 2008-2011 г.р. </t>
  </si>
  <si>
    <t xml:space="preserve">Анищенко Василина </t>
  </si>
  <si>
    <t xml:space="preserve">Король Артем </t>
  </si>
  <si>
    <t xml:space="preserve">Боровков Андрей </t>
  </si>
  <si>
    <t>Плавание в  классических ластах 100 метров, девочки 2008-2011 г.р.</t>
  </si>
  <si>
    <t>Плавание в ластах 200 метров, девочки 2014-2015 г.р.</t>
  </si>
  <si>
    <t>Шарыпова Валерия Сергеевна</t>
  </si>
  <si>
    <t>DSQ</t>
  </si>
  <si>
    <t>Плавание в  классических ластах 100 метров, мальчики 2008-2011 г.р.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</si>
</sst>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43" formatCode="_-* #,##0.00\ _₽_-;\-* #,##0.00\ _₽_-;_-* &quot;-&quot;??\ _₽_-;_-@_-"/>
    <numFmt numFmtId="164" formatCode="#,##0&quot;р.&quot;;[Red]\-#,##0&quot;р.&quot;"/>
    <numFmt numFmtId="165" formatCode="[&gt;9999]##\:##\.#0.00;[&gt;99]##\.#0.00;#0.00"/>
    <numFmt numFmtId="166" formatCode="[&gt;9]#0;General"/>
    <numFmt numFmtId="167" formatCode="##\:##\.#0.00"/>
    <numFmt numFmtId="168" formatCode="000"/>
    <numFmt numFmtId="169" formatCode="mm:ss.0;@"/>
    <numFmt numFmtId="170" formatCode="_-* #,##0.0\ _₽_-;\-* #,##0.0\ _₽_-;_-* &quot;-&quot;??\ _₽_-;_-@_-"/>
    <numFmt numFmtId="171" formatCode="yyyy"/>
  </numFmts>
  <fonts count="142" x14ac:knownFonts="1"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b/>
      <sz val="13"/>
      <color indexed="8"/>
      <name val="Times New Roman"/>
      <family val="1"/>
      <charset val="204"/>
    </font>
    <font>
      <b/>
      <sz val="18"/>
      <color indexed="8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8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i/>
      <sz val="10"/>
      <name val="Times New Roman"/>
      <family val="1"/>
      <charset val="204"/>
    </font>
    <font>
      <b/>
      <i/>
      <sz val="9"/>
      <color indexed="8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b/>
      <i/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9"/>
      <name val="Times New Roman"/>
      <family val="1"/>
      <charset val="204"/>
    </font>
    <font>
      <b/>
      <u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i/>
      <sz val="1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i/>
      <sz val="9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i/>
      <sz val="12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i/>
      <sz val="9"/>
      <name val="Times New Roman"/>
      <family val="1"/>
      <charset val="204"/>
    </font>
    <font>
      <sz val="7"/>
      <color theme="1"/>
      <name val="Times New Roman"/>
      <family val="1"/>
      <charset val="204"/>
    </font>
    <font>
      <b/>
      <i/>
      <sz val="11"/>
      <color indexed="8"/>
      <name val="Times New Roman"/>
      <family val="1"/>
      <charset val="204"/>
    </font>
    <font>
      <b/>
      <u/>
      <sz val="14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u/>
      <sz val="14"/>
      <color indexed="8"/>
      <name val="Times New Roman"/>
      <family val="1"/>
      <charset val="204"/>
    </font>
    <font>
      <sz val="14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i/>
      <u/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</font>
    <font>
      <b/>
      <i/>
      <sz val="11"/>
      <color theme="1"/>
      <name val="Calibri"/>
      <family val="2"/>
      <charset val="204"/>
      <scheme val="minor"/>
    </font>
    <font>
      <b/>
      <i/>
      <sz val="11"/>
      <name val="Calibri"/>
      <family val="2"/>
      <charset val="204"/>
      <scheme val="minor"/>
    </font>
    <font>
      <b/>
      <i/>
      <sz val="14"/>
      <name val="Times New Roman"/>
      <family val="1"/>
      <charset val="204"/>
    </font>
    <font>
      <sz val="6"/>
      <color indexed="8"/>
      <name val="Times New Roman"/>
      <family val="1"/>
      <charset val="204"/>
    </font>
    <font>
      <b/>
      <sz val="20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b/>
      <i/>
      <sz val="14"/>
      <color indexed="8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b/>
      <i/>
      <sz val="11"/>
      <color rgb="FF002060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i/>
      <sz val="7"/>
      <color theme="1"/>
      <name val="Times New Roman"/>
      <family val="1"/>
      <charset val="204"/>
    </font>
    <font>
      <b/>
      <sz val="16"/>
      <color theme="1"/>
      <name val="Calibri"/>
      <family val="2"/>
      <charset val="204"/>
      <scheme val="minor"/>
    </font>
    <font>
      <b/>
      <u/>
      <sz val="10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i/>
      <sz val="10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b/>
      <sz val="26"/>
      <name val="Times New Roman"/>
      <family val="1"/>
      <charset val="204"/>
    </font>
    <font>
      <b/>
      <u/>
      <sz val="16"/>
      <color indexed="8"/>
      <name val="Times New Roman"/>
      <family val="1"/>
      <charset val="204"/>
    </font>
    <font>
      <b/>
      <i/>
      <u/>
      <sz val="14"/>
      <color rgb="FFFF0000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u/>
      <sz val="11"/>
      <color theme="1"/>
      <name val="Times New Roman"/>
      <family val="1"/>
      <charset val="204"/>
    </font>
    <font>
      <b/>
      <i/>
      <sz val="11"/>
      <color rgb="FFFF0000"/>
      <name val="Calibri"/>
      <family val="2"/>
      <charset val="204"/>
      <scheme val="minor"/>
    </font>
    <font>
      <b/>
      <u/>
      <sz val="10"/>
      <color theme="1"/>
      <name val="Times New Roman"/>
      <family val="1"/>
      <charset val="204"/>
    </font>
    <font>
      <b/>
      <sz val="20"/>
      <name val="Times New Roman"/>
      <family val="1"/>
      <charset val="204"/>
    </font>
    <font>
      <b/>
      <sz val="15"/>
      <name val="Times New Roman"/>
      <family val="1"/>
      <charset val="204"/>
    </font>
    <font>
      <b/>
      <sz val="18"/>
      <name val="Times New Roman"/>
      <family val="1"/>
      <charset val="204"/>
    </font>
    <font>
      <b/>
      <i/>
      <sz val="14"/>
      <color theme="1"/>
      <name val="Times New Roman"/>
      <family val="1"/>
      <charset val="204"/>
    </font>
    <font>
      <b/>
      <i/>
      <sz val="9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6"/>
      <color rgb="FF000000"/>
      <name val="Times New Roman"/>
      <family val="1"/>
      <charset val="204"/>
    </font>
    <font>
      <b/>
      <sz val="20"/>
      <color rgb="FF000000"/>
      <name val="Times New Roman"/>
      <family val="1"/>
      <charset val="204"/>
    </font>
    <font>
      <sz val="10"/>
      <name val="Arial"/>
      <family val="2"/>
      <charset val="204"/>
    </font>
    <font>
      <sz val="11"/>
      <name val="Arial"/>
      <family val="2"/>
      <charset val="204"/>
    </font>
    <font>
      <sz val="10"/>
      <name val="Arial"/>
      <family val="2"/>
      <charset val="204"/>
    </font>
    <font>
      <sz val="9"/>
      <name val="Arial"/>
      <family val="2"/>
      <charset val="204"/>
    </font>
    <font>
      <sz val="12"/>
      <name val="Arial"/>
      <family val="2"/>
      <charset val="204"/>
    </font>
    <font>
      <sz val="9"/>
      <color rgb="FF000000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  <font>
      <b/>
      <i/>
      <u/>
      <sz val="9"/>
      <name val="Times New Roman"/>
      <family val="1"/>
      <charset val="204"/>
    </font>
    <font>
      <sz val="14"/>
      <name val="Times New Roman"/>
      <family val="1"/>
    </font>
    <font>
      <sz val="10"/>
      <color rgb="FFC00000"/>
      <name val="Times New Roman"/>
      <family val="1"/>
      <charset val="204"/>
    </font>
    <font>
      <b/>
      <sz val="16"/>
      <color rgb="FF7030A0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i/>
      <u/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0"/>
      <color rgb="FF0070C0"/>
      <name val="Times New Roman"/>
      <family val="1"/>
      <charset val="204"/>
    </font>
    <font>
      <sz val="19"/>
      <name val="Times New Roman"/>
      <family val="1"/>
    </font>
    <font>
      <sz val="15"/>
      <name val="Times New Roman Cyr"/>
      <charset val="204"/>
    </font>
    <font>
      <sz val="19"/>
      <name val="Times New Roman Cyr"/>
      <charset val="204"/>
    </font>
    <font>
      <sz val="19"/>
      <name val="Times New Roman"/>
      <family val="1"/>
      <charset val="204"/>
    </font>
    <font>
      <sz val="15"/>
      <name val="Times New Roman"/>
      <family val="1"/>
    </font>
    <font>
      <sz val="18"/>
      <name val="Times New Roman"/>
      <family val="1"/>
    </font>
    <font>
      <sz val="12"/>
      <name val="Times New Roman"/>
      <family val="1"/>
    </font>
    <font>
      <sz val="13"/>
      <name val="Times New Roman"/>
      <family val="1"/>
    </font>
    <font>
      <sz val="16"/>
      <name val="Times New Roman"/>
      <family val="1"/>
    </font>
    <font>
      <sz val="16"/>
      <name val="Times New Roman Cyr"/>
      <charset val="204"/>
    </font>
    <font>
      <i/>
      <sz val="14"/>
      <color theme="1"/>
      <name val="Times New Roman"/>
      <family val="1"/>
      <charset val="204"/>
    </font>
    <font>
      <b/>
      <i/>
      <sz val="13"/>
      <color theme="1"/>
      <name val="Times New Roman"/>
      <family val="1"/>
      <charset val="204"/>
    </font>
    <font>
      <i/>
      <sz val="14"/>
      <name val="Times New Roman"/>
      <family val="1"/>
    </font>
    <font>
      <sz val="14"/>
      <name val="Times New Roman Cyr"/>
      <charset val="204"/>
    </font>
    <font>
      <sz val="10"/>
      <color rgb="FF000000"/>
      <name val="Times New Roman"/>
      <family val="1"/>
      <charset val="204"/>
    </font>
    <font>
      <sz val="10"/>
      <name val="Arial Cyr"/>
      <family val="2"/>
      <charset val="204"/>
    </font>
    <font>
      <u/>
      <sz val="11"/>
      <color theme="1"/>
      <name val="Calibri"/>
      <family val="2"/>
      <charset val="204"/>
      <scheme val="minor"/>
    </font>
    <font>
      <b/>
      <i/>
      <u/>
      <sz val="10"/>
      <name val="Times New Roman"/>
      <family val="1"/>
      <charset val="204"/>
    </font>
    <font>
      <sz val="9"/>
      <color rgb="FF000000"/>
      <name val="Times New Roman"/>
      <family val="1"/>
    </font>
    <font>
      <sz val="9"/>
      <color theme="1"/>
      <name val="Times New Roman"/>
      <family val="1"/>
    </font>
    <font>
      <sz val="9"/>
      <color rgb="FF2C2D2E"/>
      <name val="Times New Roman"/>
      <family val="1"/>
      <charset val="204"/>
    </font>
    <font>
      <sz val="16"/>
      <color indexed="8"/>
      <name val="Times New Roman"/>
      <family val="1"/>
      <charset val="204"/>
    </font>
    <font>
      <b/>
      <i/>
      <u/>
      <sz val="14"/>
      <color theme="1"/>
      <name val="Times New Roman"/>
      <family val="1"/>
      <charset val="204"/>
    </font>
    <font>
      <b/>
      <i/>
      <u/>
      <sz val="9"/>
      <color indexed="8"/>
      <name val="Times New Roman"/>
      <family val="1"/>
      <charset val="204"/>
    </font>
    <font>
      <i/>
      <sz val="9"/>
      <color indexed="8"/>
      <name val="Times New Roman"/>
      <family val="1"/>
      <charset val="204"/>
    </font>
    <font>
      <b/>
      <i/>
      <u/>
      <sz val="12"/>
      <name val="Times New Roman"/>
      <family val="1"/>
      <charset val="204"/>
    </font>
    <font>
      <b/>
      <i/>
      <u/>
      <sz val="14"/>
      <name val="Times New Roman"/>
      <family val="1"/>
      <charset val="204"/>
    </font>
    <font>
      <i/>
      <sz val="9"/>
      <color theme="1"/>
      <name val="Times New Roman"/>
      <family val="1"/>
      <charset val="204"/>
    </font>
    <font>
      <i/>
      <sz val="14"/>
      <color rgb="FFFF0000"/>
      <name val="Times New Roman"/>
      <family val="1"/>
      <charset val="204"/>
    </font>
    <font>
      <i/>
      <sz val="9"/>
      <color rgb="FFFF0000"/>
      <name val="Times New Roman"/>
      <family val="1"/>
      <charset val="204"/>
    </font>
  </fonts>
  <fills count="1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9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auto="1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/>
      <bottom style="dotted">
        <color indexed="64"/>
      </bottom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5">
    <xf numFmtId="0" fontId="0" fillId="0" borderId="0"/>
    <xf numFmtId="0" fontId="89" fillId="0" borderId="0"/>
    <xf numFmtId="0" fontId="96" fillId="0" borderId="0"/>
    <xf numFmtId="43" fontId="110" fillId="0" borderId="0" applyFont="0" applyFill="0" applyBorder="0" applyAlignment="0" applyProtection="0"/>
    <xf numFmtId="0" fontId="125" fillId="0" borderId="0"/>
  </cellStyleXfs>
  <cellXfs count="1619">
    <xf numFmtId="0" fontId="0" fillId="0" borderId="0" xfId="0"/>
    <xf numFmtId="0" fontId="1" fillId="0" borderId="0" xfId="0" applyFont="1" applyFill="1" applyBorder="1" applyAlignment="1">
      <alignment horizontal="right"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6" fillId="0" borderId="0" xfId="0" applyFont="1" applyFill="1" applyAlignment="1">
      <alignment vertical="center"/>
    </xf>
    <xf numFmtId="0" fontId="6" fillId="0" borderId="0" xfId="0" applyFont="1" applyFill="1" applyBorder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vertical="center" textRotation="90"/>
    </xf>
    <xf numFmtId="2" fontId="10" fillId="0" borderId="5" xfId="0" applyNumberFormat="1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/>
    </xf>
    <xf numFmtId="0" fontId="11" fillId="0" borderId="0" xfId="0" applyFont="1" applyFill="1" applyBorder="1" applyAlignment="1">
      <alignment horizontal="center" vertical="center"/>
    </xf>
    <xf numFmtId="2" fontId="11" fillId="0" borderId="0" xfId="0" applyNumberFormat="1" applyFont="1" applyFill="1" applyBorder="1" applyAlignment="1">
      <alignment horizontal="right" vertical="center"/>
    </xf>
    <xf numFmtId="0" fontId="10" fillId="0" borderId="0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vertical="center"/>
    </xf>
    <xf numFmtId="2" fontId="1" fillId="0" borderId="0" xfId="0" applyNumberFormat="1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14" fillId="0" borderId="0" xfId="0" applyFont="1" applyFill="1" applyBorder="1" applyAlignment="1">
      <alignment vertical="center"/>
    </xf>
    <xf numFmtId="0" fontId="14" fillId="0" borderId="0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left" vertical="center"/>
    </xf>
    <xf numFmtId="0" fontId="18" fillId="0" borderId="0" xfId="0" applyFont="1" applyBorder="1" applyAlignment="1">
      <alignment vertical="center"/>
    </xf>
    <xf numFmtId="1" fontId="18" fillId="0" borderId="0" xfId="0" applyNumberFormat="1" applyFont="1" applyBorder="1" applyAlignment="1">
      <alignment horizontal="center" vertical="center"/>
    </xf>
    <xf numFmtId="0" fontId="14" fillId="0" borderId="0" xfId="0" applyFont="1" applyFill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18" fillId="0" borderId="0" xfId="0" applyFont="1" applyBorder="1" applyAlignment="1">
      <alignment horizontal="center" vertical="top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26" fillId="0" borderId="0" xfId="0" applyFont="1" applyFill="1" applyAlignment="1">
      <alignment vertical="center"/>
    </xf>
    <xf numFmtId="0" fontId="25" fillId="0" borderId="0" xfId="0" applyFont="1" applyFill="1" applyAlignment="1">
      <alignment vertical="center"/>
    </xf>
    <xf numFmtId="0" fontId="25" fillId="0" borderId="0" xfId="0" applyFont="1" applyFill="1" applyAlignment="1">
      <alignment horizontal="center" vertical="center"/>
    </xf>
    <xf numFmtId="0" fontId="25" fillId="0" borderId="0" xfId="0" applyFont="1" applyFill="1" applyBorder="1" applyAlignment="1">
      <alignment horizontal="center" vertical="center"/>
    </xf>
    <xf numFmtId="0" fontId="27" fillId="0" borderId="0" xfId="0" applyFont="1" applyFill="1" applyAlignment="1">
      <alignment vertical="center"/>
    </xf>
    <xf numFmtId="0" fontId="14" fillId="0" borderId="0" xfId="0" applyFont="1" applyFill="1" applyAlignment="1">
      <alignment vertical="center"/>
    </xf>
    <xf numFmtId="167" fontId="12" fillId="0" borderId="0" xfId="0" applyNumberFormat="1" applyFont="1" applyFill="1" applyBorder="1" applyAlignment="1">
      <alignment horizontal="right" wrapText="1"/>
    </xf>
    <xf numFmtId="1" fontId="12" fillId="0" borderId="0" xfId="0" applyNumberFormat="1" applyFont="1" applyFill="1" applyBorder="1" applyAlignment="1">
      <alignment horizontal="center" wrapText="1"/>
    </xf>
    <xf numFmtId="0" fontId="18" fillId="0" borderId="0" xfId="0" applyFont="1" applyBorder="1" applyAlignment="1">
      <alignment vertical="top"/>
    </xf>
    <xf numFmtId="165" fontId="2" fillId="0" borderId="0" xfId="0" applyNumberFormat="1" applyFont="1" applyFill="1" applyBorder="1" applyAlignment="1">
      <alignment vertical="center"/>
    </xf>
    <xf numFmtId="1" fontId="2" fillId="0" borderId="0" xfId="0" applyNumberFormat="1" applyFont="1" applyFill="1" applyBorder="1" applyAlignment="1">
      <alignment horizontal="center" vertical="center"/>
    </xf>
    <xf numFmtId="165" fontId="2" fillId="0" borderId="0" xfId="0" applyNumberFormat="1" applyFont="1" applyFill="1" applyBorder="1" applyAlignment="1">
      <alignment horizontal="center" vertical="center"/>
    </xf>
    <xf numFmtId="165" fontId="1" fillId="0" borderId="0" xfId="0" applyNumberFormat="1" applyFont="1" applyFill="1" applyAlignment="1">
      <alignment horizontal="right" vertical="center"/>
    </xf>
    <xf numFmtId="165" fontId="1" fillId="0" borderId="0" xfId="0" applyNumberFormat="1" applyFont="1" applyFill="1" applyAlignment="1">
      <alignment horizontal="center" vertical="center"/>
    </xf>
    <xf numFmtId="165" fontId="1" fillId="0" borderId="0" xfId="0" applyNumberFormat="1" applyFont="1" applyFill="1" applyAlignment="1">
      <alignment vertical="center"/>
    </xf>
    <xf numFmtId="0" fontId="14" fillId="0" borderId="13" xfId="0" applyFont="1" applyFill="1" applyBorder="1" applyAlignment="1">
      <alignment horizontal="center" vertical="center"/>
    </xf>
    <xf numFmtId="165" fontId="2" fillId="0" borderId="13" xfId="0" applyNumberFormat="1" applyFont="1" applyFill="1" applyBorder="1" applyAlignment="1">
      <alignment vertical="center"/>
    </xf>
    <xf numFmtId="165" fontId="2" fillId="0" borderId="5" xfId="0" applyNumberFormat="1" applyFont="1" applyFill="1" applyBorder="1" applyAlignment="1">
      <alignment vertical="center"/>
    </xf>
    <xf numFmtId="0" fontId="14" fillId="0" borderId="5" xfId="0" applyFont="1" applyFill="1" applyBorder="1" applyAlignment="1">
      <alignment horizontal="center" vertical="center"/>
    </xf>
    <xf numFmtId="165" fontId="2" fillId="0" borderId="30" xfId="0" applyNumberFormat="1" applyFont="1" applyFill="1" applyBorder="1" applyAlignment="1">
      <alignment vertical="center"/>
    </xf>
    <xf numFmtId="0" fontId="25" fillId="0" borderId="0" xfId="0" applyFont="1" applyFill="1" applyBorder="1" applyAlignment="1">
      <alignment horizontal="right" vertical="center"/>
    </xf>
    <xf numFmtId="0" fontId="14" fillId="0" borderId="0" xfId="0" applyFont="1" applyFill="1" applyBorder="1" applyAlignment="1">
      <alignment horizontal="right" vertical="center"/>
    </xf>
    <xf numFmtId="1" fontId="6" fillId="0" borderId="0" xfId="0" applyNumberFormat="1" applyFont="1" applyFill="1" applyBorder="1" applyAlignment="1">
      <alignment horizontal="right" vertical="center"/>
    </xf>
    <xf numFmtId="0" fontId="33" fillId="0" borderId="0" xfId="0" applyFont="1" applyAlignment="1"/>
    <xf numFmtId="0" fontId="35" fillId="0" borderId="0" xfId="0" applyFont="1" applyAlignment="1"/>
    <xf numFmtId="0" fontId="36" fillId="0" borderId="0" xfId="0" applyFont="1" applyFill="1" applyBorder="1" applyAlignment="1">
      <alignment vertical="center"/>
    </xf>
    <xf numFmtId="0" fontId="36" fillId="0" borderId="0" xfId="0" applyFont="1" applyFill="1" applyBorder="1" applyAlignment="1">
      <alignment horizontal="right" vertical="center"/>
    </xf>
    <xf numFmtId="0" fontId="36" fillId="0" borderId="1" xfId="0" applyFont="1" applyFill="1" applyBorder="1" applyAlignment="1">
      <alignment vertical="center"/>
    </xf>
    <xf numFmtId="165" fontId="36" fillId="0" borderId="1" xfId="0" applyNumberFormat="1" applyFont="1" applyFill="1" applyBorder="1" applyAlignment="1">
      <alignment vertical="center"/>
    </xf>
    <xf numFmtId="165" fontId="36" fillId="0" borderId="0" xfId="0" applyNumberFormat="1" applyFont="1" applyFill="1" applyBorder="1" applyAlignment="1">
      <alignment vertical="center"/>
    </xf>
    <xf numFmtId="165" fontId="1" fillId="0" borderId="0" xfId="0" applyNumberFormat="1" applyFont="1" applyFill="1" applyBorder="1" applyAlignment="1">
      <alignment horizontal="center" vertical="center"/>
    </xf>
    <xf numFmtId="165" fontId="2" fillId="0" borderId="0" xfId="0" applyNumberFormat="1" applyFont="1" applyFill="1" applyBorder="1" applyAlignment="1">
      <alignment horizontal="center" vertical="center" wrapText="1"/>
    </xf>
    <xf numFmtId="1" fontId="6" fillId="0" borderId="25" xfId="0" applyNumberFormat="1" applyFont="1" applyFill="1" applyBorder="1" applyAlignment="1">
      <alignment horizontal="right" vertical="center"/>
    </xf>
    <xf numFmtId="1" fontId="6" fillId="0" borderId="26" xfId="0" applyNumberFormat="1" applyFont="1" applyFill="1" applyBorder="1" applyAlignment="1">
      <alignment horizontal="right" vertical="center"/>
    </xf>
    <xf numFmtId="0" fontId="6" fillId="0" borderId="2" xfId="0" applyFont="1" applyFill="1" applyBorder="1" applyAlignment="1">
      <alignment vertical="center"/>
    </xf>
    <xf numFmtId="1" fontId="6" fillId="0" borderId="29" xfId="0" applyNumberFormat="1" applyFont="1" applyFill="1" applyBorder="1" applyAlignment="1">
      <alignment horizontal="right" vertical="center"/>
    </xf>
    <xf numFmtId="0" fontId="6" fillId="0" borderId="32" xfId="0" applyFont="1" applyFill="1" applyBorder="1" applyAlignment="1">
      <alignment vertical="center"/>
    </xf>
    <xf numFmtId="0" fontId="14" fillId="0" borderId="37" xfId="0" applyFont="1" applyFill="1" applyBorder="1" applyAlignment="1">
      <alignment horizontal="left" vertical="center"/>
    </xf>
    <xf numFmtId="0" fontId="14" fillId="0" borderId="30" xfId="0" applyFont="1" applyFill="1" applyBorder="1" applyAlignment="1">
      <alignment horizontal="center" vertical="center"/>
    </xf>
    <xf numFmtId="0" fontId="13" fillId="0" borderId="0" xfId="0" applyFont="1" applyBorder="1" applyAlignment="1">
      <alignment vertical="top"/>
    </xf>
    <xf numFmtId="0" fontId="37" fillId="0" borderId="0" xfId="0" applyFont="1" applyFill="1" applyBorder="1" applyAlignment="1">
      <alignment horizontal="right" vertical="center"/>
    </xf>
    <xf numFmtId="165" fontId="1" fillId="0" borderId="0" xfId="0" applyNumberFormat="1" applyFont="1" applyFill="1" applyBorder="1" applyAlignment="1">
      <alignment vertical="center"/>
    </xf>
    <xf numFmtId="165" fontId="1" fillId="0" borderId="0" xfId="0" applyNumberFormat="1" applyFont="1" applyFill="1" applyBorder="1" applyAlignment="1">
      <alignment horizontal="right" vertical="center"/>
    </xf>
    <xf numFmtId="0" fontId="1" fillId="0" borderId="0" xfId="0" applyFont="1" applyFill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165" fontId="3" fillId="0" borderId="0" xfId="0" applyNumberFormat="1" applyFont="1" applyFill="1" applyAlignment="1">
      <alignment vertical="center"/>
    </xf>
    <xf numFmtId="165" fontId="3" fillId="0" borderId="0" xfId="0" applyNumberFormat="1" applyFont="1" applyFill="1" applyAlignment="1">
      <alignment horizontal="right" vertical="center"/>
    </xf>
    <xf numFmtId="165" fontId="3" fillId="0" borderId="0" xfId="0" applyNumberFormat="1" applyFont="1" applyFill="1" applyAlignment="1">
      <alignment horizontal="center" vertical="center"/>
    </xf>
    <xf numFmtId="0" fontId="23" fillId="0" borderId="0" xfId="0" applyFont="1" applyFill="1" applyBorder="1" applyAlignment="1">
      <alignment horizontal="left" vertical="center"/>
    </xf>
    <xf numFmtId="0" fontId="23" fillId="0" borderId="0" xfId="0" applyFont="1" applyFill="1" applyAlignment="1">
      <alignment vertical="center"/>
    </xf>
    <xf numFmtId="0" fontId="23" fillId="0" borderId="0" xfId="0" applyFont="1" applyFill="1" applyAlignment="1">
      <alignment horizontal="left" vertical="center"/>
    </xf>
    <xf numFmtId="0" fontId="23" fillId="0" borderId="0" xfId="0" applyFont="1" applyFill="1" applyBorder="1" applyAlignment="1">
      <alignment horizontal="center" vertical="center"/>
    </xf>
    <xf numFmtId="165" fontId="23" fillId="0" borderId="0" xfId="0" applyNumberFormat="1" applyFont="1" applyFill="1" applyAlignment="1">
      <alignment vertical="center"/>
    </xf>
    <xf numFmtId="165" fontId="23" fillId="0" borderId="0" xfId="0" applyNumberFormat="1" applyFont="1" applyFill="1" applyAlignment="1">
      <alignment horizontal="right" vertical="center"/>
    </xf>
    <xf numFmtId="165" fontId="23" fillId="0" borderId="0" xfId="0" applyNumberFormat="1" applyFont="1" applyFill="1" applyAlignment="1">
      <alignment horizontal="center" vertical="center"/>
    </xf>
    <xf numFmtId="0" fontId="23" fillId="0" borderId="0" xfId="0" applyFont="1" applyFill="1" applyAlignment="1">
      <alignment horizontal="center" vertical="center"/>
    </xf>
    <xf numFmtId="0" fontId="40" fillId="0" borderId="0" xfId="0" applyFont="1" applyFill="1" applyAlignment="1">
      <alignment horizontal="center" vertical="center"/>
    </xf>
    <xf numFmtId="0" fontId="40" fillId="0" borderId="0" xfId="0" applyFont="1" applyFill="1" applyAlignment="1">
      <alignment vertical="center"/>
    </xf>
    <xf numFmtId="0" fontId="40" fillId="0" borderId="0" xfId="0" applyFont="1" applyFill="1" applyBorder="1" applyAlignment="1">
      <alignment horizontal="center" vertical="center"/>
    </xf>
    <xf numFmtId="165" fontId="40" fillId="0" borderId="0" xfId="0" applyNumberFormat="1" applyFont="1" applyFill="1" applyAlignment="1">
      <alignment vertical="center"/>
    </xf>
    <xf numFmtId="165" fontId="40" fillId="0" borderId="0" xfId="0" applyNumberFormat="1" applyFont="1" applyFill="1" applyAlignment="1">
      <alignment horizontal="right" vertical="center"/>
    </xf>
    <xf numFmtId="165" fontId="40" fillId="0" borderId="0" xfId="0" applyNumberFormat="1" applyFont="1" applyFill="1" applyAlignment="1">
      <alignment horizontal="center" vertical="center"/>
    </xf>
    <xf numFmtId="165" fontId="6" fillId="0" borderId="0" xfId="0" applyNumberFormat="1" applyFont="1" applyFill="1" applyBorder="1" applyAlignment="1">
      <alignment horizontal="left" vertical="center" wrapText="1"/>
    </xf>
    <xf numFmtId="1" fontId="1" fillId="0" borderId="0" xfId="0" applyNumberFormat="1" applyFont="1" applyFill="1" applyAlignment="1">
      <alignment vertical="center"/>
    </xf>
    <xf numFmtId="1" fontId="1" fillId="0" borderId="0" xfId="0" applyNumberFormat="1" applyFont="1" applyFill="1" applyBorder="1" applyAlignment="1">
      <alignment horizontal="center" vertical="center"/>
    </xf>
    <xf numFmtId="1" fontId="1" fillId="0" borderId="0" xfId="0" applyNumberFormat="1" applyFont="1" applyFill="1" applyBorder="1" applyAlignment="1">
      <alignment vertical="center"/>
    </xf>
    <xf numFmtId="0" fontId="14" fillId="0" borderId="0" xfId="0" applyFont="1" applyAlignment="1">
      <alignment horizontal="center" vertical="center"/>
    </xf>
    <xf numFmtId="0" fontId="42" fillId="0" borderId="0" xfId="0" applyFont="1" applyAlignment="1">
      <alignment horizontal="center" vertical="center"/>
    </xf>
    <xf numFmtId="0" fontId="1" fillId="0" borderId="0" xfId="0" applyFont="1" applyFill="1" applyAlignment="1">
      <alignment horizontal="right" vertical="center"/>
    </xf>
    <xf numFmtId="0" fontId="14" fillId="0" borderId="0" xfId="0" applyFont="1"/>
    <xf numFmtId="0" fontId="27" fillId="0" borderId="0" xfId="0" applyFont="1"/>
    <xf numFmtId="0" fontId="26" fillId="0" borderId="0" xfId="0" applyFont="1"/>
    <xf numFmtId="168" fontId="14" fillId="0" borderId="0" xfId="0" applyNumberFormat="1" applyFont="1"/>
    <xf numFmtId="0" fontId="14" fillId="0" borderId="0" xfId="0" applyFont="1" applyFill="1"/>
    <xf numFmtId="0" fontId="14" fillId="0" borderId="0" xfId="0" applyFont="1" applyFill="1" applyAlignment="1">
      <alignment horizontal="center"/>
    </xf>
    <xf numFmtId="0" fontId="24" fillId="3" borderId="0" xfId="0" applyFont="1" applyFill="1"/>
    <xf numFmtId="0" fontId="27" fillId="3" borderId="0" xfId="0" applyFont="1" applyFill="1"/>
    <xf numFmtId="0" fontId="14" fillId="3" borderId="0" xfId="0" applyFont="1" applyFill="1"/>
    <xf numFmtId="1" fontId="45" fillId="3" borderId="0" xfId="0" applyNumberFormat="1" applyFont="1" applyFill="1" applyAlignment="1">
      <alignment horizontal="right"/>
    </xf>
    <xf numFmtId="0" fontId="35" fillId="3" borderId="0" xfId="0" applyFont="1" applyFill="1"/>
    <xf numFmtId="49" fontId="12" fillId="0" borderId="0" xfId="0" applyNumberFormat="1" applyFont="1" applyBorder="1" applyAlignment="1">
      <alignment horizontal="center" vertical="center" wrapText="1"/>
    </xf>
    <xf numFmtId="165" fontId="12" fillId="0" borderId="0" xfId="0" applyNumberFormat="1" applyFont="1" applyFill="1" applyBorder="1" applyAlignment="1">
      <alignment horizontal="right" vertical="center" wrapText="1"/>
    </xf>
    <xf numFmtId="165" fontId="12" fillId="0" borderId="0" xfId="0" applyNumberFormat="1" applyFont="1" applyBorder="1" applyAlignment="1">
      <alignment horizontal="right" vertical="center" wrapText="1"/>
    </xf>
    <xf numFmtId="165" fontId="12" fillId="4" borderId="0" xfId="0" applyNumberFormat="1" applyFont="1" applyFill="1" applyBorder="1" applyAlignment="1">
      <alignment horizontal="right" vertical="center" wrapText="1"/>
    </xf>
    <xf numFmtId="0" fontId="26" fillId="0" borderId="0" xfId="0" applyFont="1" applyAlignment="1">
      <alignment horizontal="left"/>
    </xf>
    <xf numFmtId="2" fontId="18" fillId="0" borderId="56" xfId="0" applyNumberFormat="1" applyFont="1" applyBorder="1" applyAlignment="1">
      <alignment horizontal="center" vertical="top" wrapText="1"/>
    </xf>
    <xf numFmtId="2" fontId="43" fillId="0" borderId="34" xfId="0" applyNumberFormat="1" applyFont="1" applyBorder="1" applyAlignment="1">
      <alignment horizontal="distributed" vertical="top" wrapText="1" indent="1"/>
    </xf>
    <xf numFmtId="2" fontId="18" fillId="2" borderId="56" xfId="0" applyNumberFormat="1" applyFont="1" applyFill="1" applyBorder="1" applyAlignment="1">
      <alignment horizontal="center"/>
    </xf>
    <xf numFmtId="2" fontId="18" fillId="2" borderId="56" xfId="0" applyNumberFormat="1" applyFont="1" applyFill="1" applyBorder="1" applyAlignment="1">
      <alignment horizontal="center" vertical="top" wrapText="1"/>
    </xf>
    <xf numFmtId="2" fontId="43" fillId="2" borderId="34" xfId="0" applyNumberFormat="1" applyFont="1" applyFill="1" applyBorder="1" applyAlignment="1">
      <alignment horizontal="distributed" vertical="top" wrapText="1" indent="1"/>
    </xf>
    <xf numFmtId="2" fontId="48" fillId="0" borderId="57" xfId="0" applyNumberFormat="1" applyFont="1" applyBorder="1" applyAlignment="1">
      <alignment horizontal="center" vertical="top" wrapText="1"/>
    </xf>
    <xf numFmtId="2" fontId="51" fillId="2" borderId="56" xfId="0" applyNumberFormat="1" applyFont="1" applyFill="1" applyBorder="1" applyAlignment="1">
      <alignment horizontal="center" vertical="top" wrapText="1"/>
    </xf>
    <xf numFmtId="2" fontId="51" fillId="0" borderId="56" xfId="0" applyNumberFormat="1" applyFont="1" applyBorder="1" applyAlignment="1">
      <alignment horizontal="center" vertical="top" wrapText="1"/>
    </xf>
    <xf numFmtId="2" fontId="51" fillId="2" borderId="58" xfId="0" applyNumberFormat="1" applyFont="1" applyFill="1" applyBorder="1" applyAlignment="1">
      <alignment horizontal="center" vertical="top" wrapText="1"/>
    </xf>
    <xf numFmtId="2" fontId="43" fillId="2" borderId="59" xfId="0" applyNumberFormat="1" applyFont="1" applyFill="1" applyBorder="1" applyAlignment="1">
      <alignment horizontal="distributed" vertical="top" wrapText="1" indent="1"/>
    </xf>
    <xf numFmtId="2" fontId="43" fillId="0" borderId="59" xfId="0" applyNumberFormat="1" applyFont="1" applyBorder="1" applyAlignment="1">
      <alignment horizontal="distributed" vertical="top" wrapText="1" indent="1"/>
    </xf>
    <xf numFmtId="2" fontId="18" fillId="0" borderId="58" xfId="0" applyNumberFormat="1" applyFont="1" applyBorder="1" applyAlignment="1">
      <alignment horizontal="center" vertical="top" wrapText="1"/>
    </xf>
    <xf numFmtId="2" fontId="18" fillId="2" borderId="58" xfId="0" applyNumberFormat="1" applyFont="1" applyFill="1" applyBorder="1" applyAlignment="1">
      <alignment horizontal="center" vertical="top" wrapText="1"/>
    </xf>
    <xf numFmtId="2" fontId="43" fillId="2" borderId="56" xfId="0" applyNumberFormat="1" applyFont="1" applyFill="1" applyBorder="1" applyAlignment="1">
      <alignment horizontal="distributed" vertical="top" wrapText="1" indent="1"/>
    </xf>
    <xf numFmtId="0" fontId="18" fillId="0" borderId="0" xfId="0" applyFont="1" applyAlignment="1">
      <alignment horizontal="center"/>
    </xf>
    <xf numFmtId="0" fontId="14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 indent="2"/>
    </xf>
    <xf numFmtId="0" fontId="19" fillId="0" borderId="0" xfId="0" applyFont="1" applyFill="1" applyAlignment="1">
      <alignment horizontal="left" vertical="center"/>
    </xf>
    <xf numFmtId="0" fontId="19" fillId="0" borderId="0" xfId="0" applyFont="1" applyFill="1" applyAlignment="1">
      <alignment vertical="center"/>
    </xf>
    <xf numFmtId="0" fontId="19" fillId="0" borderId="0" xfId="0" applyFont="1" applyFill="1" applyAlignment="1">
      <alignment horizontal="center" vertical="center"/>
    </xf>
    <xf numFmtId="0" fontId="19" fillId="0" borderId="0" xfId="0" applyFont="1" applyFill="1" applyAlignment="1">
      <alignment horizontal="right" vertical="center"/>
    </xf>
    <xf numFmtId="0" fontId="60" fillId="0" borderId="0" xfId="0" applyFont="1"/>
    <xf numFmtId="0" fontId="52" fillId="0" borderId="0" xfId="0" applyFont="1" applyFill="1" applyAlignment="1">
      <alignment vertical="center"/>
    </xf>
    <xf numFmtId="0" fontId="54" fillId="0" borderId="0" xfId="0" applyFont="1" applyFill="1" applyAlignment="1">
      <alignment vertical="center"/>
    </xf>
    <xf numFmtId="0" fontId="54" fillId="0" borderId="0" xfId="0" applyFont="1" applyFill="1" applyBorder="1" applyAlignment="1">
      <alignment horizontal="center" vertical="center"/>
    </xf>
    <xf numFmtId="0" fontId="36" fillId="0" borderId="0" xfId="0" applyFont="1" applyFill="1" applyAlignment="1">
      <alignment vertical="center"/>
    </xf>
    <xf numFmtId="2" fontId="54" fillId="0" borderId="0" xfId="0" applyNumberFormat="1" applyFont="1" applyFill="1" applyAlignment="1">
      <alignment horizontal="right" vertical="center"/>
    </xf>
    <xf numFmtId="0" fontId="20" fillId="0" borderId="0" xfId="0" applyFont="1" applyFill="1" applyAlignment="1">
      <alignment horizontal="right" vertical="center"/>
    </xf>
    <xf numFmtId="0" fontId="20" fillId="0" borderId="0" xfId="0" applyFont="1" applyFill="1" applyAlignment="1">
      <alignment vertical="center"/>
    </xf>
    <xf numFmtId="1" fontId="43" fillId="0" borderId="0" xfId="0" applyNumberFormat="1" applyFont="1" applyFill="1" applyBorder="1" applyAlignment="1">
      <alignment horizontal="center" vertical="center"/>
    </xf>
    <xf numFmtId="165" fontId="3" fillId="0" borderId="0" xfId="0" applyNumberFormat="1" applyFont="1" applyFill="1" applyBorder="1" applyAlignment="1">
      <alignment vertical="center"/>
    </xf>
    <xf numFmtId="165" fontId="3" fillId="0" borderId="0" xfId="0" applyNumberFormat="1" applyFont="1" applyFill="1" applyBorder="1" applyAlignment="1">
      <alignment horizontal="center" vertical="center"/>
    </xf>
    <xf numFmtId="165" fontId="2" fillId="0" borderId="37" xfId="0" applyNumberFormat="1" applyFont="1" applyFill="1" applyBorder="1" applyAlignment="1">
      <alignment vertical="center"/>
    </xf>
    <xf numFmtId="165" fontId="2" fillId="0" borderId="4" xfId="0" applyNumberFormat="1" applyFont="1" applyFill="1" applyBorder="1" applyAlignment="1">
      <alignment vertical="center"/>
    </xf>
    <xf numFmtId="165" fontId="2" fillId="0" borderId="38" xfId="0" applyNumberFormat="1" applyFont="1" applyFill="1" applyBorder="1" applyAlignment="1">
      <alignment vertical="center"/>
    </xf>
    <xf numFmtId="0" fontId="18" fillId="0" borderId="0" xfId="0" applyFont="1" applyFill="1" applyBorder="1" applyAlignment="1">
      <alignment horizontal="center" vertical="center"/>
    </xf>
    <xf numFmtId="165" fontId="2" fillId="0" borderId="2" xfId="0" applyNumberFormat="1" applyFont="1" applyFill="1" applyBorder="1" applyAlignment="1">
      <alignment vertical="center"/>
    </xf>
    <xf numFmtId="165" fontId="2" fillId="0" borderId="32" xfId="0" applyNumberFormat="1" applyFont="1" applyFill="1" applyBorder="1" applyAlignment="1">
      <alignment vertical="center"/>
    </xf>
    <xf numFmtId="1" fontId="6" fillId="0" borderId="15" xfId="0" applyNumberFormat="1" applyFont="1" applyFill="1" applyBorder="1" applyAlignment="1">
      <alignment horizontal="center" vertical="center"/>
    </xf>
    <xf numFmtId="1" fontId="6" fillId="0" borderId="27" xfId="0" applyNumberFormat="1" applyFont="1" applyFill="1" applyBorder="1" applyAlignment="1">
      <alignment horizontal="center" vertical="center"/>
    </xf>
    <xf numFmtId="1" fontId="6" fillId="0" borderId="31" xfId="0" applyNumberFormat="1" applyFont="1" applyFill="1" applyBorder="1" applyAlignment="1">
      <alignment horizontal="center" vertical="center"/>
    </xf>
    <xf numFmtId="1" fontId="18" fillId="0" borderId="0" xfId="0" applyNumberFormat="1" applyFont="1" applyFill="1" applyBorder="1" applyAlignment="1">
      <alignment horizontal="center" vertical="center"/>
    </xf>
    <xf numFmtId="0" fontId="54" fillId="0" borderId="0" xfId="0" applyFont="1" applyFill="1" applyBorder="1" applyAlignment="1">
      <alignment horizontal="left" vertical="center"/>
    </xf>
    <xf numFmtId="0" fontId="54" fillId="0" borderId="0" xfId="0" applyFont="1" applyFill="1" applyAlignment="1">
      <alignment horizontal="center" vertical="center"/>
    </xf>
    <xf numFmtId="165" fontId="54" fillId="0" borderId="0" xfId="0" applyNumberFormat="1" applyFont="1" applyFill="1" applyAlignment="1">
      <alignment vertical="center"/>
    </xf>
    <xf numFmtId="165" fontId="54" fillId="0" borderId="0" xfId="0" applyNumberFormat="1" applyFont="1" applyFill="1" applyAlignment="1">
      <alignment horizontal="right" vertical="center"/>
    </xf>
    <xf numFmtId="165" fontId="54" fillId="0" borderId="0" xfId="0" applyNumberFormat="1" applyFont="1" applyFill="1" applyAlignment="1">
      <alignment horizontal="center" vertical="center"/>
    </xf>
    <xf numFmtId="1" fontId="56" fillId="0" borderId="0" xfId="0" applyNumberFormat="1" applyFont="1" applyFill="1" applyAlignment="1">
      <alignment vertical="center"/>
    </xf>
    <xf numFmtId="165" fontId="54" fillId="0" borderId="0" xfId="0" applyNumberFormat="1" applyFont="1" applyFill="1" applyBorder="1" applyAlignment="1">
      <alignment horizontal="left" vertical="center" wrapText="1"/>
    </xf>
    <xf numFmtId="0" fontId="65" fillId="0" borderId="0" xfId="0" applyFont="1" applyFill="1" applyAlignment="1">
      <alignment vertical="center"/>
    </xf>
    <xf numFmtId="0" fontId="54" fillId="0" borderId="0" xfId="0" applyFont="1" applyFill="1" applyBorder="1" applyAlignment="1">
      <alignment horizontal="center" vertical="center" wrapText="1"/>
    </xf>
    <xf numFmtId="0" fontId="56" fillId="0" borderId="0" xfId="0" applyFont="1" applyFill="1" applyBorder="1" applyAlignment="1">
      <alignment horizontal="left" vertical="center" wrapText="1"/>
    </xf>
    <xf numFmtId="165" fontId="27" fillId="0" borderId="0" xfId="0" applyNumberFormat="1" applyFont="1" applyFill="1" applyBorder="1" applyAlignment="1">
      <alignment horizontal="center" vertical="center"/>
    </xf>
    <xf numFmtId="165" fontId="27" fillId="0" borderId="0" xfId="0" applyNumberFormat="1" applyFont="1" applyFill="1" applyBorder="1" applyAlignment="1">
      <alignment horizontal="left" vertical="center"/>
    </xf>
    <xf numFmtId="0" fontId="51" fillId="0" borderId="0" xfId="0" applyFont="1" applyAlignment="1">
      <alignment vertical="center"/>
    </xf>
    <xf numFmtId="165" fontId="23" fillId="0" borderId="0" xfId="0" applyNumberFormat="1" applyFont="1" applyFill="1" applyBorder="1" applyAlignment="1">
      <alignment horizontal="left" vertical="center" wrapText="1"/>
    </xf>
    <xf numFmtId="0" fontId="44" fillId="0" borderId="0" xfId="0" applyFont="1" applyFill="1" applyAlignment="1">
      <alignment vertical="center"/>
    </xf>
    <xf numFmtId="165" fontId="62" fillId="0" borderId="0" xfId="0" applyNumberFormat="1" applyFont="1" applyFill="1" applyBorder="1" applyAlignment="1">
      <alignment vertical="center"/>
    </xf>
    <xf numFmtId="0" fontId="1" fillId="6" borderId="0" xfId="0" applyFont="1" applyFill="1" applyBorder="1" applyAlignment="1">
      <alignment horizontal="right" vertical="center"/>
    </xf>
    <xf numFmtId="0" fontId="40" fillId="6" borderId="0" xfId="0" applyFont="1" applyFill="1" applyBorder="1" applyAlignment="1">
      <alignment vertical="center"/>
    </xf>
    <xf numFmtId="0" fontId="36" fillId="6" borderId="0" xfId="0" applyFont="1" applyFill="1" applyBorder="1" applyAlignment="1">
      <alignment vertical="center"/>
    </xf>
    <xf numFmtId="0" fontId="36" fillId="6" borderId="0" xfId="0" applyFont="1" applyFill="1" applyBorder="1" applyAlignment="1">
      <alignment horizontal="left" vertical="center"/>
    </xf>
    <xf numFmtId="1" fontId="39" fillId="6" borderId="5" xfId="0" applyNumberFormat="1" applyFont="1" applyFill="1" applyBorder="1" applyAlignment="1">
      <alignment horizontal="center" vertical="center"/>
    </xf>
    <xf numFmtId="1" fontId="39" fillId="6" borderId="9" xfId="0" applyNumberFormat="1" applyFont="1" applyFill="1" applyBorder="1" applyAlignment="1">
      <alignment horizontal="center" vertical="center"/>
    </xf>
    <xf numFmtId="165" fontId="1" fillId="6" borderId="0" xfId="0" applyNumberFormat="1" applyFont="1" applyFill="1" applyAlignment="1">
      <alignment horizontal="right" vertical="center"/>
    </xf>
    <xf numFmtId="165" fontId="1" fillId="6" borderId="5" xfId="0" applyNumberFormat="1" applyFont="1" applyFill="1" applyBorder="1" applyAlignment="1">
      <alignment horizontal="left" vertical="center"/>
    </xf>
    <xf numFmtId="165" fontId="1" fillId="6" borderId="5" xfId="0" applyNumberFormat="1" applyFont="1" applyFill="1" applyBorder="1" applyAlignment="1">
      <alignment horizontal="right" vertical="center"/>
    </xf>
    <xf numFmtId="0" fontId="32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33" fillId="0" borderId="0" xfId="0" applyFont="1" applyAlignment="1">
      <alignment vertical="center"/>
    </xf>
    <xf numFmtId="0" fontId="33" fillId="0" borderId="0" xfId="0" applyFont="1" applyAlignment="1">
      <alignment horizontal="right" vertical="center"/>
    </xf>
    <xf numFmtId="0" fontId="34" fillId="0" borderId="0" xfId="0" applyFont="1" applyAlignment="1">
      <alignment vertical="center"/>
    </xf>
    <xf numFmtId="165" fontId="33" fillId="0" borderId="0" xfId="0" applyNumberFormat="1" applyFont="1" applyAlignment="1">
      <alignment vertical="center"/>
    </xf>
    <xf numFmtId="0" fontId="35" fillId="0" borderId="0" xfId="0" applyFont="1" applyAlignment="1">
      <alignment vertical="center"/>
    </xf>
    <xf numFmtId="0" fontId="3" fillId="0" borderId="1" xfId="0" applyFont="1" applyFill="1" applyBorder="1" applyAlignment="1">
      <alignment horizontal="left" vertical="center"/>
    </xf>
    <xf numFmtId="1" fontId="33" fillId="0" borderId="1" xfId="0" applyNumberFormat="1" applyFont="1" applyBorder="1" applyAlignment="1">
      <alignment vertical="center"/>
    </xf>
    <xf numFmtId="0" fontId="0" fillId="0" borderId="1" xfId="0" applyBorder="1" applyAlignment="1">
      <alignment vertical="center"/>
    </xf>
    <xf numFmtId="0" fontId="3" fillId="6" borderId="0" xfId="0" applyFont="1" applyFill="1" applyBorder="1" applyAlignment="1">
      <alignment horizontal="left" vertical="center"/>
    </xf>
    <xf numFmtId="0" fontId="0" fillId="6" borderId="0" xfId="0" applyFill="1" applyAlignment="1">
      <alignment vertical="center"/>
    </xf>
    <xf numFmtId="0" fontId="18" fillId="0" borderId="37" xfId="0" applyFont="1" applyBorder="1" applyAlignment="1">
      <alignment vertical="center"/>
    </xf>
    <xf numFmtId="0" fontId="18" fillId="0" borderId="13" xfId="0" applyFont="1" applyFill="1" applyBorder="1" applyAlignment="1">
      <alignment horizontal="center" vertical="center"/>
    </xf>
    <xf numFmtId="1" fontId="18" fillId="0" borderId="25" xfId="0" applyNumberFormat="1" applyFont="1" applyFill="1" applyBorder="1" applyAlignment="1">
      <alignment horizontal="center" vertical="center"/>
    </xf>
    <xf numFmtId="165" fontId="29" fillId="0" borderId="25" xfId="0" applyNumberFormat="1" applyFont="1" applyFill="1" applyBorder="1" applyAlignment="1">
      <alignment horizontal="center" vertical="center"/>
    </xf>
    <xf numFmtId="165" fontId="29" fillId="0" borderId="13" xfId="0" applyNumberFormat="1" applyFont="1" applyFill="1" applyBorder="1" applyAlignment="1">
      <alignment horizontal="center" vertical="center"/>
    </xf>
    <xf numFmtId="0" fontId="18" fillId="0" borderId="4" xfId="0" applyFont="1" applyBorder="1" applyAlignment="1">
      <alignment vertical="center"/>
    </xf>
    <xf numFmtId="1" fontId="18" fillId="0" borderId="2" xfId="0" applyNumberFormat="1" applyFont="1" applyBorder="1" applyAlignment="1">
      <alignment horizontal="center" vertical="center"/>
    </xf>
    <xf numFmtId="0" fontId="18" fillId="0" borderId="5" xfId="0" applyFont="1" applyBorder="1" applyAlignment="1">
      <alignment horizontal="center" vertical="center"/>
    </xf>
    <xf numFmtId="0" fontId="18" fillId="0" borderId="5" xfId="0" applyFont="1" applyBorder="1" applyAlignment="1">
      <alignment horizontal="left" vertical="center"/>
    </xf>
    <xf numFmtId="0" fontId="18" fillId="0" borderId="5" xfId="0" applyFont="1" applyFill="1" applyBorder="1" applyAlignment="1">
      <alignment horizontal="center" vertical="center"/>
    </xf>
    <xf numFmtId="1" fontId="18" fillId="0" borderId="26" xfId="0" applyNumberFormat="1" applyFont="1" applyFill="1" applyBorder="1" applyAlignment="1">
      <alignment horizontal="center" vertical="center"/>
    </xf>
    <xf numFmtId="165" fontId="29" fillId="0" borderId="26" xfId="0" applyNumberFormat="1" applyFont="1" applyFill="1" applyBorder="1" applyAlignment="1">
      <alignment horizontal="center" vertical="center"/>
    </xf>
    <xf numFmtId="165" fontId="29" fillId="0" borderId="5" xfId="0" applyNumberFormat="1" applyFont="1" applyFill="1" applyBorder="1" applyAlignment="1">
      <alignment horizontal="center" vertical="center"/>
    </xf>
    <xf numFmtId="165" fontId="29" fillId="0" borderId="2" xfId="0" applyNumberFormat="1" applyFont="1" applyFill="1" applyBorder="1" applyAlignment="1">
      <alignment horizontal="center" vertical="center"/>
    </xf>
    <xf numFmtId="165" fontId="15" fillId="0" borderId="5" xfId="0" applyNumberFormat="1" applyFont="1" applyFill="1" applyBorder="1" applyAlignment="1">
      <alignment horizontal="center" vertical="center"/>
    </xf>
    <xf numFmtId="0" fontId="18" fillId="0" borderId="38" xfId="0" applyFont="1" applyBorder="1" applyAlignment="1">
      <alignment vertical="center"/>
    </xf>
    <xf numFmtId="1" fontId="18" fillId="0" borderId="32" xfId="0" applyNumberFormat="1" applyFont="1" applyBorder="1" applyAlignment="1">
      <alignment horizontal="center" vertical="center"/>
    </xf>
    <xf numFmtId="0" fontId="18" fillId="0" borderId="30" xfId="0" applyFont="1" applyBorder="1" applyAlignment="1">
      <alignment horizontal="left" vertical="center"/>
    </xf>
    <xf numFmtId="0" fontId="18" fillId="0" borderId="30" xfId="0" applyFont="1" applyFill="1" applyBorder="1" applyAlignment="1">
      <alignment horizontal="center" vertical="center"/>
    </xf>
    <xf numFmtId="1" fontId="18" fillId="0" borderId="29" xfId="0" applyNumberFormat="1" applyFont="1" applyFill="1" applyBorder="1" applyAlignment="1">
      <alignment horizontal="center" vertical="center"/>
    </xf>
    <xf numFmtId="165" fontId="29" fillId="0" borderId="29" xfId="0" applyNumberFormat="1" applyFont="1" applyFill="1" applyBorder="1" applyAlignment="1">
      <alignment horizontal="center" vertical="center"/>
    </xf>
    <xf numFmtId="165" fontId="29" fillId="0" borderId="30" xfId="0" applyNumberFormat="1" applyFont="1" applyFill="1" applyBorder="1" applyAlignment="1">
      <alignment horizontal="center" vertical="center"/>
    </xf>
    <xf numFmtId="165" fontId="29" fillId="0" borderId="32" xfId="0" applyNumberFormat="1" applyFont="1" applyFill="1" applyBorder="1" applyAlignment="1">
      <alignment horizontal="center" vertical="center"/>
    </xf>
    <xf numFmtId="165" fontId="15" fillId="0" borderId="30" xfId="0" applyNumberFormat="1" applyFont="1" applyFill="1" applyBorder="1" applyAlignment="1">
      <alignment horizontal="center" vertical="center"/>
    </xf>
    <xf numFmtId="0" fontId="18" fillId="0" borderId="4" xfId="0" applyFont="1" applyBorder="1" applyAlignment="1">
      <alignment horizontal="left" vertical="center"/>
    </xf>
    <xf numFmtId="0" fontId="18" fillId="0" borderId="38" xfId="0" applyFont="1" applyBorder="1" applyAlignment="1">
      <alignment horizontal="left" vertical="center"/>
    </xf>
    <xf numFmtId="0" fontId="13" fillId="0" borderId="0" xfId="0" applyFont="1" applyBorder="1" applyAlignment="1">
      <alignment vertical="center"/>
    </xf>
    <xf numFmtId="0" fontId="13" fillId="0" borderId="0" xfId="0" applyFont="1" applyBorder="1" applyAlignment="1">
      <alignment horizontal="center" vertical="center" wrapText="1"/>
    </xf>
    <xf numFmtId="165" fontId="13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left" vertical="center"/>
    </xf>
    <xf numFmtId="165" fontId="29" fillId="0" borderId="0" xfId="0" applyNumberFormat="1" applyFont="1" applyFill="1" applyBorder="1" applyAlignment="1">
      <alignment horizontal="center" vertical="center"/>
    </xf>
    <xf numFmtId="0" fontId="64" fillId="0" borderId="0" xfId="0" applyFont="1" applyAlignment="1">
      <alignment vertical="center"/>
    </xf>
    <xf numFmtId="165" fontId="51" fillId="0" borderId="0" xfId="0" applyNumberFormat="1" applyFont="1" applyBorder="1" applyAlignment="1">
      <alignment horizontal="center" vertical="center"/>
    </xf>
    <xf numFmtId="165" fontId="51" fillId="0" borderId="0" xfId="0" applyNumberFormat="1" applyFont="1" applyFill="1" applyBorder="1" applyAlignment="1">
      <alignment horizontal="center" vertical="center"/>
    </xf>
    <xf numFmtId="0" fontId="0" fillId="0" borderId="0" xfId="0" applyFont="1" applyAlignment="1">
      <alignment vertical="center"/>
    </xf>
    <xf numFmtId="0" fontId="51" fillId="6" borderId="9" xfId="0" applyFont="1" applyFill="1" applyBorder="1" applyAlignment="1">
      <alignment horizontal="right" vertical="center"/>
    </xf>
    <xf numFmtId="1" fontId="33" fillId="0" borderId="0" xfId="0" applyNumberFormat="1" applyFont="1" applyBorder="1" applyAlignment="1">
      <alignment vertical="center"/>
    </xf>
    <xf numFmtId="0" fontId="0" fillId="0" borderId="0" xfId="0" applyBorder="1" applyAlignment="1">
      <alignment vertical="center"/>
    </xf>
    <xf numFmtId="165" fontId="2" fillId="6" borderId="26" xfId="0" applyNumberFormat="1" applyFont="1" applyFill="1" applyBorder="1" applyAlignment="1">
      <alignment horizontal="center" vertical="center" wrapText="1"/>
    </xf>
    <xf numFmtId="0" fontId="44" fillId="0" borderId="0" xfId="0" applyFont="1" applyFill="1" applyAlignment="1">
      <alignment horizontal="center" vertical="center"/>
    </xf>
    <xf numFmtId="0" fontId="59" fillId="0" borderId="0" xfId="0" applyFont="1" applyAlignment="1">
      <alignment vertical="center"/>
    </xf>
    <xf numFmtId="0" fontId="67" fillId="6" borderId="0" xfId="0" applyFont="1" applyFill="1" applyBorder="1" applyAlignment="1">
      <alignment horizontal="left" vertical="center"/>
    </xf>
    <xf numFmtId="0" fontId="67" fillId="6" borderId="0" xfId="0" applyFont="1" applyFill="1" applyAlignment="1">
      <alignment vertical="center"/>
    </xf>
    <xf numFmtId="0" fontId="67" fillId="6" borderId="0" xfId="0" applyFont="1" applyFill="1" applyAlignment="1">
      <alignment horizontal="left" vertical="center"/>
    </xf>
    <xf numFmtId="0" fontId="67" fillId="6" borderId="0" xfId="0" applyFont="1" applyFill="1" applyBorder="1" applyAlignment="1">
      <alignment horizontal="center" vertical="center"/>
    </xf>
    <xf numFmtId="165" fontId="67" fillId="6" borderId="0" xfId="0" applyNumberFormat="1" applyFont="1" applyFill="1" applyAlignment="1">
      <alignment vertical="center"/>
    </xf>
    <xf numFmtId="165" fontId="67" fillId="6" borderId="0" xfId="0" applyNumberFormat="1" applyFont="1" applyFill="1" applyAlignment="1">
      <alignment horizontal="right" vertical="center"/>
    </xf>
    <xf numFmtId="165" fontId="67" fillId="6" borderId="0" xfId="0" applyNumberFormat="1" applyFont="1" applyFill="1" applyAlignment="1">
      <alignment horizontal="center" vertical="center"/>
    </xf>
    <xf numFmtId="165" fontId="67" fillId="6" borderId="0" xfId="0" applyNumberFormat="1" applyFont="1" applyFill="1" applyBorder="1" applyAlignment="1">
      <alignment vertical="center"/>
    </xf>
    <xf numFmtId="1" fontId="38" fillId="6" borderId="4" xfId="0" applyNumberFormat="1" applyFont="1" applyFill="1" applyBorder="1" applyAlignment="1">
      <alignment horizontal="center" vertical="center"/>
    </xf>
    <xf numFmtId="1" fontId="39" fillId="6" borderId="7" xfId="0" applyNumberFormat="1" applyFont="1" applyFill="1" applyBorder="1" applyAlignment="1">
      <alignment horizontal="center" vertical="center"/>
    </xf>
    <xf numFmtId="165" fontId="2" fillId="6" borderId="29" xfId="0" applyNumberFormat="1" applyFont="1" applyFill="1" applyBorder="1" applyAlignment="1">
      <alignment horizontal="center" vertical="center" wrapText="1"/>
    </xf>
    <xf numFmtId="165" fontId="44" fillId="6" borderId="0" xfId="0" applyNumberFormat="1" applyFont="1" applyFill="1" applyBorder="1" applyAlignment="1">
      <alignment vertical="center"/>
    </xf>
    <xf numFmtId="165" fontId="44" fillId="6" borderId="0" xfId="0" applyNumberFormat="1" applyFont="1" applyFill="1" applyBorder="1" applyAlignment="1">
      <alignment horizontal="center" vertical="center"/>
    </xf>
    <xf numFmtId="1" fontId="66" fillId="6" borderId="0" xfId="0" applyNumberFormat="1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165" fontId="34" fillId="3" borderId="0" xfId="0" applyNumberFormat="1" applyFont="1" applyFill="1"/>
    <xf numFmtId="0" fontId="6" fillId="0" borderId="70" xfId="0" applyFont="1" applyFill="1" applyBorder="1" applyAlignment="1">
      <alignment vertical="center"/>
    </xf>
    <xf numFmtId="1" fontId="18" fillId="0" borderId="70" xfId="0" applyNumberFormat="1" applyFont="1" applyBorder="1" applyAlignment="1">
      <alignment horizontal="center" vertical="center"/>
    </xf>
    <xf numFmtId="0" fontId="64" fillId="0" borderId="5" xfId="0" applyFont="1" applyBorder="1" applyAlignment="1">
      <alignment horizontal="center" vertical="center"/>
    </xf>
    <xf numFmtId="0" fontId="64" fillId="0" borderId="5" xfId="0" applyFont="1" applyBorder="1" applyAlignment="1">
      <alignment vertical="center"/>
    </xf>
    <xf numFmtId="0" fontId="64" fillId="0" borderId="75" xfId="0" applyFont="1" applyBorder="1" applyAlignment="1">
      <alignment horizontal="center" vertical="center"/>
    </xf>
    <xf numFmtId="0" fontId="64" fillId="0" borderId="76" xfId="0" applyFont="1" applyBorder="1" applyAlignment="1">
      <alignment horizontal="center" vertical="center"/>
    </xf>
    <xf numFmtId="0" fontId="64" fillId="0" borderId="76" xfId="0" applyFont="1" applyBorder="1" applyAlignment="1">
      <alignment vertical="center"/>
    </xf>
    <xf numFmtId="0" fontId="64" fillId="0" borderId="77" xfId="0" applyFont="1" applyBorder="1" applyAlignment="1">
      <alignment horizontal="center" vertical="center"/>
    </xf>
    <xf numFmtId="0" fontId="64" fillId="0" borderId="78" xfId="0" applyFont="1" applyBorder="1" applyAlignment="1">
      <alignment horizontal="center" vertical="center"/>
    </xf>
    <xf numFmtId="0" fontId="64" fillId="0" borderId="79" xfId="0" applyFont="1" applyBorder="1" applyAlignment="1">
      <alignment horizontal="center" vertical="center"/>
    </xf>
    <xf numFmtId="0" fontId="64" fillId="0" borderId="78" xfId="0" applyFont="1" applyBorder="1" applyAlignment="1">
      <alignment vertical="center"/>
    </xf>
    <xf numFmtId="0" fontId="64" fillId="0" borderId="79" xfId="0" applyFont="1" applyBorder="1" applyAlignment="1">
      <alignment vertical="center"/>
    </xf>
    <xf numFmtId="0" fontId="64" fillId="0" borderId="4" xfId="0" applyFont="1" applyBorder="1" applyAlignment="1">
      <alignment horizontal="center" vertical="center"/>
    </xf>
    <xf numFmtId="0" fontId="64" fillId="0" borderId="4" xfId="0" applyFont="1" applyBorder="1" applyAlignment="1">
      <alignment vertical="center"/>
    </xf>
    <xf numFmtId="0" fontId="64" fillId="0" borderId="80" xfId="0" applyFont="1" applyBorder="1" applyAlignment="1">
      <alignment vertical="center"/>
    </xf>
    <xf numFmtId="0" fontId="64" fillId="0" borderId="8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165" fontId="72" fillId="0" borderId="24" xfId="0" applyNumberFormat="1" applyFont="1" applyBorder="1" applyAlignment="1">
      <alignment horizontal="center" vertical="center" wrapText="1"/>
    </xf>
    <xf numFmtId="165" fontId="72" fillId="0" borderId="21" xfId="0" applyNumberFormat="1" applyFont="1" applyBorder="1" applyAlignment="1">
      <alignment horizontal="center" vertical="center" wrapText="1"/>
    </xf>
    <xf numFmtId="0" fontId="53" fillId="0" borderId="0" xfId="0" applyFont="1" applyBorder="1" applyAlignment="1">
      <alignment horizontal="center" vertical="center"/>
    </xf>
    <xf numFmtId="0" fontId="68" fillId="0" borderId="0" xfId="0" applyFont="1"/>
    <xf numFmtId="0" fontId="35" fillId="0" borderId="0" xfId="0" applyFont="1" applyBorder="1" applyAlignment="1">
      <alignment horizontal="left" vertical="center"/>
    </xf>
    <xf numFmtId="0" fontId="35" fillId="0" borderId="0" xfId="0" applyFont="1" applyBorder="1" applyAlignment="1">
      <alignment horizontal="right" vertical="center"/>
    </xf>
    <xf numFmtId="0" fontId="53" fillId="0" borderId="0" xfId="0" applyFont="1" applyBorder="1" applyAlignment="1">
      <alignment horizontal="left" vertical="center"/>
    </xf>
    <xf numFmtId="0" fontId="53" fillId="0" borderId="0" xfId="0" applyFont="1" applyAlignment="1">
      <alignment horizontal="center" vertical="center"/>
    </xf>
    <xf numFmtId="0" fontId="53" fillId="0" borderId="0" xfId="0" applyFont="1" applyBorder="1" applyAlignment="1">
      <alignment horizontal="left" vertical="center" indent="1"/>
    </xf>
    <xf numFmtId="0" fontId="53" fillId="0" borderId="0" xfId="0" applyFont="1" applyBorder="1" applyAlignment="1">
      <alignment vertical="center"/>
    </xf>
    <xf numFmtId="1" fontId="53" fillId="0" borderId="0" xfId="0" applyNumberFormat="1" applyFont="1" applyBorder="1" applyAlignment="1">
      <alignment horizontal="center" vertical="center"/>
    </xf>
    <xf numFmtId="0" fontId="53" fillId="0" borderId="0" xfId="0" applyFont="1" applyBorder="1" applyAlignment="1">
      <alignment horizontal="left"/>
    </xf>
    <xf numFmtId="0" fontId="53" fillId="0" borderId="1" xfId="0" applyFont="1" applyBorder="1" applyAlignment="1">
      <alignment horizontal="left" vertical="center" indent="1"/>
    </xf>
    <xf numFmtId="0" fontId="53" fillId="0" borderId="1" xfId="0" applyFont="1" applyBorder="1" applyAlignment="1">
      <alignment horizontal="center"/>
    </xf>
    <xf numFmtId="0" fontId="53" fillId="0" borderId="3" xfId="0" applyFont="1" applyBorder="1" applyAlignment="1">
      <alignment horizontal="center" vertical="center" wrapText="1"/>
    </xf>
    <xf numFmtId="0" fontId="53" fillId="0" borderId="0" xfId="0" applyFont="1" applyBorder="1" applyAlignment="1">
      <alignment horizontal="center" vertical="center" wrapText="1"/>
    </xf>
    <xf numFmtId="0" fontId="53" fillId="0" borderId="0" xfId="0" applyFont="1" applyBorder="1" applyAlignment="1">
      <alignment vertical="center" wrapText="1"/>
    </xf>
    <xf numFmtId="0" fontId="53" fillId="0" borderId="0" xfId="0" applyFont="1" applyAlignment="1">
      <alignment horizontal="left" vertical="center"/>
    </xf>
    <xf numFmtId="0" fontId="73" fillId="0" borderId="0" xfId="0" applyFont="1" applyBorder="1"/>
    <xf numFmtId="0" fontId="73" fillId="0" borderId="0" xfId="0" applyFont="1"/>
    <xf numFmtId="0" fontId="53" fillId="0" borderId="1" xfId="0" applyFont="1" applyBorder="1" applyAlignment="1">
      <alignment horizontal="center" vertical="center"/>
    </xf>
    <xf numFmtId="0" fontId="35" fillId="0" borderId="0" xfId="0" applyFont="1" applyAlignment="1">
      <alignment horizontal="right" vertical="center" wrapText="1"/>
    </xf>
    <xf numFmtId="0" fontId="35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57" fillId="0" borderId="0" xfId="0" applyFont="1"/>
    <xf numFmtId="0" fontId="74" fillId="0" borderId="0" xfId="0" applyFont="1" applyAlignment="1">
      <alignment horizontal="center" vertical="center"/>
    </xf>
    <xf numFmtId="0" fontId="35" fillId="0" borderId="0" xfId="0" applyFont="1" applyAlignment="1">
      <alignment horizontal="right"/>
    </xf>
    <xf numFmtId="0" fontId="75" fillId="0" borderId="0" xfId="0" applyFont="1"/>
    <xf numFmtId="0" fontId="35" fillId="0" borderId="5" xfId="0" applyFont="1" applyBorder="1" applyAlignment="1">
      <alignment horizontal="center" vertical="center" textRotation="90" wrapText="1"/>
    </xf>
    <xf numFmtId="0" fontId="53" fillId="0" borderId="5" xfId="0" applyFont="1" applyBorder="1" applyAlignment="1">
      <alignment horizontal="center" vertical="center" wrapText="1"/>
    </xf>
    <xf numFmtId="0" fontId="35" fillId="0" borderId="5" xfId="0" applyFont="1" applyBorder="1" applyAlignment="1">
      <alignment horizontal="center" vertical="center" wrapText="1"/>
    </xf>
    <xf numFmtId="0" fontId="53" fillId="0" borderId="5" xfId="0" applyFont="1" applyBorder="1" applyAlignment="1">
      <alignment horizontal="center" vertical="center"/>
    </xf>
    <xf numFmtId="0" fontId="53" fillId="0" borderId="5" xfId="0" applyFont="1" applyBorder="1" applyAlignment="1">
      <alignment vertical="center"/>
    </xf>
    <xf numFmtId="0" fontId="35" fillId="0" borderId="6" xfId="0" applyFont="1" applyBorder="1" applyAlignment="1">
      <alignment horizontal="right" vertical="center" wrapText="1"/>
    </xf>
    <xf numFmtId="0" fontId="4" fillId="0" borderId="3" xfId="0" applyFont="1" applyBorder="1" applyAlignment="1">
      <alignment horizontal="center" vertical="center"/>
    </xf>
    <xf numFmtId="1" fontId="53" fillId="0" borderId="0" xfId="0" applyNumberFormat="1" applyFont="1" applyBorder="1" applyAlignment="1">
      <alignment horizontal="left" vertical="center"/>
    </xf>
    <xf numFmtId="0" fontId="68" fillId="0" borderId="1" xfId="0" applyFont="1" applyBorder="1"/>
    <xf numFmtId="0" fontId="42" fillId="0" borderId="0" xfId="0" applyFont="1" applyAlignment="1">
      <alignment horizontal="center" vertical="top"/>
    </xf>
    <xf numFmtId="0" fontId="14" fillId="0" borderId="0" xfId="0" applyFont="1" applyAlignment="1">
      <alignment horizontal="center" vertical="top"/>
    </xf>
    <xf numFmtId="0" fontId="75" fillId="0" borderId="0" xfId="0" applyFont="1" applyAlignment="1">
      <alignment vertical="top"/>
    </xf>
    <xf numFmtId="0" fontId="12" fillId="0" borderId="0" xfId="0" applyFont="1" applyAlignment="1">
      <alignment horizontal="center" vertical="top"/>
    </xf>
    <xf numFmtId="0" fontId="57" fillId="0" borderId="0" xfId="0" applyFont="1" applyAlignment="1">
      <alignment vertical="top"/>
    </xf>
    <xf numFmtId="0" fontId="74" fillId="0" borderId="0" xfId="0" applyFont="1" applyAlignment="1">
      <alignment horizontal="center" vertical="top"/>
    </xf>
    <xf numFmtId="0" fontId="18" fillId="0" borderId="37" xfId="0" applyFont="1" applyFill="1" applyBorder="1" applyAlignment="1">
      <alignment horizontal="left" vertical="center"/>
    </xf>
    <xf numFmtId="0" fontId="18" fillId="0" borderId="4" xfId="0" applyFont="1" applyFill="1" applyBorder="1" applyAlignment="1">
      <alignment horizontal="left" vertical="center"/>
    </xf>
    <xf numFmtId="0" fontId="18" fillId="0" borderId="38" xfId="0" applyFont="1" applyFill="1" applyBorder="1" applyAlignment="1">
      <alignment horizontal="left" vertical="center"/>
    </xf>
    <xf numFmtId="165" fontId="72" fillId="0" borderId="64" xfId="0" applyNumberFormat="1" applyFont="1" applyBorder="1" applyAlignment="1">
      <alignment horizontal="center" vertical="center" wrapText="1"/>
    </xf>
    <xf numFmtId="165" fontId="72" fillId="0" borderId="65" xfId="0" applyNumberFormat="1" applyFont="1" applyBorder="1" applyAlignment="1">
      <alignment horizontal="center" vertical="center" wrapText="1"/>
    </xf>
    <xf numFmtId="165" fontId="72" fillId="0" borderId="14" xfId="0" applyNumberFormat="1" applyFont="1" applyBorder="1" applyAlignment="1">
      <alignment horizontal="center" vertical="center" wrapText="1"/>
    </xf>
    <xf numFmtId="165" fontId="72" fillId="0" borderId="12" xfId="0" applyNumberFormat="1" applyFont="1" applyBorder="1" applyAlignment="1">
      <alignment horizontal="center" vertical="center" wrapText="1"/>
    </xf>
    <xf numFmtId="165" fontId="10" fillId="0" borderId="61" xfId="0" applyNumberFormat="1" applyFont="1" applyFill="1" applyBorder="1" applyAlignment="1">
      <alignment horizontal="center" vertical="center"/>
    </xf>
    <xf numFmtId="0" fontId="23" fillId="0" borderId="0" xfId="0" applyFont="1" applyFill="1" applyBorder="1" applyAlignment="1">
      <alignment horizontal="left" vertical="center" wrapText="1"/>
    </xf>
    <xf numFmtId="0" fontId="77" fillId="0" borderId="0" xfId="0" applyFont="1" applyFill="1" applyAlignment="1">
      <alignment vertical="center"/>
    </xf>
    <xf numFmtId="0" fontId="78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56" fillId="0" borderId="0" xfId="0" applyFont="1" applyFill="1" applyAlignment="1">
      <alignment horizontal="left" vertical="center"/>
    </xf>
    <xf numFmtId="0" fontId="56" fillId="0" borderId="0" xfId="0" applyFont="1" applyFill="1" applyAlignment="1">
      <alignment vertical="center"/>
    </xf>
    <xf numFmtId="0" fontId="54" fillId="0" borderId="0" xfId="0" applyFont="1" applyFill="1" applyAlignment="1">
      <alignment horizontal="left" vertical="center"/>
    </xf>
    <xf numFmtId="0" fontId="56" fillId="0" borderId="0" xfId="0" applyFont="1" applyFill="1" applyBorder="1" applyAlignment="1">
      <alignment horizontal="left" vertical="center"/>
    </xf>
    <xf numFmtId="0" fontId="56" fillId="0" borderId="0" xfId="0" applyFont="1" applyFill="1" applyBorder="1" applyAlignment="1">
      <alignment horizontal="center" vertical="center"/>
    </xf>
    <xf numFmtId="165" fontId="56" fillId="0" borderId="0" xfId="0" applyNumberFormat="1" applyFont="1" applyFill="1" applyAlignment="1">
      <alignment vertical="center"/>
    </xf>
    <xf numFmtId="165" fontId="56" fillId="0" borderId="0" xfId="0" applyNumberFormat="1" applyFont="1" applyFill="1" applyAlignment="1">
      <alignment horizontal="right" vertical="center"/>
    </xf>
    <xf numFmtId="165" fontId="56" fillId="0" borderId="0" xfId="0" applyNumberFormat="1" applyFont="1" applyFill="1" applyAlignment="1">
      <alignment horizontal="center" vertical="center"/>
    </xf>
    <xf numFmtId="165" fontId="56" fillId="0" borderId="0" xfId="0" applyNumberFormat="1" applyFont="1" applyFill="1" applyBorder="1" applyAlignment="1">
      <alignment vertical="center"/>
    </xf>
    <xf numFmtId="165" fontId="56" fillId="0" borderId="0" xfId="0" applyNumberFormat="1" applyFont="1" applyFill="1" applyBorder="1" applyAlignment="1">
      <alignment horizontal="center" vertical="center"/>
    </xf>
    <xf numFmtId="1" fontId="73" fillId="0" borderId="0" xfId="0" applyNumberFormat="1" applyFont="1" applyFill="1" applyBorder="1" applyAlignment="1">
      <alignment horizontal="center" vertical="center"/>
    </xf>
    <xf numFmtId="0" fontId="56" fillId="0" borderId="0" xfId="0" applyFont="1" applyFill="1" applyAlignment="1">
      <alignment horizontal="center" vertical="center"/>
    </xf>
    <xf numFmtId="0" fontId="68" fillId="0" borderId="1" xfId="0" applyFont="1" applyBorder="1" applyAlignment="1"/>
    <xf numFmtId="165" fontId="44" fillId="6" borderId="0" xfId="0" applyNumberFormat="1" applyFont="1" applyFill="1" applyAlignment="1">
      <alignment horizontal="center" vertical="center"/>
    </xf>
    <xf numFmtId="0" fontId="44" fillId="6" borderId="0" xfId="0" applyFont="1" applyFill="1" applyAlignment="1">
      <alignment horizontal="center" vertical="center"/>
    </xf>
    <xf numFmtId="0" fontId="53" fillId="0" borderId="5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82" fillId="0" borderId="0" xfId="0" applyFont="1"/>
    <xf numFmtId="1" fontId="29" fillId="0" borderId="31" xfId="0" applyNumberFormat="1" applyFont="1" applyFill="1" applyBorder="1" applyAlignment="1">
      <alignment horizontal="center" vertical="center"/>
    </xf>
    <xf numFmtId="0" fontId="44" fillId="0" borderId="0" xfId="0" applyFont="1" applyFill="1" applyBorder="1" applyAlignment="1">
      <alignment horizontal="left" vertical="center"/>
    </xf>
    <xf numFmtId="0" fontId="44" fillId="0" borderId="0" xfId="0" applyFont="1" applyFill="1" applyAlignment="1">
      <alignment horizontal="left" vertical="center"/>
    </xf>
    <xf numFmtId="0" fontId="71" fillId="0" borderId="0" xfId="0" applyFont="1" applyFill="1" applyAlignment="1">
      <alignment vertical="center"/>
    </xf>
    <xf numFmtId="0" fontId="71" fillId="0" borderId="0" xfId="0" applyFont="1" applyFill="1" applyAlignment="1">
      <alignment horizontal="center" vertical="center"/>
    </xf>
    <xf numFmtId="0" fontId="71" fillId="0" borderId="0" xfId="0" applyFont="1" applyFill="1" applyBorder="1" applyAlignment="1">
      <alignment horizontal="center" vertical="center"/>
    </xf>
    <xf numFmtId="165" fontId="71" fillId="0" borderId="0" xfId="0" applyNumberFormat="1" applyFont="1" applyFill="1" applyBorder="1" applyAlignment="1">
      <alignment horizontal="right" vertical="center"/>
    </xf>
    <xf numFmtId="2" fontId="12" fillId="0" borderId="0" xfId="0" applyNumberFormat="1" applyFont="1" applyFill="1" applyAlignment="1">
      <alignment horizontal="right" vertical="center"/>
    </xf>
    <xf numFmtId="0" fontId="12" fillId="0" borderId="0" xfId="0" applyFont="1" applyFill="1" applyAlignment="1">
      <alignment vertical="center"/>
    </xf>
    <xf numFmtId="0" fontId="12" fillId="0" borderId="0" xfId="0" applyFont="1" applyFill="1" applyAlignment="1">
      <alignment horizontal="center" vertical="center"/>
    </xf>
    <xf numFmtId="165" fontId="12" fillId="0" borderId="0" xfId="0" applyNumberFormat="1" applyFont="1" applyFill="1" applyAlignment="1">
      <alignment horizontal="right" vertical="center"/>
    </xf>
    <xf numFmtId="0" fontId="12" fillId="0" borderId="0" xfId="0" applyFont="1" applyFill="1" applyBorder="1" applyAlignment="1">
      <alignment horizontal="right" vertical="center"/>
    </xf>
    <xf numFmtId="165" fontId="13" fillId="0" borderId="0" xfId="0" applyNumberFormat="1" applyFont="1" applyFill="1" applyBorder="1" applyAlignment="1">
      <alignment horizontal="center" vertical="top"/>
    </xf>
    <xf numFmtId="0" fontId="57" fillId="0" borderId="0" xfId="0" applyFont="1" applyFill="1"/>
    <xf numFmtId="0" fontId="13" fillId="0" borderId="0" xfId="0" applyFont="1" applyAlignment="1">
      <alignment horizontal="center"/>
    </xf>
    <xf numFmtId="0" fontId="13" fillId="0" borderId="0" xfId="0" applyFont="1"/>
    <xf numFmtId="165" fontId="12" fillId="0" borderId="0" xfId="0" applyNumberFormat="1" applyFont="1" applyFill="1" applyAlignment="1">
      <alignment horizontal="center" vertical="center"/>
    </xf>
    <xf numFmtId="165" fontId="12" fillId="0" borderId="0" xfId="0" applyNumberFormat="1" applyFont="1" applyAlignment="1">
      <alignment horizontal="right"/>
    </xf>
    <xf numFmtId="0" fontId="12" fillId="0" borderId="0" xfId="0" applyFont="1"/>
    <xf numFmtId="168" fontId="12" fillId="0" borderId="0" xfId="0" applyNumberFormat="1" applyFont="1"/>
    <xf numFmtId="165" fontId="12" fillId="0" borderId="0" xfId="0" applyNumberFormat="1" applyFont="1" applyFill="1"/>
    <xf numFmtId="0" fontId="12" fillId="0" borderId="0" xfId="0" applyFont="1" applyFill="1"/>
    <xf numFmtId="0" fontId="71" fillId="0" borderId="0" xfId="0" applyFont="1" applyAlignment="1">
      <alignment horizontal="left"/>
    </xf>
    <xf numFmtId="165" fontId="13" fillId="0" borderId="0" xfId="0" applyNumberFormat="1" applyFont="1"/>
    <xf numFmtId="0" fontId="31" fillId="0" borderId="0" xfId="0" applyFont="1" applyFill="1" applyBorder="1" applyAlignment="1">
      <alignment horizontal="right" vertical="center"/>
    </xf>
    <xf numFmtId="0" fontId="12" fillId="0" borderId="0" xfId="0" applyFont="1" applyFill="1" applyBorder="1" applyAlignment="1">
      <alignment horizontal="center" vertical="center"/>
    </xf>
    <xf numFmtId="0" fontId="13" fillId="0" borderId="0" xfId="0" applyFont="1" applyAlignment="1">
      <alignment horizontal="center" vertical="center" wrapText="1"/>
    </xf>
    <xf numFmtId="0" fontId="31" fillId="0" borderId="0" xfId="0" applyFont="1" applyFill="1" applyBorder="1" applyAlignment="1">
      <alignment horizontal="center" vertical="center" wrapText="1"/>
    </xf>
    <xf numFmtId="0" fontId="33" fillId="0" borderId="0" xfId="0" applyFont="1"/>
    <xf numFmtId="0" fontId="33" fillId="0" borderId="0" xfId="0" applyFont="1" applyAlignment="1">
      <alignment horizontal="justify"/>
    </xf>
    <xf numFmtId="0" fontId="51" fillId="0" borderId="0" xfId="0" applyFont="1"/>
    <xf numFmtId="0" fontId="33" fillId="0" borderId="0" xfId="0" applyFont="1" applyAlignment="1">
      <alignment horizontal="left"/>
    </xf>
    <xf numFmtId="0" fontId="50" fillId="0" borderId="0" xfId="0" applyFont="1" applyAlignment="1">
      <alignment horizontal="left"/>
    </xf>
    <xf numFmtId="0" fontId="15" fillId="0" borderId="0" xfId="0" applyFont="1" applyFill="1" applyAlignment="1">
      <alignment horizontal="left" vertical="center"/>
    </xf>
    <xf numFmtId="0" fontId="85" fillId="0" borderId="0" xfId="0" applyFont="1" applyFill="1" applyAlignment="1">
      <alignment vertical="center" wrapText="1"/>
    </xf>
    <xf numFmtId="0" fontId="33" fillId="0" borderId="0" xfId="0" applyFont="1" applyAlignment="1">
      <alignment horizontal="center"/>
    </xf>
    <xf numFmtId="0" fontId="33" fillId="0" borderId="0" xfId="0" applyFont="1" applyAlignment="1">
      <alignment wrapText="1"/>
    </xf>
    <xf numFmtId="0" fontId="28" fillId="0" borderId="0" xfId="0" applyFont="1"/>
    <xf numFmtId="0" fontId="33" fillId="0" borderId="1" xfId="0" applyFont="1" applyBorder="1"/>
    <xf numFmtId="0" fontId="33" fillId="0" borderId="0" xfId="0" applyFont="1" applyBorder="1"/>
    <xf numFmtId="0" fontId="33" fillId="0" borderId="3" xfId="0" applyFont="1" applyBorder="1"/>
    <xf numFmtId="0" fontId="33" fillId="0" borderId="0" xfId="0" applyFont="1" applyAlignment="1">
      <alignment horizontal="left" vertical="top"/>
    </xf>
    <xf numFmtId="0" fontId="33" fillId="0" borderId="5" xfId="0" applyFont="1" applyBorder="1" applyAlignment="1">
      <alignment horizontal="center" vertical="center" textRotation="90"/>
    </xf>
    <xf numFmtId="0" fontId="33" fillId="0" borderId="0" xfId="0" applyFont="1" applyAlignment="1">
      <alignment horizontal="justify" vertical="top"/>
    </xf>
    <xf numFmtId="0" fontId="33" fillId="0" borderId="0" xfId="0" applyFont="1" applyAlignment="1">
      <alignment vertical="top"/>
    </xf>
    <xf numFmtId="0" fontId="33" fillId="0" borderId="1" xfId="0" applyFont="1" applyBorder="1" applyAlignment="1">
      <alignment horizontal="justify" vertical="top"/>
    </xf>
    <xf numFmtId="0" fontId="33" fillId="0" borderId="1" xfId="0" applyFont="1" applyBorder="1" applyAlignment="1">
      <alignment horizontal="left" vertical="top" wrapText="1"/>
    </xf>
    <xf numFmtId="0" fontId="33" fillId="0" borderId="3" xfId="0" applyFont="1" applyBorder="1" applyAlignment="1">
      <alignment horizontal="justify" vertical="top"/>
    </xf>
    <xf numFmtId="0" fontId="33" fillId="0" borderId="3" xfId="0" applyFont="1" applyBorder="1" applyAlignment="1">
      <alignment horizontal="left" vertical="top" wrapText="1"/>
    </xf>
    <xf numFmtId="0" fontId="33" fillId="0" borderId="3" xfId="0" applyFont="1" applyBorder="1" applyAlignment="1">
      <alignment horizontal="justify"/>
    </xf>
    <xf numFmtId="0" fontId="33" fillId="0" borderId="3" xfId="0" applyFont="1" applyBorder="1" applyAlignment="1">
      <alignment horizontal="left" vertical="top"/>
    </xf>
    <xf numFmtId="0" fontId="50" fillId="0" borderId="0" xfId="0" applyFont="1" applyAlignment="1">
      <alignment horizontal="center" wrapText="1"/>
    </xf>
    <xf numFmtId="0" fontId="33" fillId="0" borderId="0" xfId="0" applyFont="1" applyAlignment="1">
      <alignment horizontal="center"/>
    </xf>
    <xf numFmtId="0" fontId="33" fillId="0" borderId="0" xfId="0" applyFont="1" applyAlignment="1">
      <alignment horizontal="left"/>
    </xf>
    <xf numFmtId="0" fontId="87" fillId="0" borderId="1" xfId="0" applyFont="1" applyBorder="1" applyAlignment="1">
      <alignment horizontal="center"/>
    </xf>
    <xf numFmtId="1" fontId="87" fillId="0" borderId="1" xfId="0" applyNumberFormat="1" applyFont="1" applyBorder="1" applyAlignment="1">
      <alignment horizontal="center"/>
    </xf>
    <xf numFmtId="0" fontId="87" fillId="0" borderId="3" xfId="0" applyFont="1" applyBorder="1" applyAlignment="1">
      <alignment horizontal="center"/>
    </xf>
    <xf numFmtId="0" fontId="33" fillId="0" borderId="5" xfId="0" applyFont="1" applyBorder="1" applyAlignment="1">
      <alignment horizontal="right"/>
    </xf>
    <xf numFmtId="0" fontId="50" fillId="0" borderId="5" xfId="0" applyFont="1" applyBorder="1" applyAlignment="1">
      <alignment horizontal="center"/>
    </xf>
    <xf numFmtId="0" fontId="87" fillId="0" borderId="5" xfId="0" applyFont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/>
    </xf>
    <xf numFmtId="0" fontId="33" fillId="0" borderId="5" xfId="0" applyFont="1" applyBorder="1" applyAlignment="1">
      <alignment horizontal="center"/>
    </xf>
    <xf numFmtId="0" fontId="33" fillId="0" borderId="5" xfId="0" applyFont="1" applyBorder="1" applyAlignment="1">
      <alignment horizontal="center"/>
    </xf>
    <xf numFmtId="0" fontId="32" fillId="0" borderId="0" xfId="0" applyFont="1" applyAlignment="1">
      <alignment horizontal="center"/>
    </xf>
    <xf numFmtId="0" fontId="46" fillId="0" borderId="1" xfId="0" applyFont="1" applyBorder="1" applyAlignment="1">
      <alignment horizontal="center"/>
    </xf>
    <xf numFmtId="0" fontId="46" fillId="0" borderId="3" xfId="0" applyFont="1" applyBorder="1" applyAlignment="1">
      <alignment horizontal="center"/>
    </xf>
    <xf numFmtId="0" fontId="33" fillId="0" borderId="0" xfId="0" applyFont="1" applyBorder="1" applyAlignment="1">
      <alignment horizontal="center" vertical="top"/>
    </xf>
    <xf numFmtId="0" fontId="33" fillId="0" borderId="0" xfId="0" applyFont="1" applyBorder="1" applyAlignment="1"/>
    <xf numFmtId="0" fontId="33" fillId="0" borderId="0" xfId="0" applyFont="1" applyBorder="1" applyAlignment="1">
      <alignment vertical="top"/>
    </xf>
    <xf numFmtId="0" fontId="33" fillId="0" borderId="1" xfId="0" applyFont="1" applyBorder="1" applyAlignment="1">
      <alignment horizontal="center" vertical="top"/>
    </xf>
    <xf numFmtId="0" fontId="33" fillId="0" borderId="0" xfId="0" applyFont="1" applyBorder="1" applyAlignment="1">
      <alignment horizontal="right" vertical="top"/>
    </xf>
    <xf numFmtId="0" fontId="33" fillId="0" borderId="5" xfId="0" applyFont="1" applyBorder="1" applyAlignment="1">
      <alignment vertical="top"/>
    </xf>
    <xf numFmtId="0" fontId="33" fillId="0" borderId="5" xfId="0" applyFont="1" applyBorder="1" applyAlignment="1">
      <alignment horizontal="center" vertical="top"/>
    </xf>
    <xf numFmtId="0" fontId="33" fillId="0" borderId="5" xfId="0" applyFont="1" applyBorder="1" applyAlignment="1"/>
    <xf numFmtId="0" fontId="33" fillId="0" borderId="1" xfId="0" applyFont="1" applyBorder="1" applyAlignment="1"/>
    <xf numFmtId="0" fontId="13" fillId="0" borderId="0" xfId="0" applyFont="1" applyBorder="1" applyAlignment="1"/>
    <xf numFmtId="0" fontId="47" fillId="0" borderId="0" xfId="0" applyFont="1" applyBorder="1" applyAlignment="1"/>
    <xf numFmtId="0" fontId="50" fillId="0" borderId="0" xfId="0" applyFont="1" applyBorder="1" applyAlignment="1"/>
    <xf numFmtId="0" fontId="33" fillId="0" borderId="59" xfId="0" applyFont="1" applyBorder="1" applyAlignment="1"/>
    <xf numFmtId="0" fontId="51" fillId="0" borderId="5" xfId="0" applyFont="1" applyBorder="1" applyAlignment="1">
      <alignment horizontal="center"/>
    </xf>
    <xf numFmtId="0" fontId="33" fillId="0" borderId="54" xfId="0" applyFont="1" applyBorder="1" applyAlignment="1"/>
    <xf numFmtId="0" fontId="33" fillId="0" borderId="81" xfId="0" applyFont="1" applyBorder="1" applyAlignment="1"/>
    <xf numFmtId="0" fontId="33" fillId="0" borderId="45" xfId="0" applyFont="1" applyBorder="1" applyAlignment="1"/>
    <xf numFmtId="0" fontId="33" fillId="0" borderId="1" xfId="0" applyFont="1" applyBorder="1" applyAlignment="1">
      <alignment vertical="center"/>
    </xf>
    <xf numFmtId="0" fontId="33" fillId="0" borderId="82" xfId="0" applyFont="1" applyBorder="1" applyAlignment="1">
      <alignment horizontal="center"/>
    </xf>
    <xf numFmtId="0" fontId="33" fillId="0" borderId="82" xfId="0" applyFont="1" applyBorder="1" applyAlignment="1"/>
    <xf numFmtId="0" fontId="33" fillId="0" borderId="0" xfId="0" applyFont="1" applyBorder="1" applyAlignment="1">
      <alignment vertical="center"/>
    </xf>
    <xf numFmtId="0" fontId="33" fillId="0" borderId="83" xfId="0" applyFont="1" applyBorder="1" applyAlignment="1"/>
    <xf numFmtId="0" fontId="33" fillId="0" borderId="83" xfId="0" applyFont="1" applyBorder="1" applyAlignment="1">
      <alignment vertical="center"/>
    </xf>
    <xf numFmtId="0" fontId="33" fillId="0" borderId="1" xfId="0" applyFont="1" applyBorder="1" applyAlignment="1">
      <alignment horizontal="right" vertical="center"/>
    </xf>
    <xf numFmtId="0" fontId="32" fillId="0" borderId="0" xfId="0" applyFont="1" applyAlignment="1">
      <alignment horizontal="center" vertical="top"/>
    </xf>
    <xf numFmtId="0" fontId="33" fillId="0" borderId="83" xfId="0" applyFont="1" applyBorder="1" applyAlignment="1">
      <alignment vertical="top"/>
    </xf>
    <xf numFmtId="165" fontId="21" fillId="0" borderId="4" xfId="0" applyNumberFormat="1" applyFont="1" applyFill="1" applyBorder="1" applyAlignment="1">
      <alignment horizontal="center" vertical="center"/>
    </xf>
    <xf numFmtId="2" fontId="51" fillId="0" borderId="0" xfId="0" applyNumberFormat="1" applyFont="1" applyBorder="1" applyAlignment="1">
      <alignment horizontal="center" vertical="top" wrapText="1"/>
    </xf>
    <xf numFmtId="2" fontId="43" fillId="0" borderId="53" xfId="0" applyNumberFormat="1" applyFont="1" applyBorder="1" applyAlignment="1">
      <alignment horizontal="distributed" vertical="top" wrapText="1" indent="1"/>
    </xf>
    <xf numFmtId="165" fontId="21" fillId="2" borderId="4" xfId="0" applyNumberFormat="1" applyFont="1" applyFill="1" applyBorder="1" applyAlignment="1">
      <alignment horizontal="center" vertical="center"/>
    </xf>
    <xf numFmtId="2" fontId="51" fillId="2" borderId="0" xfId="0" applyNumberFormat="1" applyFont="1" applyFill="1" applyBorder="1" applyAlignment="1">
      <alignment horizontal="center" vertical="top" wrapText="1"/>
    </xf>
    <xf numFmtId="2" fontId="43" fillId="2" borderId="53" xfId="0" applyNumberFormat="1" applyFont="1" applyFill="1" applyBorder="1" applyAlignment="1">
      <alignment horizontal="distributed" vertical="top" wrapText="1" indent="1"/>
    </xf>
    <xf numFmtId="165" fontId="21" fillId="0" borderId="39" xfId="0" applyNumberFormat="1" applyFont="1" applyFill="1" applyBorder="1" applyAlignment="1">
      <alignment horizontal="center" vertical="center"/>
    </xf>
    <xf numFmtId="165" fontId="21" fillId="0" borderId="49" xfId="0" applyNumberFormat="1" applyFont="1" applyFill="1" applyBorder="1" applyAlignment="1">
      <alignment horizontal="center" vertical="center"/>
    </xf>
    <xf numFmtId="2" fontId="18" fillId="2" borderId="53" xfId="0" applyNumberFormat="1" applyFont="1" applyFill="1" applyBorder="1" applyAlignment="1">
      <alignment horizontal="distributed" vertical="top" wrapText="1" indent="1"/>
    </xf>
    <xf numFmtId="165" fontId="21" fillId="2" borderId="39" xfId="0" applyNumberFormat="1" applyFont="1" applyFill="1" applyBorder="1" applyAlignment="1">
      <alignment horizontal="center" vertical="center"/>
    </xf>
    <xf numFmtId="165" fontId="21" fillId="2" borderId="49" xfId="0" applyNumberFormat="1" applyFont="1" applyFill="1" applyBorder="1" applyAlignment="1">
      <alignment horizontal="center" vertical="center"/>
    </xf>
    <xf numFmtId="2" fontId="43" fillId="2" borderId="0" xfId="0" applyNumberFormat="1" applyFont="1" applyFill="1" applyBorder="1" applyAlignment="1">
      <alignment horizontal="distributed" vertical="top" wrapText="1" indent="1"/>
    </xf>
    <xf numFmtId="2" fontId="43" fillId="0" borderId="34" xfId="0" applyNumberFormat="1" applyFont="1" applyBorder="1" applyAlignment="1">
      <alignment horizontal="distributed" vertical="center" wrapText="1" indent="1"/>
    </xf>
    <xf numFmtId="2" fontId="18" fillId="0" borderId="0" xfId="0" applyNumberFormat="1" applyFont="1" applyBorder="1" applyAlignment="1">
      <alignment horizontal="center" vertical="top" wrapText="1"/>
    </xf>
    <xf numFmtId="2" fontId="18" fillId="2" borderId="0" xfId="0" applyNumberFormat="1" applyFont="1" applyFill="1" applyBorder="1" applyAlignment="1">
      <alignment horizontal="center" vertical="top" wrapText="1"/>
    </xf>
    <xf numFmtId="165" fontId="21" fillId="0" borderId="3" xfId="0" applyNumberFormat="1" applyFont="1" applyFill="1" applyBorder="1" applyAlignment="1">
      <alignment horizontal="center" vertical="center"/>
    </xf>
    <xf numFmtId="165" fontId="21" fillId="2" borderId="3" xfId="0" applyNumberFormat="1" applyFont="1" applyFill="1" applyBorder="1" applyAlignment="1">
      <alignment horizontal="center" vertical="center"/>
    </xf>
    <xf numFmtId="2" fontId="43" fillId="0" borderId="0" xfId="0" applyNumberFormat="1" applyFont="1" applyBorder="1" applyAlignment="1">
      <alignment horizontal="distributed" vertical="top" wrapText="1" indent="1"/>
    </xf>
    <xf numFmtId="2" fontId="43" fillId="0" borderId="56" xfId="0" applyNumberFormat="1" applyFont="1" applyBorder="1" applyAlignment="1">
      <alignment horizontal="distributed" vertical="top" wrapText="1" indent="1"/>
    </xf>
    <xf numFmtId="165" fontId="21" fillId="0" borderId="10" xfId="0" applyNumberFormat="1" applyFont="1" applyFill="1" applyBorder="1" applyAlignment="1">
      <alignment horizontal="center" vertical="center"/>
    </xf>
    <xf numFmtId="165" fontId="21" fillId="0" borderId="46" xfId="0" applyNumberFormat="1" applyFont="1" applyFill="1" applyBorder="1" applyAlignment="1">
      <alignment horizontal="center" vertical="center"/>
    </xf>
    <xf numFmtId="165" fontId="21" fillId="2" borderId="1" xfId="0" applyNumberFormat="1" applyFont="1" applyFill="1" applyBorder="1" applyAlignment="1">
      <alignment horizontal="center" vertical="center"/>
    </xf>
    <xf numFmtId="165" fontId="21" fillId="2" borderId="46" xfId="0" applyNumberFormat="1" applyFont="1" applyFill="1" applyBorder="1" applyAlignment="1">
      <alignment horizontal="center" vertical="center"/>
    </xf>
    <xf numFmtId="165" fontId="21" fillId="0" borderId="40" xfId="0" applyNumberFormat="1" applyFont="1" applyFill="1" applyBorder="1" applyAlignment="1">
      <alignment horizontal="center" vertical="center"/>
    </xf>
    <xf numFmtId="165" fontId="21" fillId="0" borderId="43" xfId="0" applyNumberFormat="1" applyFont="1" applyFill="1" applyBorder="1" applyAlignment="1">
      <alignment horizontal="center" vertical="center"/>
    </xf>
    <xf numFmtId="165" fontId="21" fillId="2" borderId="43" xfId="0" applyNumberFormat="1" applyFont="1" applyFill="1" applyBorder="1" applyAlignment="1">
      <alignment horizontal="center" vertical="center"/>
    </xf>
    <xf numFmtId="2" fontId="18" fillId="0" borderId="56" xfId="0" applyNumberFormat="1" applyFont="1" applyBorder="1" applyAlignment="1">
      <alignment horizontal="center" vertical="center" wrapText="1"/>
    </xf>
    <xf numFmtId="2" fontId="18" fillId="0" borderId="56" xfId="0" applyNumberFormat="1" applyFont="1" applyBorder="1" applyAlignment="1">
      <alignment horizontal="center" vertical="center"/>
    </xf>
    <xf numFmtId="165" fontId="21" fillId="2" borderId="10" xfId="0" applyNumberFormat="1" applyFont="1" applyFill="1" applyBorder="1" applyAlignment="1">
      <alignment horizontal="center" vertical="center"/>
    </xf>
    <xf numFmtId="165" fontId="21" fillId="2" borderId="40" xfId="0" applyNumberFormat="1" applyFont="1" applyFill="1" applyBorder="1" applyAlignment="1">
      <alignment horizontal="center" vertical="center"/>
    </xf>
    <xf numFmtId="2" fontId="18" fillId="0" borderId="53" xfId="0" applyNumberFormat="1" applyFont="1" applyBorder="1" applyAlignment="1">
      <alignment horizontal="distributed" vertical="top" wrapText="1" indent="1"/>
    </xf>
    <xf numFmtId="2" fontId="18" fillId="0" borderId="34" xfId="0" applyNumberFormat="1" applyFont="1" applyBorder="1" applyAlignment="1">
      <alignment horizontal="distributed" vertical="top" wrapText="1" indent="1"/>
    </xf>
    <xf numFmtId="2" fontId="18" fillId="2" borderId="34" xfId="0" applyNumberFormat="1" applyFont="1" applyFill="1" applyBorder="1" applyAlignment="1">
      <alignment horizontal="distributed" vertical="top" wrapText="1" indent="1"/>
    </xf>
    <xf numFmtId="2" fontId="18" fillId="2" borderId="59" xfId="0" applyNumberFormat="1" applyFont="1" applyFill="1" applyBorder="1" applyAlignment="1">
      <alignment horizontal="distributed" vertical="top" wrapText="1" indent="1"/>
    </xf>
    <xf numFmtId="2" fontId="51" fillId="0" borderId="56" xfId="0" applyNumberFormat="1" applyFont="1" applyFill="1" applyBorder="1" applyAlignment="1">
      <alignment horizontal="center" vertical="top" wrapText="1"/>
    </xf>
    <xf numFmtId="2" fontId="43" fillId="0" borderId="34" xfId="0" applyNumberFormat="1" applyFont="1" applyFill="1" applyBorder="1" applyAlignment="1">
      <alignment horizontal="distributed" vertical="top" wrapText="1" indent="1"/>
    </xf>
    <xf numFmtId="2" fontId="13" fillId="0" borderId="0" xfId="0" applyNumberFormat="1" applyFont="1" applyBorder="1" applyAlignment="1">
      <alignment horizontal="center" vertical="top" wrapText="1"/>
    </xf>
    <xf numFmtId="2" fontId="48" fillId="0" borderId="17" xfId="0" applyNumberFormat="1" applyFont="1" applyFill="1" applyBorder="1" applyAlignment="1">
      <alignment horizontal="center" vertical="top" wrapText="1"/>
    </xf>
    <xf numFmtId="2" fontId="48" fillId="0" borderId="57" xfId="0" applyNumberFormat="1" applyFont="1" applyFill="1" applyBorder="1" applyAlignment="1">
      <alignment horizontal="center" vertical="top" wrapText="1"/>
    </xf>
    <xf numFmtId="2" fontId="48" fillId="0" borderId="54" xfId="0" applyNumberFormat="1" applyFont="1" applyFill="1" applyBorder="1" applyAlignment="1">
      <alignment horizontal="center" vertical="top" wrapText="1"/>
    </xf>
    <xf numFmtId="2" fontId="74" fillId="0" borderId="54" xfId="0" applyNumberFormat="1" applyFont="1" applyFill="1" applyBorder="1" applyAlignment="1">
      <alignment horizontal="center" vertical="top" wrapText="1"/>
    </xf>
    <xf numFmtId="49" fontId="13" fillId="0" borderId="47" xfId="0" applyNumberFormat="1" applyFont="1" applyFill="1" applyBorder="1" applyAlignment="1">
      <alignment horizontal="center" vertical="center"/>
    </xf>
    <xf numFmtId="0" fontId="35" fillId="0" borderId="4" xfId="0" applyFont="1" applyFill="1" applyBorder="1" applyAlignment="1">
      <alignment vertical="center"/>
    </xf>
    <xf numFmtId="0" fontId="90" fillId="0" borderId="0" xfId="1" applyFont="1"/>
    <xf numFmtId="0" fontId="90" fillId="0" borderId="0" xfId="1" applyFont="1" applyAlignment="1">
      <alignment vertical="center"/>
    </xf>
    <xf numFmtId="0" fontId="90" fillId="0" borderId="5" xfId="1" applyFont="1" applyBorder="1" applyAlignment="1">
      <alignment vertical="center"/>
    </xf>
    <xf numFmtId="0" fontId="90" fillId="0" borderId="5" xfId="1" applyFont="1" applyBorder="1" applyAlignment="1">
      <alignment horizontal="center" vertical="center"/>
    </xf>
    <xf numFmtId="0" fontId="91" fillId="0" borderId="5" xfId="1" applyFont="1" applyBorder="1" applyAlignment="1">
      <alignment horizontal="center" vertical="center"/>
    </xf>
    <xf numFmtId="0" fontId="92" fillId="0" borderId="5" xfId="1" applyFont="1" applyBorder="1" applyAlignment="1">
      <alignment horizontal="center" vertical="center"/>
    </xf>
    <xf numFmtId="0" fontId="93" fillId="0" borderId="5" xfId="1" applyFont="1" applyBorder="1" applyAlignment="1">
      <alignment horizontal="center" vertical="center"/>
    </xf>
    <xf numFmtId="0" fontId="94" fillId="0" borderId="0" xfId="1" applyFont="1" applyAlignment="1"/>
    <xf numFmtId="0" fontId="94" fillId="0" borderId="0" xfId="1" applyFont="1" applyAlignment="1">
      <alignment vertical="center"/>
    </xf>
    <xf numFmtId="0" fontId="95" fillId="0" borderId="0" xfId="1" applyFont="1" applyAlignment="1">
      <alignment horizontal="left" vertical="center" indent="3"/>
    </xf>
    <xf numFmtId="0" fontId="97" fillId="0" borderId="0" xfId="2" applyFont="1"/>
    <xf numFmtId="0" fontId="96" fillId="0" borderId="0" xfId="2"/>
    <xf numFmtId="0" fontId="97" fillId="0" borderId="0" xfId="2" applyFont="1" applyAlignment="1">
      <alignment horizontal="left"/>
    </xf>
    <xf numFmtId="0" fontId="97" fillId="0" borderId="0" xfId="2" applyFont="1" applyAlignment="1"/>
    <xf numFmtId="0" fontId="97" fillId="0" borderId="0" xfId="2" applyFont="1" applyAlignment="1">
      <alignment horizontal="right"/>
    </xf>
    <xf numFmtId="0" fontId="99" fillId="0" borderId="30" xfId="2" applyFont="1" applyBorder="1" applyAlignment="1">
      <alignment horizontal="center" vertical="center" wrapText="1"/>
    </xf>
    <xf numFmtId="0" fontId="97" fillId="0" borderId="30" xfId="2" applyFont="1" applyBorder="1" applyAlignment="1">
      <alignment horizontal="center" vertical="center" wrapText="1"/>
    </xf>
    <xf numFmtId="0" fontId="97" fillId="0" borderId="13" xfId="2" applyFont="1" applyBorder="1" applyAlignment="1">
      <alignment horizontal="left" vertical="center" wrapText="1" indent="1"/>
    </xf>
    <xf numFmtId="0" fontId="97" fillId="0" borderId="13" xfId="2" applyFont="1" applyBorder="1" applyAlignment="1">
      <alignment horizontal="right" vertical="center" wrapText="1" indent="1"/>
    </xf>
    <xf numFmtId="0" fontId="97" fillId="0" borderId="5" xfId="2" applyFont="1" applyBorder="1" applyAlignment="1">
      <alignment horizontal="left" vertical="center" wrapText="1" indent="1"/>
    </xf>
    <xf numFmtId="0" fontId="97" fillId="0" borderId="5" xfId="2" applyFont="1" applyBorder="1" applyAlignment="1">
      <alignment horizontal="right" vertical="center" wrapText="1" indent="1"/>
    </xf>
    <xf numFmtId="0" fontId="97" fillId="0" borderId="85" xfId="2" applyFont="1" applyBorder="1" applyAlignment="1">
      <alignment horizontal="left" vertical="center" wrapText="1" indent="1"/>
    </xf>
    <xf numFmtId="0" fontId="97" fillId="0" borderId="85" xfId="2" applyFont="1" applyBorder="1" applyAlignment="1">
      <alignment horizontal="right" vertical="center" wrapText="1" indent="1"/>
    </xf>
    <xf numFmtId="0" fontId="97" fillId="0" borderId="30" xfId="2" applyFont="1" applyBorder="1" applyAlignment="1">
      <alignment horizontal="left" vertical="center" wrapText="1" indent="1"/>
    </xf>
    <xf numFmtId="0" fontId="97" fillId="0" borderId="30" xfId="2" applyFont="1" applyBorder="1" applyAlignment="1">
      <alignment horizontal="right" vertical="center" wrapText="1" indent="1"/>
    </xf>
    <xf numFmtId="0" fontId="96" fillId="0" borderId="0" xfId="2" applyBorder="1" applyAlignment="1">
      <alignment horizontal="center" vertical="center" wrapText="1"/>
    </xf>
    <xf numFmtId="0" fontId="97" fillId="0" borderId="0" xfId="2" applyFont="1" applyBorder="1" applyAlignment="1">
      <alignment horizontal="left" vertical="center" wrapText="1" indent="1"/>
    </xf>
    <xf numFmtId="0" fontId="97" fillId="0" borderId="0" xfId="2" applyFont="1" applyBorder="1" applyAlignment="1">
      <alignment horizontal="right" vertical="center" wrapText="1" indent="1"/>
    </xf>
    <xf numFmtId="0" fontId="96" fillId="0" borderId="0" xfId="2" applyBorder="1"/>
    <xf numFmtId="0" fontId="97" fillId="0" borderId="9" xfId="2" applyFont="1" applyBorder="1" applyAlignment="1">
      <alignment horizontal="left" vertical="center" wrapText="1" indent="1"/>
    </xf>
    <xf numFmtId="0" fontId="97" fillId="0" borderId="9" xfId="2" applyFont="1" applyBorder="1" applyAlignment="1">
      <alignment horizontal="right" vertical="center" wrapText="1" indent="1"/>
    </xf>
    <xf numFmtId="0" fontId="97" fillId="0" borderId="0" xfId="2" applyFont="1" applyAlignment="1">
      <alignment horizontal="right" indent="1"/>
    </xf>
    <xf numFmtId="165" fontId="42" fillId="3" borderId="0" xfId="0" applyNumberFormat="1" applyFont="1" applyFill="1" applyAlignment="1">
      <alignment horizontal="right"/>
    </xf>
    <xf numFmtId="165" fontId="42" fillId="0" borderId="0" xfId="0" applyNumberFormat="1" applyFont="1" applyAlignment="1">
      <alignment horizontal="right"/>
    </xf>
    <xf numFmtId="165" fontId="42" fillId="0" borderId="0" xfId="0" applyNumberFormat="1" applyFont="1" applyFill="1" applyAlignment="1">
      <alignment horizontal="right" vertical="center"/>
    </xf>
    <xf numFmtId="165" fontId="30" fillId="3" borderId="0" xfId="0" applyNumberFormat="1" applyFont="1" applyFill="1" applyAlignment="1">
      <alignment horizontal="right"/>
    </xf>
    <xf numFmtId="165" fontId="30" fillId="0" borderId="0" xfId="0" applyNumberFormat="1" applyFont="1" applyAlignment="1">
      <alignment horizontal="right"/>
    </xf>
    <xf numFmtId="165" fontId="30" fillId="0" borderId="0" xfId="0" applyNumberFormat="1" applyFont="1" applyFill="1" applyAlignment="1">
      <alignment horizontal="right" vertical="center"/>
    </xf>
    <xf numFmtId="165" fontId="19" fillId="0" borderId="0" xfId="0" applyNumberFormat="1" applyFont="1" applyBorder="1" applyAlignment="1">
      <alignment horizontal="center" vertical="center" wrapText="1"/>
    </xf>
    <xf numFmtId="165" fontId="30" fillId="0" borderId="0" xfId="0" applyNumberFormat="1" applyFont="1" applyFill="1"/>
    <xf numFmtId="165" fontId="30" fillId="0" borderId="0" xfId="0" applyNumberFormat="1" applyFont="1" applyFill="1" applyAlignment="1">
      <alignment horizontal="center" vertical="center"/>
    </xf>
    <xf numFmtId="165" fontId="59" fillId="0" borderId="0" xfId="0" applyNumberFormat="1" applyFont="1"/>
    <xf numFmtId="165" fontId="103" fillId="0" borderId="0" xfId="0" applyNumberFormat="1" applyFont="1" applyFill="1" applyBorder="1" applyAlignment="1">
      <alignment horizontal="right" vertical="center"/>
    </xf>
    <xf numFmtId="165" fontId="74" fillId="0" borderId="0" xfId="0" applyNumberFormat="1" applyFont="1" applyBorder="1" applyAlignment="1">
      <alignment horizontal="right" vertical="center" wrapText="1"/>
    </xf>
    <xf numFmtId="0" fontId="102" fillId="0" borderId="0" xfId="0" applyFont="1"/>
    <xf numFmtId="0" fontId="104" fillId="0" borderId="0" xfId="0" applyFont="1" applyBorder="1" applyAlignment="1">
      <alignment horizontal="center" vertical="center" wrapText="1"/>
    </xf>
    <xf numFmtId="49" fontId="58" fillId="0" borderId="0" xfId="0" applyNumberFormat="1" applyFont="1" applyFill="1" applyBorder="1" applyAlignment="1">
      <alignment horizontal="center" vertical="center" wrapText="1"/>
    </xf>
    <xf numFmtId="169" fontId="58" fillId="0" borderId="0" xfId="0" applyNumberFormat="1" applyFont="1" applyFill="1" applyBorder="1" applyAlignment="1">
      <alignment horizontal="center" vertical="center" wrapText="1"/>
    </xf>
    <xf numFmtId="0" fontId="58" fillId="0" borderId="0" xfId="0" applyFont="1" applyFill="1" applyBorder="1" applyAlignment="1">
      <alignment horizontal="center" vertical="center" wrapText="1"/>
    </xf>
    <xf numFmtId="165" fontId="105" fillId="0" borderId="0" xfId="0" applyNumberFormat="1" applyFont="1" applyFill="1" applyBorder="1" applyAlignment="1">
      <alignment horizontal="right" vertical="center" wrapText="1"/>
    </xf>
    <xf numFmtId="165" fontId="105" fillId="0" borderId="0" xfId="0" applyNumberFormat="1" applyFont="1" applyFill="1" applyAlignment="1">
      <alignment horizontal="center" vertical="center"/>
    </xf>
    <xf numFmtId="165" fontId="105" fillId="0" borderId="0" xfId="0" applyNumberFormat="1" applyFont="1" applyBorder="1" applyAlignment="1">
      <alignment horizontal="right" vertical="center" wrapText="1"/>
    </xf>
    <xf numFmtId="165" fontId="105" fillId="0" borderId="0" xfId="0" applyNumberFormat="1" applyFont="1" applyFill="1" applyAlignment="1">
      <alignment horizontal="right" vertical="center"/>
    </xf>
    <xf numFmtId="0" fontId="106" fillId="0" borderId="0" xfId="0" applyFont="1" applyBorder="1" applyAlignment="1"/>
    <xf numFmtId="0" fontId="13" fillId="0" borderId="0" xfId="0" applyFont="1" applyFill="1"/>
    <xf numFmtId="0" fontId="106" fillId="0" borderId="0" xfId="0" applyFont="1" applyBorder="1" applyAlignment="1">
      <alignment horizontal="center"/>
    </xf>
    <xf numFmtId="0" fontId="13" fillId="0" borderId="0" xfId="0" applyFont="1" applyFill="1" applyBorder="1"/>
    <xf numFmtId="47" fontId="58" fillId="0" borderId="0" xfId="0" applyNumberFormat="1" applyFont="1" applyFill="1" applyBorder="1" applyAlignment="1">
      <alignment horizontal="center" vertical="center" wrapText="1"/>
    </xf>
    <xf numFmtId="0" fontId="58" fillId="0" borderId="0" xfId="0" applyFont="1" applyFill="1" applyBorder="1" applyAlignment="1">
      <alignment vertical="center" wrapText="1"/>
    </xf>
    <xf numFmtId="0" fontId="57" fillId="0" borderId="0" xfId="0" applyFont="1" applyFill="1" applyBorder="1" applyAlignment="1">
      <alignment vertical="center" wrapText="1"/>
    </xf>
    <xf numFmtId="0" fontId="58" fillId="0" borderId="0" xfId="0" applyFont="1" applyFill="1" applyBorder="1" applyAlignment="1"/>
    <xf numFmtId="0" fontId="53" fillId="0" borderId="5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61" fillId="0" borderId="1" xfId="0" applyFont="1" applyBorder="1" applyAlignment="1"/>
    <xf numFmtId="0" fontId="35" fillId="0" borderId="90" xfId="0" applyFont="1" applyBorder="1" applyAlignment="1"/>
    <xf numFmtId="0" fontId="12" fillId="0" borderId="0" xfId="0" applyFont="1" applyFill="1" applyAlignment="1">
      <alignment vertical="center"/>
    </xf>
    <xf numFmtId="165" fontId="49" fillId="0" borderId="0" xfId="0" applyNumberFormat="1" applyFont="1" applyAlignment="1">
      <alignment horizontal="center" vertical="center" wrapText="1"/>
    </xf>
    <xf numFmtId="0" fontId="12" fillId="0" borderId="0" xfId="0" applyFont="1" applyFill="1" applyAlignment="1">
      <alignment vertical="center"/>
    </xf>
    <xf numFmtId="1" fontId="6" fillId="0" borderId="0" xfId="0" applyNumberFormat="1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left" vertical="center"/>
    </xf>
    <xf numFmtId="0" fontId="18" fillId="0" borderId="0" xfId="0" applyFont="1" applyFill="1" applyBorder="1" applyAlignment="1">
      <alignment vertical="center"/>
    </xf>
    <xf numFmtId="0" fontId="107" fillId="0" borderId="0" xfId="0" applyFont="1"/>
    <xf numFmtId="2" fontId="24" fillId="0" borderId="0" xfId="0" applyNumberFormat="1" applyFont="1" applyFill="1" applyAlignment="1">
      <alignment vertical="center"/>
    </xf>
    <xf numFmtId="0" fontId="54" fillId="0" borderId="5" xfId="0" applyFont="1" applyFill="1" applyBorder="1" applyAlignment="1">
      <alignment vertical="center"/>
    </xf>
    <xf numFmtId="0" fontId="36" fillId="0" borderId="5" xfId="0" applyFont="1" applyFill="1" applyBorder="1" applyAlignment="1">
      <alignment horizontal="center" vertical="center"/>
    </xf>
    <xf numFmtId="0" fontId="55" fillId="0" borderId="0" xfId="0" applyFont="1" applyFill="1" applyBorder="1" applyAlignment="1">
      <alignment horizontal="right" vertical="center"/>
    </xf>
    <xf numFmtId="0" fontId="36" fillId="0" borderId="0" xfId="0" applyFont="1" applyFill="1" applyAlignment="1">
      <alignment horizontal="center" vertical="center"/>
    </xf>
    <xf numFmtId="0" fontId="11" fillId="0" borderId="0" xfId="0" applyFont="1" applyFill="1" applyAlignment="1">
      <alignment vertical="center"/>
    </xf>
    <xf numFmtId="1" fontId="46" fillId="0" borderId="1" xfId="0" applyNumberFormat="1" applyFont="1" applyBorder="1" applyAlignment="1">
      <alignment horizontal="center"/>
    </xf>
    <xf numFmtId="1" fontId="46" fillId="0" borderId="3" xfId="0" applyNumberFormat="1" applyFont="1" applyBorder="1" applyAlignment="1">
      <alignment horizontal="center"/>
    </xf>
    <xf numFmtId="1" fontId="6" fillId="0" borderId="39" xfId="0" applyNumberFormat="1" applyFont="1" applyFill="1" applyBorder="1" applyAlignment="1">
      <alignment horizontal="right" vertical="center" wrapText="1"/>
    </xf>
    <xf numFmtId="0" fontId="0" fillId="0" borderId="0" xfId="0" applyBorder="1" applyAlignment="1">
      <alignment vertical="center" wrapText="1"/>
    </xf>
    <xf numFmtId="0" fontId="35" fillId="0" borderId="49" xfId="0" applyFont="1" applyFill="1" applyBorder="1" applyAlignment="1">
      <alignment horizontal="right" vertical="center" wrapText="1"/>
    </xf>
    <xf numFmtId="0" fontId="14" fillId="0" borderId="49" xfId="0" applyFont="1" applyFill="1" applyBorder="1" applyAlignment="1">
      <alignment horizontal="right" vertical="center" wrapText="1"/>
    </xf>
    <xf numFmtId="0" fontId="14" fillId="0" borderId="49" xfId="0" applyFont="1" applyBorder="1" applyAlignment="1">
      <alignment wrapText="1"/>
    </xf>
    <xf numFmtId="1" fontId="36" fillId="0" borderId="49" xfId="0" applyNumberFormat="1" applyFont="1" applyFill="1" applyBorder="1" applyAlignment="1">
      <alignment horizontal="right" vertical="center" wrapText="1"/>
    </xf>
    <xf numFmtId="0" fontId="33" fillId="0" borderId="47" xfId="0" applyFont="1" applyFill="1" applyBorder="1" applyAlignment="1">
      <alignment vertical="center"/>
    </xf>
    <xf numFmtId="0" fontId="33" fillId="0" borderId="3" xfId="0" applyFont="1" applyFill="1" applyBorder="1" applyAlignment="1">
      <alignment vertical="center"/>
    </xf>
    <xf numFmtId="0" fontId="33" fillId="0" borderId="2" xfId="0" applyFont="1" applyFill="1" applyBorder="1" applyAlignment="1">
      <alignment vertical="center"/>
    </xf>
    <xf numFmtId="0" fontId="33" fillId="0" borderId="4" xfId="0" applyFont="1" applyFill="1" applyBorder="1" applyAlignment="1">
      <alignment vertical="center"/>
    </xf>
    <xf numFmtId="0" fontId="33" fillId="0" borderId="47" xfId="0" applyFont="1" applyBorder="1" applyAlignment="1">
      <alignment vertical="center"/>
    </xf>
    <xf numFmtId="0" fontId="33" fillId="0" borderId="3" xfId="0" applyFont="1" applyBorder="1" applyAlignment="1">
      <alignment vertical="center"/>
    </xf>
    <xf numFmtId="0" fontId="33" fillId="0" borderId="2" xfId="0" applyFont="1" applyBorder="1" applyAlignment="1">
      <alignment vertical="center"/>
    </xf>
    <xf numFmtId="0" fontId="13" fillId="0" borderId="4" xfId="0" applyFont="1" applyBorder="1" applyAlignment="1">
      <alignment vertical="center"/>
    </xf>
    <xf numFmtId="0" fontId="33" fillId="0" borderId="4" xfId="0" applyFont="1" applyBorder="1" applyAlignment="1">
      <alignment vertical="center"/>
    </xf>
    <xf numFmtId="0" fontId="26" fillId="0" borderId="0" xfId="0" applyFont="1" applyFill="1"/>
    <xf numFmtId="0" fontId="41" fillId="0" borderId="0" xfId="0" applyFont="1" applyFill="1"/>
    <xf numFmtId="0" fontId="33" fillId="0" borderId="3" xfId="0" applyFont="1" applyBorder="1" applyAlignment="1"/>
    <xf numFmtId="0" fontId="33" fillId="0" borderId="48" xfId="0" applyFont="1" applyBorder="1" applyAlignment="1"/>
    <xf numFmtId="1" fontId="36" fillId="0" borderId="51" xfId="0" applyNumberFormat="1" applyFont="1" applyFill="1" applyBorder="1" applyAlignment="1">
      <alignment horizontal="right" vertical="center" wrapText="1"/>
    </xf>
    <xf numFmtId="0" fontId="33" fillId="0" borderId="50" xfId="0" applyFont="1" applyBorder="1" applyAlignment="1">
      <alignment vertical="center"/>
    </xf>
    <xf numFmtId="0" fontId="33" fillId="0" borderId="44" xfId="0" applyFont="1" applyBorder="1" applyAlignment="1">
      <alignment vertical="center"/>
    </xf>
    <xf numFmtId="0" fontId="33" fillId="0" borderId="32" xfId="0" applyFont="1" applyBorder="1" applyAlignment="1">
      <alignment vertical="center"/>
    </xf>
    <xf numFmtId="0" fontId="13" fillId="0" borderId="38" xfId="0" applyFont="1" applyBorder="1" applyAlignment="1">
      <alignment vertical="center"/>
    </xf>
    <xf numFmtId="0" fontId="33" fillId="0" borderId="44" xfId="0" applyFont="1" applyBorder="1" applyAlignment="1"/>
    <xf numFmtId="0" fontId="33" fillId="0" borderId="52" xfId="0" applyFont="1" applyBorder="1" applyAlignment="1"/>
    <xf numFmtId="2" fontId="46" fillId="0" borderId="0" xfId="0" applyNumberFormat="1" applyFont="1"/>
    <xf numFmtId="0" fontId="33" fillId="0" borderId="48" xfId="0" applyFont="1" applyFill="1" applyBorder="1" applyAlignment="1">
      <alignment vertical="center"/>
    </xf>
    <xf numFmtId="0" fontId="33" fillId="0" borderId="48" xfId="0" applyFont="1" applyBorder="1" applyAlignment="1">
      <alignment vertical="center"/>
    </xf>
    <xf numFmtId="0" fontId="35" fillId="0" borderId="3" xfId="0" applyFont="1" applyFill="1" applyBorder="1" applyAlignment="1">
      <alignment vertical="center"/>
    </xf>
    <xf numFmtId="0" fontId="35" fillId="0" borderId="48" xfId="0" applyFont="1" applyFill="1" applyBorder="1" applyAlignment="1">
      <alignment vertical="center"/>
    </xf>
    <xf numFmtId="0" fontId="51" fillId="0" borderId="3" xfId="0" applyFont="1" applyBorder="1" applyAlignment="1">
      <alignment vertical="center"/>
    </xf>
    <xf numFmtId="0" fontId="51" fillId="0" borderId="3" xfId="0" applyFont="1" applyBorder="1" applyAlignment="1"/>
    <xf numFmtId="0" fontId="51" fillId="0" borderId="48" xfId="0" applyFont="1" applyBorder="1" applyAlignment="1"/>
    <xf numFmtId="0" fontId="27" fillId="0" borderId="47" xfId="0" applyFont="1" applyBorder="1" applyAlignment="1"/>
    <xf numFmtId="0" fontId="27" fillId="0" borderId="3" xfId="0" applyFont="1" applyBorder="1" applyAlignment="1"/>
    <xf numFmtId="0" fontId="27" fillId="0" borderId="2" xfId="0" applyFont="1" applyBorder="1" applyAlignment="1"/>
    <xf numFmtId="0" fontId="27" fillId="0" borderId="4" xfId="0" applyFont="1" applyBorder="1" applyAlignment="1"/>
    <xf numFmtId="0" fontId="27" fillId="0" borderId="48" xfId="0" applyFont="1" applyBorder="1" applyAlignment="1"/>
    <xf numFmtId="0" fontId="35" fillId="0" borderId="38" xfId="0" applyFont="1" applyFill="1" applyBorder="1" applyAlignment="1">
      <alignment vertical="center"/>
    </xf>
    <xf numFmtId="0" fontId="35" fillId="0" borderId="44" xfId="0" applyFont="1" applyFill="1" applyBorder="1" applyAlignment="1">
      <alignment vertical="center"/>
    </xf>
    <xf numFmtId="0" fontId="35" fillId="0" borderId="52" xfId="0" applyFont="1" applyFill="1" applyBorder="1" applyAlignment="1">
      <alignment vertical="center"/>
    </xf>
    <xf numFmtId="0" fontId="33" fillId="0" borderId="5" xfId="0" applyFont="1" applyBorder="1" applyAlignment="1">
      <alignment vertical="center"/>
    </xf>
    <xf numFmtId="0" fontId="35" fillId="0" borderId="5" xfId="0" applyFont="1" applyFill="1" applyBorder="1" applyAlignment="1">
      <alignment vertical="center"/>
    </xf>
    <xf numFmtId="0" fontId="35" fillId="0" borderId="27" xfId="0" applyFont="1" applyFill="1" applyBorder="1" applyAlignment="1">
      <alignment vertical="center"/>
    </xf>
    <xf numFmtId="0" fontId="35" fillId="0" borderId="47" xfId="0" applyFont="1" applyFill="1" applyBorder="1" applyAlignment="1">
      <alignment vertical="center"/>
    </xf>
    <xf numFmtId="0" fontId="35" fillId="0" borderId="2" xfId="0" applyFont="1" applyFill="1" applyBorder="1" applyAlignment="1">
      <alignment vertical="center"/>
    </xf>
    <xf numFmtId="0" fontId="12" fillId="0" borderId="4" xfId="0" applyFont="1" applyFill="1" applyBorder="1" applyAlignment="1">
      <alignment vertical="center"/>
    </xf>
    <xf numFmtId="0" fontId="12" fillId="0" borderId="3" xfId="0" applyFont="1" applyFill="1" applyBorder="1" applyAlignment="1">
      <alignment vertical="center"/>
    </xf>
    <xf numFmtId="0" fontId="12" fillId="0" borderId="48" xfId="0" applyFont="1" applyFill="1" applyBorder="1" applyAlignment="1">
      <alignment vertical="center"/>
    </xf>
    <xf numFmtId="0" fontId="33" fillId="0" borderId="27" xfId="0" applyFont="1" applyBorder="1" applyAlignment="1">
      <alignment vertical="center"/>
    </xf>
    <xf numFmtId="0" fontId="51" fillId="0" borderId="2" xfId="0" applyFont="1" applyBorder="1" applyAlignment="1">
      <alignment vertical="center"/>
    </xf>
    <xf numFmtId="0" fontId="51" fillId="0" borderId="47" xfId="0" applyFont="1" applyBorder="1" applyAlignment="1">
      <alignment vertical="center"/>
    </xf>
    <xf numFmtId="0" fontId="46" fillId="0" borderId="0" xfId="0" applyFont="1" applyAlignment="1">
      <alignment horizontal="right"/>
    </xf>
    <xf numFmtId="165" fontId="36" fillId="0" borderId="90" xfId="0" applyNumberFormat="1" applyFont="1" applyFill="1" applyBorder="1" applyAlignment="1">
      <alignment vertical="center"/>
    </xf>
    <xf numFmtId="165" fontId="2" fillId="0" borderId="3" xfId="0" applyNumberFormat="1" applyFont="1" applyFill="1" applyBorder="1" applyAlignment="1">
      <alignment vertical="center"/>
    </xf>
    <xf numFmtId="165" fontId="2" fillId="0" borderId="44" xfId="0" applyNumberFormat="1" applyFont="1" applyFill="1" applyBorder="1" applyAlignment="1">
      <alignment vertical="center"/>
    </xf>
    <xf numFmtId="165" fontId="2" fillId="0" borderId="43" xfId="0" applyNumberFormat="1" applyFont="1" applyFill="1" applyBorder="1" applyAlignment="1">
      <alignment vertical="center"/>
    </xf>
    <xf numFmtId="165" fontId="10" fillId="0" borderId="12" xfId="0" applyNumberFormat="1" applyFont="1" applyFill="1" applyBorder="1" applyAlignment="1">
      <alignment horizontal="center" vertical="center" wrapText="1"/>
    </xf>
    <xf numFmtId="170" fontId="12" fillId="0" borderId="0" xfId="3" applyNumberFormat="1" applyFont="1" applyFill="1" applyAlignment="1">
      <alignment horizontal="right" vertical="center"/>
    </xf>
    <xf numFmtId="0" fontId="12" fillId="0" borderId="0" xfId="0" applyFont="1" applyAlignment="1">
      <alignment horizontal="right"/>
    </xf>
    <xf numFmtId="0" fontId="13" fillId="0" borderId="0" xfId="0" applyFont="1" applyFill="1" applyAlignment="1">
      <alignment horizontal="center" vertical="center" wrapText="1"/>
    </xf>
    <xf numFmtId="165" fontId="32" fillId="9" borderId="0" xfId="0" applyNumberFormat="1" applyFont="1" applyFill="1" applyAlignment="1">
      <alignment horizontal="center" vertical="center" wrapText="1"/>
    </xf>
    <xf numFmtId="165" fontId="49" fillId="9" borderId="0" xfId="0" applyNumberFormat="1" applyFont="1" applyFill="1" applyAlignment="1">
      <alignment horizontal="center" vertical="center" wrapText="1"/>
    </xf>
    <xf numFmtId="0" fontId="71" fillId="9" borderId="0" xfId="0" applyFont="1" applyFill="1" applyAlignment="1">
      <alignment horizontal="center" vertical="center"/>
    </xf>
    <xf numFmtId="0" fontId="12" fillId="9" borderId="0" xfId="0" applyFont="1" applyFill="1" applyAlignment="1">
      <alignment horizontal="center" vertical="center"/>
    </xf>
    <xf numFmtId="0" fontId="12" fillId="9" borderId="0" xfId="0" applyFont="1" applyFill="1"/>
    <xf numFmtId="0" fontId="71" fillId="9" borderId="0" xfId="0" applyFont="1" applyFill="1" applyAlignment="1">
      <alignment vertical="center"/>
    </xf>
    <xf numFmtId="165" fontId="12" fillId="9" borderId="0" xfId="0" applyNumberFormat="1" applyFont="1" applyFill="1" applyAlignment="1">
      <alignment horizontal="center" vertical="center"/>
    </xf>
    <xf numFmtId="0" fontId="13" fillId="9" borderId="0" xfId="0" applyFont="1" applyFill="1"/>
    <xf numFmtId="165" fontId="105" fillId="4" borderId="60" xfId="0" applyNumberFormat="1" applyFont="1" applyFill="1" applyBorder="1" applyAlignment="1">
      <alignment horizontal="right" vertical="center" wrapText="1"/>
    </xf>
    <xf numFmtId="0" fontId="113" fillId="0" borderId="0" xfId="0" applyFont="1" applyAlignment="1">
      <alignment horizontal="center" vertical="center"/>
    </xf>
    <xf numFmtId="0" fontId="116" fillId="0" borderId="21" xfId="0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104" fillId="0" borderId="24" xfId="0" applyFont="1" applyBorder="1" applyAlignment="1">
      <alignment horizontal="center" vertical="center" wrapText="1"/>
    </xf>
    <xf numFmtId="0" fontId="104" fillId="8" borderId="24" xfId="0" applyFont="1" applyFill="1" applyBorder="1" applyAlignment="1">
      <alignment horizontal="center" vertical="center" wrapText="1"/>
    </xf>
    <xf numFmtId="169" fontId="119" fillId="0" borderId="24" xfId="0" applyNumberFormat="1" applyFont="1" applyBorder="1" applyAlignment="1">
      <alignment horizontal="center" vertical="center" wrapText="1"/>
    </xf>
    <xf numFmtId="2" fontId="118" fillId="0" borderId="24" xfId="0" applyNumberFormat="1" applyFont="1" applyFill="1" applyBorder="1" applyAlignment="1">
      <alignment horizontal="center" vertical="center" wrapText="1"/>
    </xf>
    <xf numFmtId="2" fontId="118" fillId="0" borderId="24" xfId="0" applyNumberFormat="1" applyFont="1" applyBorder="1" applyAlignment="1">
      <alignment horizontal="center" vertical="center" wrapText="1"/>
    </xf>
    <xf numFmtId="169" fontId="118" fillId="7" borderId="24" xfId="0" applyNumberFormat="1" applyFont="1" applyFill="1" applyBorder="1" applyAlignment="1">
      <alignment horizontal="center" vertical="center" wrapText="1"/>
    </xf>
    <xf numFmtId="2" fontId="118" fillId="5" borderId="24" xfId="0" applyNumberFormat="1" applyFont="1" applyFill="1" applyBorder="1" applyAlignment="1">
      <alignment horizontal="center" vertical="center" wrapText="1"/>
    </xf>
    <xf numFmtId="0" fontId="119" fillId="0" borderId="13" xfId="0" applyFont="1" applyBorder="1" applyAlignment="1">
      <alignment horizontal="center" vertical="center" wrapText="1"/>
    </xf>
    <xf numFmtId="169" fontId="119" fillId="0" borderId="13" xfId="0" applyNumberFormat="1" applyFont="1" applyBorder="1" applyAlignment="1">
      <alignment horizontal="center" vertical="center" wrapText="1"/>
    </xf>
    <xf numFmtId="169" fontId="118" fillId="7" borderId="13" xfId="0" applyNumberFormat="1" applyFont="1" applyFill="1" applyBorder="1" applyAlignment="1">
      <alignment horizontal="center" vertical="center" wrapText="1"/>
    </xf>
    <xf numFmtId="169" fontId="118" fillId="0" borderId="13" xfId="0" applyNumberFormat="1" applyFont="1" applyBorder="1" applyAlignment="1">
      <alignment horizontal="center" vertical="center" wrapText="1"/>
    </xf>
    <xf numFmtId="169" fontId="118" fillId="5" borderId="13" xfId="0" applyNumberFormat="1" applyFont="1" applyFill="1" applyBorder="1" applyAlignment="1">
      <alignment horizontal="center" vertical="center" wrapText="1"/>
    </xf>
    <xf numFmtId="0" fontId="119" fillId="0" borderId="36" xfId="0" applyFont="1" applyBorder="1" applyAlignment="1">
      <alignment horizontal="center" vertical="center" wrapText="1"/>
    </xf>
    <xf numFmtId="169" fontId="119" fillId="0" borderId="36" xfId="0" applyNumberFormat="1" applyFont="1" applyBorder="1" applyAlignment="1">
      <alignment horizontal="center" vertical="center" wrapText="1"/>
    </xf>
    <xf numFmtId="49" fontId="118" fillId="0" borderId="36" xfId="0" applyNumberFormat="1" applyFont="1" applyFill="1" applyBorder="1" applyAlignment="1">
      <alignment horizontal="center" vertical="center" wrapText="1"/>
    </xf>
    <xf numFmtId="49" fontId="118" fillId="0" borderId="36" xfId="0" applyNumberFormat="1" applyFont="1" applyBorder="1" applyAlignment="1">
      <alignment horizontal="center" vertical="center" wrapText="1"/>
    </xf>
    <xf numFmtId="49" fontId="118" fillId="5" borderId="36" xfId="0" applyNumberFormat="1" applyFont="1" applyFill="1" applyBorder="1" applyAlignment="1">
      <alignment horizontal="center" vertical="center" wrapText="1"/>
    </xf>
    <xf numFmtId="49" fontId="118" fillId="8" borderId="36" xfId="0" applyNumberFormat="1" applyFont="1" applyFill="1" applyBorder="1" applyAlignment="1">
      <alignment horizontal="center" vertical="center" wrapText="1"/>
    </xf>
    <xf numFmtId="49" fontId="118" fillId="0" borderId="13" xfId="0" applyNumberFormat="1" applyFont="1" applyBorder="1" applyAlignment="1">
      <alignment horizontal="center" vertical="center" wrapText="1"/>
    </xf>
    <xf numFmtId="49" fontId="118" fillId="8" borderId="13" xfId="0" applyNumberFormat="1" applyFont="1" applyFill="1" applyBorder="1" applyAlignment="1">
      <alignment horizontal="center" vertical="center" wrapText="1"/>
    </xf>
    <xf numFmtId="0" fontId="119" fillId="0" borderId="24" xfId="0" applyFont="1" applyBorder="1" applyAlignment="1">
      <alignment horizontal="center" vertical="center" wrapText="1"/>
    </xf>
    <xf numFmtId="169" fontId="118" fillId="0" borderId="24" xfId="0" applyNumberFormat="1" applyFont="1" applyBorder="1" applyAlignment="1">
      <alignment horizontal="center" vertical="center" wrapText="1"/>
    </xf>
    <xf numFmtId="49" fontId="118" fillId="0" borderId="24" xfId="0" applyNumberFormat="1" applyFont="1" applyBorder="1" applyAlignment="1">
      <alignment horizontal="center" vertical="center" wrapText="1"/>
    </xf>
    <xf numFmtId="49" fontId="118" fillId="0" borderId="24" xfId="0" applyNumberFormat="1" applyFont="1" applyFill="1" applyBorder="1" applyAlignment="1">
      <alignment horizontal="center" vertical="center" wrapText="1"/>
    </xf>
    <xf numFmtId="49" fontId="118" fillId="5" borderId="24" xfId="0" applyNumberFormat="1" applyFont="1" applyFill="1" applyBorder="1" applyAlignment="1">
      <alignment horizontal="center" vertical="center" wrapText="1"/>
    </xf>
    <xf numFmtId="47" fontId="118" fillId="0" borderId="13" xfId="0" applyNumberFormat="1" applyFont="1" applyBorder="1" applyAlignment="1">
      <alignment horizontal="center" vertical="center" wrapText="1"/>
    </xf>
    <xf numFmtId="47" fontId="118" fillId="7" borderId="13" xfId="0" applyNumberFormat="1" applyFont="1" applyFill="1" applyBorder="1" applyAlignment="1">
      <alignment horizontal="center" vertical="center" wrapText="1"/>
    </xf>
    <xf numFmtId="169" fontId="118" fillId="7" borderId="36" xfId="0" applyNumberFormat="1" applyFont="1" applyFill="1" applyBorder="1" applyAlignment="1">
      <alignment horizontal="center" vertical="center" wrapText="1"/>
    </xf>
    <xf numFmtId="169" fontId="118" fillId="8" borderId="13" xfId="0" applyNumberFormat="1" applyFont="1" applyFill="1" applyBorder="1" applyAlignment="1">
      <alignment horizontal="center" vertical="center" wrapText="1"/>
    </xf>
    <xf numFmtId="169" fontId="118" fillId="8" borderId="36" xfId="0" applyNumberFormat="1" applyFont="1" applyFill="1" applyBorder="1" applyAlignment="1">
      <alignment horizontal="center" vertical="center" wrapText="1"/>
    </xf>
    <xf numFmtId="0" fontId="113" fillId="0" borderId="0" xfId="0" applyFont="1" applyAlignment="1">
      <alignment horizontal="center"/>
    </xf>
    <xf numFmtId="0" fontId="113" fillId="0" borderId="0" xfId="0" applyFont="1" applyAlignment="1">
      <alignment horizontal="center" vertical="top"/>
    </xf>
    <xf numFmtId="49" fontId="113" fillId="0" borderId="0" xfId="0" applyNumberFormat="1" applyFont="1" applyAlignment="1">
      <alignment horizontal="center" vertical="center"/>
    </xf>
    <xf numFmtId="0" fontId="33" fillId="0" borderId="0" xfId="0" applyFont="1" applyAlignment="1">
      <alignment horizontal="left"/>
    </xf>
    <xf numFmtId="0" fontId="33" fillId="0" borderId="0" xfId="0" applyFont="1" applyAlignment="1">
      <alignment horizontal="center"/>
    </xf>
    <xf numFmtId="0" fontId="80" fillId="0" borderId="0" xfId="0" applyFont="1" applyAlignment="1">
      <alignment horizontal="center"/>
    </xf>
    <xf numFmtId="0" fontId="33" fillId="0" borderId="3" xfId="0" applyFont="1" applyBorder="1"/>
    <xf numFmtId="0" fontId="80" fillId="0" borderId="0" xfId="0" applyFont="1" applyAlignment="1">
      <alignment horizontal="left"/>
    </xf>
    <xf numFmtId="0" fontId="51" fillId="0" borderId="0" xfId="0" applyFont="1" applyAlignment="1">
      <alignment horizontal="right"/>
    </xf>
    <xf numFmtId="0" fontId="33" fillId="0" borderId="0" xfId="0" applyFont="1" applyAlignment="1">
      <alignment horizontal="right"/>
    </xf>
    <xf numFmtId="0" fontId="33" fillId="0" borderId="90" xfId="0" applyFont="1" applyBorder="1" applyAlignment="1"/>
    <xf numFmtId="2" fontId="50" fillId="0" borderId="90" xfId="0" applyNumberFormat="1" applyFont="1" applyBorder="1" applyAlignment="1"/>
    <xf numFmtId="0" fontId="33" fillId="0" borderId="90" xfId="0" applyFont="1" applyBorder="1"/>
    <xf numFmtId="2" fontId="108" fillId="0" borderId="90" xfId="0" applyNumberFormat="1" applyFont="1" applyBorder="1"/>
    <xf numFmtId="0" fontId="87" fillId="0" borderId="0" xfId="0" applyFont="1" applyBorder="1" applyAlignment="1">
      <alignment horizontal="center"/>
    </xf>
    <xf numFmtId="0" fontId="87" fillId="0" borderId="0" xfId="0" applyFont="1" applyBorder="1" applyAlignment="1">
      <alignment horizontal="left"/>
    </xf>
    <xf numFmtId="0" fontId="80" fillId="0" borderId="90" xfId="0" applyFont="1" applyBorder="1"/>
    <xf numFmtId="0" fontId="87" fillId="0" borderId="90" xfId="0" applyFont="1" applyBorder="1" applyAlignment="1">
      <alignment horizontal="center"/>
    </xf>
    <xf numFmtId="0" fontId="80" fillId="0" borderId="3" xfId="0" applyFont="1" applyBorder="1"/>
    <xf numFmtId="0" fontId="50" fillId="0" borderId="3" xfId="0" applyFont="1" applyBorder="1"/>
    <xf numFmtId="0" fontId="35" fillId="0" borderId="0" xfId="0" applyFont="1" applyFill="1" applyBorder="1" applyAlignment="1">
      <alignment horizontal="left" vertical="center"/>
    </xf>
    <xf numFmtId="0" fontId="50" fillId="0" borderId="0" xfId="0" applyFont="1"/>
    <xf numFmtId="0" fontId="35" fillId="0" borderId="0" xfId="0" applyFont="1" applyFill="1" applyBorder="1" applyAlignment="1">
      <alignment horizontal="left" vertical="center" indent="2"/>
    </xf>
    <xf numFmtId="0" fontId="122" fillId="0" borderId="5" xfId="0" applyFont="1" applyBorder="1" applyAlignment="1">
      <alignment horizontal="center"/>
    </xf>
    <xf numFmtId="0" fontId="33" fillId="0" borderId="0" xfId="0" applyFont="1" applyBorder="1" applyAlignment="1">
      <alignment horizontal="left"/>
    </xf>
    <xf numFmtId="0" fontId="33" fillId="0" borderId="0" xfId="0" applyFont="1" applyBorder="1" applyAlignment="1">
      <alignment horizontal="center"/>
    </xf>
    <xf numFmtId="0" fontId="33" fillId="0" borderId="64" xfId="0" applyFont="1" applyBorder="1" applyAlignment="1">
      <alignment horizontal="center"/>
    </xf>
    <xf numFmtId="0" fontId="87" fillId="0" borderId="60" xfId="0" applyFont="1" applyBorder="1" applyAlignment="1">
      <alignment horizontal="left" indent="1"/>
    </xf>
    <xf numFmtId="0" fontId="73" fillId="0" borderId="0" xfId="0" applyFont="1" applyBorder="1" applyAlignment="1"/>
    <xf numFmtId="0" fontId="33" fillId="0" borderId="61" xfId="0" applyFont="1" applyBorder="1" applyAlignment="1"/>
    <xf numFmtId="0" fontId="33" fillId="0" borderId="85" xfId="0" applyFont="1" applyBorder="1" applyAlignment="1">
      <alignment horizontal="center"/>
    </xf>
    <xf numFmtId="0" fontId="73" fillId="0" borderId="90" xfId="0" applyFont="1" applyBorder="1" applyAlignment="1"/>
    <xf numFmtId="0" fontId="33" fillId="0" borderId="88" xfId="0" applyFont="1" applyBorder="1" applyAlignment="1"/>
    <xf numFmtId="0" fontId="123" fillId="0" borderId="90" xfId="0" applyFont="1" applyBorder="1" applyAlignment="1">
      <alignment horizontal="left"/>
    </xf>
    <xf numFmtId="0" fontId="33" fillId="0" borderId="0" xfId="0" applyFont="1" applyBorder="1" applyAlignment="1">
      <alignment vertical="center" wrapText="1"/>
    </xf>
    <xf numFmtId="0" fontId="33" fillId="0" borderId="5" xfId="0" applyFont="1" applyBorder="1" applyAlignment="1">
      <alignment vertical="center" wrapText="1"/>
    </xf>
    <xf numFmtId="0" fontId="46" fillId="0" borderId="0" xfId="0" applyFont="1" applyBorder="1" applyAlignment="1"/>
    <xf numFmtId="0" fontId="50" fillId="0" borderId="0" xfId="0" applyFont="1" applyAlignment="1">
      <alignment horizontal="right" wrapText="1"/>
    </xf>
    <xf numFmtId="0" fontId="87" fillId="0" borderId="89" xfId="0" applyFont="1" applyBorder="1" applyAlignment="1">
      <alignment horizontal="left" indent="1"/>
    </xf>
    <xf numFmtId="0" fontId="87" fillId="0" borderId="7" xfId="0" applyFont="1" applyBorder="1" applyAlignment="1">
      <alignment horizontal="left" indent="1"/>
    </xf>
    <xf numFmtId="0" fontId="73" fillId="0" borderId="6" xfId="0" applyFont="1" applyBorder="1" applyAlignment="1"/>
    <xf numFmtId="0" fontId="33" fillId="0" borderId="6" xfId="0" applyFont="1" applyBorder="1" applyAlignment="1"/>
    <xf numFmtId="0" fontId="33" fillId="0" borderId="8" xfId="0" applyFont="1" applyBorder="1" applyAlignment="1"/>
    <xf numFmtId="0" fontId="33" fillId="0" borderId="9" xfId="0" applyFont="1" applyBorder="1" applyAlignment="1">
      <alignment horizontal="center"/>
    </xf>
    <xf numFmtId="165" fontId="2" fillId="6" borderId="3" xfId="0" applyNumberFormat="1" applyFont="1" applyFill="1" applyBorder="1" applyAlignment="1">
      <alignment horizontal="center" vertical="center" wrapText="1"/>
    </xf>
    <xf numFmtId="0" fontId="40" fillId="6" borderId="53" xfId="0" applyFont="1" applyFill="1" applyBorder="1" applyAlignment="1">
      <alignment horizontal="center" vertical="center"/>
    </xf>
    <xf numFmtId="165" fontId="2" fillId="6" borderId="44" xfId="0" applyNumberFormat="1" applyFont="1" applyFill="1" applyBorder="1" applyAlignment="1">
      <alignment horizontal="center" vertical="center" wrapText="1"/>
    </xf>
    <xf numFmtId="0" fontId="67" fillId="6" borderId="0" xfId="0" applyFont="1" applyFill="1" applyAlignment="1">
      <alignment horizontal="left" vertical="center" wrapText="1"/>
    </xf>
    <xf numFmtId="0" fontId="54" fillId="0" borderId="0" xfId="0" applyFont="1" applyFill="1" applyBorder="1" applyAlignment="1">
      <alignment horizontal="left" vertical="center" wrapText="1"/>
    </xf>
    <xf numFmtId="0" fontId="18" fillId="0" borderId="13" xfId="0" applyFont="1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0" fontId="18" fillId="0" borderId="18" xfId="0" applyFont="1" applyBorder="1" applyAlignment="1">
      <alignment vertical="center" textRotation="90"/>
    </xf>
    <xf numFmtId="0" fontId="18" fillId="0" borderId="12" xfId="0" applyFont="1" applyBorder="1" applyAlignment="1">
      <alignment vertical="center" textRotation="90"/>
    </xf>
    <xf numFmtId="0" fontId="40" fillId="6" borderId="69" xfId="0" applyFont="1" applyFill="1" applyBorder="1" applyAlignment="1">
      <alignment horizontal="center" vertical="center"/>
    </xf>
    <xf numFmtId="0" fontId="36" fillId="0" borderId="90" xfId="0" applyFont="1" applyFill="1" applyBorder="1" applyAlignment="1">
      <alignment vertical="center"/>
    </xf>
    <xf numFmtId="165" fontId="11" fillId="6" borderId="0" xfId="0" applyNumberFormat="1" applyFont="1" applyFill="1" applyBorder="1" applyAlignment="1">
      <alignment horizontal="center" vertical="center" wrapText="1"/>
    </xf>
    <xf numFmtId="165" fontId="29" fillId="0" borderId="85" xfId="0" applyNumberFormat="1" applyFont="1" applyFill="1" applyBorder="1" applyAlignment="1">
      <alignment horizontal="center" vertical="center"/>
    </xf>
    <xf numFmtId="165" fontId="2" fillId="0" borderId="70" xfId="0" applyNumberFormat="1" applyFont="1" applyFill="1" applyBorder="1" applyAlignment="1">
      <alignment vertical="center"/>
    </xf>
    <xf numFmtId="0" fontId="40" fillId="6" borderId="0" xfId="0" applyFont="1" applyFill="1" applyBorder="1" applyAlignment="1">
      <alignment horizontal="center" vertical="center"/>
    </xf>
    <xf numFmtId="165" fontId="29" fillId="0" borderId="70" xfId="0" applyNumberFormat="1" applyFont="1" applyFill="1" applyBorder="1" applyAlignment="1">
      <alignment horizontal="center" vertical="center"/>
    </xf>
    <xf numFmtId="165" fontId="2" fillId="0" borderId="89" xfId="0" applyNumberFormat="1" applyFont="1" applyFill="1" applyBorder="1" applyAlignment="1">
      <alignment vertical="center"/>
    </xf>
    <xf numFmtId="165" fontId="2" fillId="0" borderId="90" xfId="0" applyNumberFormat="1" applyFont="1" applyFill="1" applyBorder="1" applyAlignment="1">
      <alignment vertical="center"/>
    </xf>
    <xf numFmtId="0" fontId="0" fillId="0" borderId="90" xfId="0" applyBorder="1" applyAlignment="1">
      <alignment vertical="center"/>
    </xf>
    <xf numFmtId="0" fontId="1" fillId="0" borderId="90" xfId="0" applyFont="1" applyFill="1" applyBorder="1" applyAlignment="1">
      <alignment horizontal="center" vertical="center"/>
    </xf>
    <xf numFmtId="165" fontId="29" fillId="0" borderId="23" xfId="0" applyNumberFormat="1" applyFont="1" applyBorder="1" applyAlignment="1">
      <alignment horizontal="center" vertical="center" textRotation="90" wrapText="1"/>
    </xf>
    <xf numFmtId="165" fontId="29" fillId="0" borderId="17" xfId="0" applyNumberFormat="1" applyFont="1" applyBorder="1" applyAlignment="1">
      <alignment horizontal="center" vertical="center" textRotation="90" wrapText="1"/>
    </xf>
    <xf numFmtId="1" fontId="29" fillId="0" borderId="5" xfId="0" applyNumberFormat="1" applyFont="1" applyFill="1" applyBorder="1" applyAlignment="1">
      <alignment horizontal="center" vertical="center"/>
    </xf>
    <xf numFmtId="1" fontId="18" fillId="0" borderId="27" xfId="0" applyNumberFormat="1" applyFont="1" applyFill="1" applyBorder="1" applyAlignment="1">
      <alignment horizontal="center" vertical="center"/>
    </xf>
    <xf numFmtId="1" fontId="18" fillId="0" borderId="31" xfId="0" applyNumberFormat="1" applyFont="1" applyFill="1" applyBorder="1" applyAlignment="1">
      <alignment horizontal="center" vertical="center"/>
    </xf>
    <xf numFmtId="1" fontId="6" fillId="0" borderId="2" xfId="0" applyNumberFormat="1" applyFont="1" applyFill="1" applyBorder="1" applyAlignment="1">
      <alignment horizontal="center" vertical="center"/>
    </xf>
    <xf numFmtId="1" fontId="6" fillId="0" borderId="32" xfId="0" applyNumberFormat="1" applyFont="1" applyFill="1" applyBorder="1" applyAlignment="1">
      <alignment horizontal="center" vertical="center"/>
    </xf>
    <xf numFmtId="1" fontId="6" fillId="0" borderId="26" xfId="0" applyNumberFormat="1" applyFont="1" applyFill="1" applyBorder="1" applyAlignment="1">
      <alignment horizontal="center" vertical="center"/>
    </xf>
    <xf numFmtId="1" fontId="6" fillId="0" borderId="29" xfId="0" applyNumberFormat="1" applyFont="1" applyFill="1" applyBorder="1" applyAlignment="1">
      <alignment horizontal="center" vertical="center"/>
    </xf>
    <xf numFmtId="1" fontId="29" fillId="0" borderId="27" xfId="0" applyNumberFormat="1" applyFont="1" applyFill="1" applyBorder="1" applyAlignment="1">
      <alignment horizontal="center" vertical="center"/>
    </xf>
    <xf numFmtId="165" fontId="29" fillId="0" borderId="84" xfId="0" applyNumberFormat="1" applyFont="1" applyFill="1" applyBorder="1" applyAlignment="1">
      <alignment horizontal="center" vertical="center"/>
    </xf>
    <xf numFmtId="1" fontId="29" fillId="0" borderId="30" xfId="0" applyNumberFormat="1" applyFont="1" applyFill="1" applyBorder="1" applyAlignment="1">
      <alignment horizontal="center" vertical="center"/>
    </xf>
    <xf numFmtId="0" fontId="18" fillId="0" borderId="65" xfId="0" applyFont="1" applyBorder="1" applyAlignment="1">
      <alignment vertical="center" textRotation="90"/>
    </xf>
    <xf numFmtId="165" fontId="72" fillId="0" borderId="61" xfId="0" applyNumberFormat="1" applyFont="1" applyBorder="1" applyAlignment="1">
      <alignment horizontal="center" vertical="center" wrapText="1"/>
    </xf>
    <xf numFmtId="165" fontId="29" fillId="0" borderId="61" xfId="0" applyNumberFormat="1" applyFont="1" applyBorder="1" applyAlignment="1">
      <alignment horizontal="center" vertical="center" textRotation="90" wrapText="1"/>
    </xf>
    <xf numFmtId="165" fontId="29" fillId="0" borderId="0" xfId="0" applyNumberFormat="1" applyFont="1" applyBorder="1" applyAlignment="1">
      <alignment horizontal="center" vertical="center" textRotation="90" wrapText="1"/>
    </xf>
    <xf numFmtId="165" fontId="29" fillId="0" borderId="65" xfId="0" applyNumberFormat="1" applyFont="1" applyBorder="1" applyAlignment="1">
      <alignment horizontal="center" vertical="center" textRotation="90" wrapText="1"/>
    </xf>
    <xf numFmtId="165" fontId="29" fillId="0" borderId="81" xfId="0" applyNumberFormat="1" applyFont="1" applyBorder="1" applyAlignment="1">
      <alignment horizontal="center" vertical="center" textRotation="90" wrapText="1"/>
    </xf>
    <xf numFmtId="0" fontId="62" fillId="0" borderId="33" xfId="0" applyFont="1" applyFill="1" applyBorder="1" applyAlignment="1">
      <alignment horizontal="center" vertical="center" textRotation="90"/>
    </xf>
    <xf numFmtId="1" fontId="29" fillId="0" borderId="85" xfId="0" applyNumberFormat="1" applyFont="1" applyFill="1" applyBorder="1" applyAlignment="1">
      <alignment horizontal="center" vertical="center"/>
    </xf>
    <xf numFmtId="0" fontId="18" fillId="0" borderId="13" xfId="0" applyFont="1" applyBorder="1" applyAlignment="1">
      <alignment horizontal="left" vertical="center"/>
    </xf>
    <xf numFmtId="1" fontId="18" fillId="0" borderId="15" xfId="0" applyNumberFormat="1" applyFont="1" applyFill="1" applyBorder="1" applyAlignment="1">
      <alignment horizontal="center" vertical="center"/>
    </xf>
    <xf numFmtId="1" fontId="6" fillId="0" borderId="25" xfId="0" applyNumberFormat="1" applyFont="1" applyFill="1" applyBorder="1" applyAlignment="1">
      <alignment horizontal="center" vertical="center"/>
    </xf>
    <xf numFmtId="1" fontId="6" fillId="0" borderId="70" xfId="0" applyNumberFormat="1" applyFont="1" applyFill="1" applyBorder="1" applyAlignment="1">
      <alignment horizontal="center" vertical="center"/>
    </xf>
    <xf numFmtId="1" fontId="29" fillId="0" borderId="13" xfId="0" applyNumberFormat="1" applyFont="1" applyFill="1" applyBorder="1" applyAlignment="1">
      <alignment horizontal="center" vertical="center"/>
    </xf>
    <xf numFmtId="165" fontId="15" fillId="0" borderId="13" xfId="0" applyNumberFormat="1" applyFont="1" applyFill="1" applyBorder="1" applyAlignment="1">
      <alignment horizontal="center" vertical="center"/>
    </xf>
    <xf numFmtId="1" fontId="29" fillId="0" borderId="15" xfId="0" applyNumberFormat="1" applyFont="1" applyFill="1" applyBorder="1" applyAlignment="1">
      <alignment horizontal="center" vertical="center"/>
    </xf>
    <xf numFmtId="1" fontId="29" fillId="0" borderId="37" xfId="0" applyNumberFormat="1" applyFont="1" applyFill="1" applyBorder="1" applyAlignment="1">
      <alignment horizontal="center" vertical="center"/>
    </xf>
    <xf numFmtId="1" fontId="29" fillId="0" borderId="4" xfId="0" applyNumberFormat="1" applyFont="1" applyFill="1" applyBorder="1" applyAlignment="1">
      <alignment horizontal="center" vertical="center"/>
    </xf>
    <xf numFmtId="1" fontId="29" fillId="0" borderId="38" xfId="0" applyNumberFormat="1" applyFont="1" applyFill="1" applyBorder="1" applyAlignment="1">
      <alignment horizontal="center" vertical="center"/>
    </xf>
    <xf numFmtId="1" fontId="2" fillId="0" borderId="39" xfId="0" applyNumberFormat="1" applyFont="1" applyFill="1" applyBorder="1" applyAlignment="1">
      <alignment horizontal="center" vertical="center"/>
    </xf>
    <xf numFmtId="1" fontId="2" fillId="0" borderId="49" xfId="0" applyNumberFormat="1" applyFont="1" applyFill="1" applyBorder="1" applyAlignment="1">
      <alignment horizontal="center" vertical="center"/>
    </xf>
    <xf numFmtId="1" fontId="2" fillId="0" borderId="51" xfId="0" applyNumberFormat="1" applyFont="1" applyFill="1" applyBorder="1" applyAlignment="1">
      <alignment horizontal="center" vertical="center"/>
    </xf>
    <xf numFmtId="1" fontId="29" fillId="0" borderId="70" xfId="0" applyNumberFormat="1" applyFont="1" applyFill="1" applyBorder="1" applyAlignment="1">
      <alignment horizontal="center" vertical="center"/>
    </xf>
    <xf numFmtId="1" fontId="29" fillId="0" borderId="2" xfId="0" applyNumberFormat="1" applyFont="1" applyFill="1" applyBorder="1" applyAlignment="1">
      <alignment horizontal="center" vertical="center"/>
    </xf>
    <xf numFmtId="1" fontId="29" fillId="0" borderId="32" xfId="0" applyNumberFormat="1" applyFont="1" applyFill="1" applyBorder="1" applyAlignment="1">
      <alignment horizontal="center" vertical="center"/>
    </xf>
    <xf numFmtId="0" fontId="33" fillId="0" borderId="5" xfId="0" applyFont="1" applyBorder="1" applyAlignment="1">
      <alignment horizontal="right"/>
    </xf>
    <xf numFmtId="0" fontId="87" fillId="0" borderId="5" xfId="0" applyFont="1" applyBorder="1" applyAlignment="1">
      <alignment horizontal="center"/>
    </xf>
    <xf numFmtId="0" fontId="33" fillId="0" borderId="5" xfId="0" applyFont="1" applyBorder="1" applyAlignment="1">
      <alignment horizontal="center"/>
    </xf>
    <xf numFmtId="0" fontId="12" fillId="0" borderId="0" xfId="0" applyFont="1" applyFill="1" applyAlignment="1">
      <alignment vertical="center"/>
    </xf>
    <xf numFmtId="0" fontId="116" fillId="0" borderId="0" xfId="0" applyFont="1" applyBorder="1" applyAlignment="1">
      <alignment horizontal="left"/>
    </xf>
    <xf numFmtId="0" fontId="0" fillId="0" borderId="0" xfId="0" applyFont="1" applyBorder="1" applyAlignment="1">
      <alignment horizontal="left"/>
    </xf>
    <xf numFmtId="0" fontId="104" fillId="0" borderId="21" xfId="0" applyFont="1" applyBorder="1" applyAlignment="1">
      <alignment horizontal="center" vertical="center" wrapText="1"/>
    </xf>
    <xf numFmtId="0" fontId="116" fillId="0" borderId="24" xfId="0" applyFont="1" applyBorder="1" applyAlignment="1">
      <alignment horizontal="center" vertical="center" wrapText="1"/>
    </xf>
    <xf numFmtId="0" fontId="112" fillId="0" borderId="0" xfId="0" applyFont="1" applyBorder="1" applyAlignment="1">
      <alignment horizontal="left"/>
    </xf>
    <xf numFmtId="2" fontId="56" fillId="0" borderId="0" xfId="0" applyNumberFormat="1" applyFont="1" applyFill="1" applyAlignment="1">
      <alignment horizontal="right" vertical="center"/>
    </xf>
    <xf numFmtId="0" fontId="56" fillId="0" borderId="0" xfId="0" applyFont="1" applyFill="1" applyBorder="1" applyAlignment="1">
      <alignment horizontal="right" vertical="center"/>
    </xf>
    <xf numFmtId="0" fontId="12" fillId="0" borderId="0" xfId="0" applyFont="1" applyFill="1" applyAlignment="1">
      <alignment vertical="center"/>
    </xf>
    <xf numFmtId="168" fontId="53" fillId="0" borderId="0" xfId="1" applyNumberFormat="1" applyFont="1"/>
    <xf numFmtId="0" fontId="53" fillId="0" borderId="0" xfId="1" applyFont="1"/>
    <xf numFmtId="0" fontId="53" fillId="0" borderId="0" xfId="1" applyFont="1" applyFill="1"/>
    <xf numFmtId="0" fontId="104" fillId="0" borderId="67" xfId="0" applyFont="1" applyBorder="1" applyAlignment="1">
      <alignment horizontal="center" vertical="center" wrapText="1"/>
    </xf>
    <xf numFmtId="0" fontId="124" fillId="0" borderId="64" xfId="0" applyFont="1" applyBorder="1" applyAlignment="1">
      <alignment horizontal="center" vertical="center" wrapText="1"/>
    </xf>
    <xf numFmtId="49" fontId="118" fillId="8" borderId="30" xfId="0" applyNumberFormat="1" applyFont="1" applyFill="1" applyBorder="1" applyAlignment="1">
      <alignment horizontal="center" vertical="center" wrapText="1"/>
    </xf>
    <xf numFmtId="49" fontId="118" fillId="5" borderId="30" xfId="0" applyNumberFormat="1" applyFont="1" applyFill="1" applyBorder="1" applyAlignment="1">
      <alignment horizontal="center" vertical="center" wrapText="1"/>
    </xf>
    <xf numFmtId="169" fontId="118" fillId="0" borderId="85" xfId="0" applyNumberFormat="1" applyFont="1" applyBorder="1" applyAlignment="1">
      <alignment horizontal="center" vertical="center" wrapText="1"/>
    </xf>
    <xf numFmtId="2" fontId="118" fillId="10" borderId="24" xfId="0" applyNumberFormat="1" applyFont="1" applyFill="1" applyBorder="1" applyAlignment="1">
      <alignment horizontal="center" vertical="center" wrapText="1"/>
    </xf>
    <xf numFmtId="169" fontId="118" fillId="10" borderId="13" xfId="0" applyNumberFormat="1" applyFont="1" applyFill="1" applyBorder="1" applyAlignment="1">
      <alignment horizontal="center" vertical="center" wrapText="1"/>
    </xf>
    <xf numFmtId="49" fontId="118" fillId="10" borderId="36" xfId="0" applyNumberFormat="1" applyFont="1" applyFill="1" applyBorder="1" applyAlignment="1">
      <alignment horizontal="center" vertical="center" wrapText="1"/>
    </xf>
    <xf numFmtId="49" fontId="118" fillId="10" borderId="13" xfId="0" applyNumberFormat="1" applyFont="1" applyFill="1" applyBorder="1" applyAlignment="1">
      <alignment horizontal="center" vertical="center" wrapText="1"/>
    </xf>
    <xf numFmtId="169" fontId="118" fillId="10" borderId="24" xfId="0" applyNumberFormat="1" applyFont="1" applyFill="1" applyBorder="1" applyAlignment="1">
      <alignment horizontal="center" vertical="center" wrapText="1"/>
    </xf>
    <xf numFmtId="49" fontId="118" fillId="10" borderId="24" xfId="0" applyNumberFormat="1" applyFont="1" applyFill="1" applyBorder="1" applyAlignment="1">
      <alignment horizontal="center" vertical="center" wrapText="1"/>
    </xf>
    <xf numFmtId="169" fontId="118" fillId="10" borderId="36" xfId="0" applyNumberFormat="1" applyFont="1" applyFill="1" applyBorder="1" applyAlignment="1">
      <alignment horizontal="center" vertical="center" wrapText="1"/>
    </xf>
    <xf numFmtId="169" fontId="118" fillId="0" borderId="64" xfId="0" applyNumberFormat="1" applyFont="1" applyBorder="1" applyAlignment="1">
      <alignment vertical="center" wrapText="1"/>
    </xf>
    <xf numFmtId="0" fontId="0" fillId="10" borderId="0" xfId="0" applyFont="1" applyFill="1" applyAlignment="1">
      <alignment horizontal="center" vertical="center"/>
    </xf>
    <xf numFmtId="0" fontId="116" fillId="10" borderId="22" xfId="0" applyFont="1" applyFill="1" applyBorder="1" applyAlignment="1">
      <alignment horizontal="center" vertical="center" wrapText="1"/>
    </xf>
    <xf numFmtId="169" fontId="118" fillId="10" borderId="66" xfId="0" applyNumberFormat="1" applyFont="1" applyFill="1" applyBorder="1" applyAlignment="1">
      <alignment vertical="center" wrapText="1"/>
    </xf>
    <xf numFmtId="169" fontId="118" fillId="10" borderId="22" xfId="0" applyNumberFormat="1" applyFont="1" applyFill="1" applyBorder="1" applyAlignment="1">
      <alignment horizontal="center" vertical="center" wrapText="1"/>
    </xf>
    <xf numFmtId="169" fontId="118" fillId="10" borderId="15" xfId="0" applyNumberFormat="1" applyFont="1" applyFill="1" applyBorder="1" applyAlignment="1">
      <alignment horizontal="center" vertical="center" wrapText="1"/>
    </xf>
    <xf numFmtId="49" fontId="118" fillId="10" borderId="31" xfId="0" applyNumberFormat="1" applyFont="1" applyFill="1" applyBorder="1" applyAlignment="1">
      <alignment horizontal="center" vertical="center" wrapText="1"/>
    </xf>
    <xf numFmtId="169" fontId="118" fillId="10" borderId="86" xfId="0" applyNumberFormat="1" applyFont="1" applyFill="1" applyBorder="1" applyAlignment="1">
      <alignment horizontal="center" vertical="center" wrapText="1"/>
    </xf>
    <xf numFmtId="49" fontId="118" fillId="10" borderId="42" xfId="0" applyNumberFormat="1" applyFont="1" applyFill="1" applyBorder="1" applyAlignment="1">
      <alignment horizontal="center" vertical="center" wrapText="1"/>
    </xf>
    <xf numFmtId="49" fontId="118" fillId="10" borderId="15" xfId="0" applyNumberFormat="1" applyFont="1" applyFill="1" applyBorder="1" applyAlignment="1">
      <alignment horizontal="center" vertical="center" wrapText="1"/>
    </xf>
    <xf numFmtId="49" fontId="118" fillId="10" borderId="22" xfId="0" applyNumberFormat="1" applyFont="1" applyFill="1" applyBorder="1" applyAlignment="1">
      <alignment horizontal="center" vertical="center" wrapText="1"/>
    </xf>
    <xf numFmtId="47" fontId="118" fillId="10" borderId="15" xfId="0" applyNumberFormat="1" applyFont="1" applyFill="1" applyBorder="1" applyAlignment="1">
      <alignment horizontal="center" vertical="center" wrapText="1"/>
    </xf>
    <xf numFmtId="169" fontId="118" fillId="10" borderId="42" xfId="0" applyNumberFormat="1" applyFont="1" applyFill="1" applyBorder="1" applyAlignment="1">
      <alignment horizontal="center" vertical="center" wrapText="1"/>
    </xf>
    <xf numFmtId="0" fontId="116" fillId="10" borderId="24" xfId="0" applyFont="1" applyFill="1" applyBorder="1" applyAlignment="1">
      <alignment horizontal="center" vertical="center" wrapText="1"/>
    </xf>
    <xf numFmtId="169" fontId="118" fillId="10" borderId="64" xfId="0" applyNumberFormat="1" applyFont="1" applyFill="1" applyBorder="1" applyAlignment="1">
      <alignment vertical="center" wrapText="1"/>
    </xf>
    <xf numFmtId="49" fontId="118" fillId="10" borderId="30" xfId="0" applyNumberFormat="1" applyFont="1" applyFill="1" applyBorder="1" applyAlignment="1">
      <alignment horizontal="center" vertical="center" wrapText="1"/>
    </xf>
    <xf numFmtId="169" fontId="118" fillId="10" borderId="85" xfId="0" applyNumberFormat="1" applyFont="1" applyFill="1" applyBorder="1" applyAlignment="1">
      <alignment horizontal="center" vertical="center" wrapText="1"/>
    </xf>
    <xf numFmtId="47" fontId="118" fillId="10" borderId="13" xfId="0" applyNumberFormat="1" applyFont="1" applyFill="1" applyBorder="1" applyAlignment="1">
      <alignment horizontal="center" vertical="center" wrapText="1"/>
    </xf>
    <xf numFmtId="49" fontId="118" fillId="10" borderId="93" xfId="0" applyNumberFormat="1" applyFont="1" applyFill="1" applyBorder="1" applyAlignment="1">
      <alignment horizontal="center" vertical="center" wrapText="1"/>
    </xf>
    <xf numFmtId="0" fontId="53" fillId="0" borderId="2" xfId="0" applyFont="1" applyBorder="1" applyAlignment="1">
      <alignment horizontal="left" vertical="center"/>
    </xf>
    <xf numFmtId="14" fontId="53" fillId="0" borderId="5" xfId="0" applyNumberFormat="1" applyFont="1" applyBorder="1" applyAlignment="1">
      <alignment horizontal="center" vertical="center"/>
    </xf>
    <xf numFmtId="0" fontId="12" fillId="0" borderId="0" xfId="0" applyFont="1" applyFill="1" applyAlignment="1">
      <alignment vertical="center"/>
    </xf>
    <xf numFmtId="0" fontId="113" fillId="0" borderId="0" xfId="4" applyFont="1" applyAlignment="1">
      <alignment horizontal="center" vertical="center"/>
    </xf>
    <xf numFmtId="0" fontId="112" fillId="0" borderId="0" xfId="4" applyFont="1" applyBorder="1" applyAlignment="1">
      <alignment horizontal="left"/>
    </xf>
    <xf numFmtId="0" fontId="116" fillId="0" borderId="0" xfId="4" applyFont="1" applyBorder="1" applyAlignment="1">
      <alignment horizontal="left"/>
    </xf>
    <xf numFmtId="0" fontId="116" fillId="0" borderId="24" xfId="4" applyFont="1" applyBorder="1" applyAlignment="1">
      <alignment horizontal="center" vertical="center" wrapText="1"/>
    </xf>
    <xf numFmtId="0" fontId="116" fillId="0" borderId="22" xfId="4" applyFont="1" applyBorder="1" applyAlignment="1">
      <alignment horizontal="center" vertical="center" wrapText="1"/>
    </xf>
    <xf numFmtId="0" fontId="116" fillId="0" borderId="21" xfId="4" applyFont="1" applyBorder="1" applyAlignment="1">
      <alignment horizontal="center" vertical="center" wrapText="1"/>
    </xf>
    <xf numFmtId="0" fontId="104" fillId="0" borderId="67" xfId="4" applyFont="1" applyBorder="1" applyAlignment="1">
      <alignment horizontal="center" vertical="center" wrapText="1"/>
    </xf>
    <xf numFmtId="0" fontId="124" fillId="0" borderId="64" xfId="4" applyFont="1" applyBorder="1" applyAlignment="1">
      <alignment horizontal="center" vertical="center" wrapText="1"/>
    </xf>
    <xf numFmtId="0" fontId="125" fillId="0" borderId="0" xfId="4" applyFont="1" applyAlignment="1">
      <alignment horizontal="center" vertical="center"/>
    </xf>
    <xf numFmtId="0" fontId="104" fillId="0" borderId="21" xfId="4" applyFont="1" applyBorder="1" applyAlignment="1">
      <alignment horizontal="center" vertical="center" wrapText="1"/>
    </xf>
    <xf numFmtId="0" fontId="104" fillId="0" borderId="24" xfId="4" applyFont="1" applyBorder="1" applyAlignment="1">
      <alignment horizontal="center" vertical="center" wrapText="1"/>
    </xf>
    <xf numFmtId="0" fontId="104" fillId="8" borderId="24" xfId="4" applyFont="1" applyFill="1" applyBorder="1" applyAlignment="1">
      <alignment horizontal="center" vertical="center" wrapText="1"/>
    </xf>
    <xf numFmtId="169" fontId="119" fillId="0" borderId="24" xfId="4" applyNumberFormat="1" applyFont="1" applyBorder="1" applyAlignment="1">
      <alignment horizontal="center" vertical="center" wrapText="1"/>
    </xf>
    <xf numFmtId="2" fontId="118" fillId="11" borderId="24" xfId="4" applyNumberFormat="1" applyFont="1" applyFill="1" applyBorder="1" applyAlignment="1">
      <alignment horizontal="center" vertical="center" wrapText="1"/>
    </xf>
    <xf numFmtId="169" fontId="118" fillId="7" borderId="24" xfId="4" applyNumberFormat="1" applyFont="1" applyFill="1" applyBorder="1" applyAlignment="1">
      <alignment horizontal="center" vertical="center" wrapText="1"/>
    </xf>
    <xf numFmtId="169" fontId="118" fillId="7" borderId="22" xfId="4" applyNumberFormat="1" applyFont="1" applyFill="1" applyBorder="1" applyAlignment="1">
      <alignment horizontal="center" vertical="center" wrapText="1"/>
    </xf>
    <xf numFmtId="2" fontId="118" fillId="0" borderId="24" xfId="4" applyNumberFormat="1" applyFont="1" applyFill="1" applyBorder="1" applyAlignment="1">
      <alignment horizontal="center" vertical="center" wrapText="1"/>
    </xf>
    <xf numFmtId="2" fontId="118" fillId="0" borderId="24" xfId="4" applyNumberFormat="1" applyFont="1" applyBorder="1" applyAlignment="1">
      <alignment horizontal="center" vertical="center" wrapText="1"/>
    </xf>
    <xf numFmtId="2" fontId="118" fillId="5" borderId="24" xfId="4" applyNumberFormat="1" applyFont="1" applyFill="1" applyBorder="1" applyAlignment="1">
      <alignment horizontal="center" vertical="center" wrapText="1"/>
    </xf>
    <xf numFmtId="0" fontId="119" fillId="0" borderId="13" xfId="4" applyFont="1" applyBorder="1" applyAlignment="1">
      <alignment horizontal="center" vertical="center" wrapText="1"/>
    </xf>
    <xf numFmtId="169" fontId="119" fillId="0" borderId="13" xfId="4" applyNumberFormat="1" applyFont="1" applyBorder="1" applyAlignment="1">
      <alignment horizontal="center" vertical="center" wrapText="1"/>
    </xf>
    <xf numFmtId="169" fontId="118" fillId="7" borderId="13" xfId="4" applyNumberFormat="1" applyFont="1" applyFill="1" applyBorder="1" applyAlignment="1">
      <alignment horizontal="center" vertical="center" wrapText="1"/>
    </xf>
    <xf numFmtId="169" fontId="118" fillId="0" borderId="13" xfId="4" applyNumberFormat="1" applyFont="1" applyBorder="1" applyAlignment="1">
      <alignment horizontal="center" vertical="center" wrapText="1"/>
    </xf>
    <xf numFmtId="169" fontId="118" fillId="5" borderId="13" xfId="4" applyNumberFormat="1" applyFont="1" applyFill="1" applyBorder="1" applyAlignment="1">
      <alignment horizontal="center" vertical="center" wrapText="1"/>
    </xf>
    <xf numFmtId="169" fontId="118" fillId="7" borderId="15" xfId="4" applyNumberFormat="1" applyFont="1" applyFill="1" applyBorder="1" applyAlignment="1">
      <alignment horizontal="center" vertical="center" wrapText="1"/>
    </xf>
    <xf numFmtId="0" fontId="119" fillId="0" borderId="36" xfId="4" applyFont="1" applyBorder="1" applyAlignment="1">
      <alignment horizontal="center" vertical="center" wrapText="1"/>
    </xf>
    <xf numFmtId="169" fontId="119" fillId="0" borderId="36" xfId="4" applyNumberFormat="1" applyFont="1" applyBorder="1" applyAlignment="1">
      <alignment horizontal="center" vertical="center" wrapText="1"/>
    </xf>
    <xf numFmtId="49" fontId="118" fillId="11" borderId="36" xfId="4" applyNumberFormat="1" applyFont="1" applyFill="1" applyBorder="1" applyAlignment="1">
      <alignment horizontal="center" vertical="center" wrapText="1"/>
    </xf>
    <xf numFmtId="49" fontId="118" fillId="0" borderId="36" xfId="4" applyNumberFormat="1" applyFont="1" applyBorder="1" applyAlignment="1">
      <alignment horizontal="center" vertical="center" wrapText="1"/>
    </xf>
    <xf numFmtId="49" fontId="118" fillId="5" borderId="36" xfId="4" applyNumberFormat="1" applyFont="1" applyFill="1" applyBorder="1" applyAlignment="1">
      <alignment horizontal="center" vertical="center" wrapText="1"/>
    </xf>
    <xf numFmtId="49" fontId="118" fillId="8" borderId="30" xfId="4" applyNumberFormat="1" applyFont="1" applyFill="1" applyBorder="1" applyAlignment="1">
      <alignment horizontal="center" vertical="center" wrapText="1"/>
    </xf>
    <xf numFmtId="49" fontId="118" fillId="8" borderId="31" xfId="4" applyNumberFormat="1" applyFont="1" applyFill="1" applyBorder="1" applyAlignment="1">
      <alignment horizontal="center" vertical="center" wrapText="1"/>
    </xf>
    <xf numFmtId="169" fontId="118" fillId="11" borderId="13" xfId="4" applyNumberFormat="1" applyFont="1" applyFill="1" applyBorder="1" applyAlignment="1">
      <alignment horizontal="center" vertical="center" wrapText="1"/>
    </xf>
    <xf numFmtId="169" fontId="118" fillId="0" borderId="15" xfId="4" applyNumberFormat="1" applyFont="1" applyBorder="1" applyAlignment="1">
      <alignment horizontal="center" vertical="center" wrapText="1"/>
    </xf>
    <xf numFmtId="49" fontId="118" fillId="0" borderId="93" xfId="4" applyNumberFormat="1" applyFont="1" applyBorder="1" applyAlignment="1">
      <alignment horizontal="center" vertical="center" wrapText="1"/>
    </xf>
    <xf numFmtId="49" fontId="118" fillId="5" borderId="30" xfId="4" applyNumberFormat="1" applyFont="1" applyFill="1" applyBorder="1" applyAlignment="1">
      <alignment horizontal="center" vertical="center" wrapText="1"/>
    </xf>
    <xf numFmtId="49" fontId="118" fillId="5" borderId="31" xfId="4" applyNumberFormat="1" applyFont="1" applyFill="1" applyBorder="1" applyAlignment="1">
      <alignment horizontal="center" vertical="center" wrapText="1"/>
    </xf>
    <xf numFmtId="49" fontId="118" fillId="5" borderId="42" xfId="4" applyNumberFormat="1" applyFont="1" applyFill="1" applyBorder="1" applyAlignment="1">
      <alignment horizontal="center" vertical="center" wrapText="1"/>
    </xf>
    <xf numFmtId="49" fontId="118" fillId="0" borderId="36" xfId="4" applyNumberFormat="1" applyFont="1" applyFill="1" applyBorder="1" applyAlignment="1">
      <alignment horizontal="center" vertical="center" wrapText="1"/>
    </xf>
    <xf numFmtId="49" fontId="118" fillId="8" borderId="36" xfId="4" applyNumberFormat="1" applyFont="1" applyFill="1" applyBorder="1" applyAlignment="1">
      <alignment horizontal="center" vertical="center" wrapText="1"/>
    </xf>
    <xf numFmtId="49" fontId="118" fillId="8" borderId="42" xfId="4" applyNumberFormat="1" applyFont="1" applyFill="1" applyBorder="1" applyAlignment="1">
      <alignment horizontal="center" vertical="center" wrapText="1"/>
    </xf>
    <xf numFmtId="49" fontId="118" fillId="0" borderId="13" xfId="4" applyNumberFormat="1" applyFont="1" applyBorder="1" applyAlignment="1">
      <alignment horizontal="center" vertical="center" wrapText="1"/>
    </xf>
    <xf numFmtId="49" fontId="118" fillId="8" borderId="13" xfId="4" applyNumberFormat="1" applyFont="1" applyFill="1" applyBorder="1" applyAlignment="1">
      <alignment horizontal="center" vertical="center" wrapText="1"/>
    </xf>
    <xf numFmtId="49" fontId="118" fillId="11" borderId="13" xfId="4" applyNumberFormat="1" applyFont="1" applyFill="1" applyBorder="1" applyAlignment="1">
      <alignment horizontal="center" vertical="center" wrapText="1"/>
    </xf>
    <xf numFmtId="49" fontId="118" fillId="0" borderId="15" xfId="4" applyNumberFormat="1" applyFont="1" applyBorder="1" applyAlignment="1">
      <alignment horizontal="center" vertical="center" wrapText="1"/>
    </xf>
    <xf numFmtId="49" fontId="118" fillId="8" borderId="15" xfId="4" applyNumberFormat="1" applyFont="1" applyFill="1" applyBorder="1" applyAlignment="1">
      <alignment horizontal="center" vertical="center" wrapText="1"/>
    </xf>
    <xf numFmtId="0" fontId="119" fillId="0" borderId="24" xfId="4" applyFont="1" applyBorder="1" applyAlignment="1">
      <alignment horizontal="center" vertical="center" wrapText="1"/>
    </xf>
    <xf numFmtId="169" fontId="118" fillId="0" borderId="24" xfId="4" applyNumberFormat="1" applyFont="1" applyBorder="1" applyAlignment="1">
      <alignment horizontal="center" vertical="center" wrapText="1"/>
    </xf>
    <xf numFmtId="49" fontId="118" fillId="0" borderId="24" xfId="4" applyNumberFormat="1" applyFont="1" applyBorder="1" applyAlignment="1">
      <alignment horizontal="center" vertical="center" wrapText="1"/>
    </xf>
    <xf numFmtId="49" fontId="118" fillId="0" borderId="22" xfId="4" applyNumberFormat="1" applyFont="1" applyBorder="1" applyAlignment="1">
      <alignment horizontal="center" vertical="center" wrapText="1"/>
    </xf>
    <xf numFmtId="49" fontId="118" fillId="0" borderId="24" xfId="4" applyNumberFormat="1" applyFont="1" applyFill="1" applyBorder="1" applyAlignment="1">
      <alignment horizontal="center" vertical="center" wrapText="1"/>
    </xf>
    <xf numFmtId="49" fontId="118" fillId="5" borderId="24" xfId="4" applyNumberFormat="1" applyFont="1" applyFill="1" applyBorder="1" applyAlignment="1">
      <alignment horizontal="center" vertical="center" wrapText="1"/>
    </xf>
    <xf numFmtId="49" fontId="118" fillId="5" borderId="22" xfId="4" applyNumberFormat="1" applyFont="1" applyFill="1" applyBorder="1" applyAlignment="1">
      <alignment horizontal="center" vertical="center" wrapText="1"/>
    </xf>
    <xf numFmtId="47" fontId="118" fillId="0" borderId="13" xfId="4" applyNumberFormat="1" applyFont="1" applyBorder="1" applyAlignment="1">
      <alignment horizontal="center" vertical="center" wrapText="1"/>
    </xf>
    <xf numFmtId="47" fontId="118" fillId="7" borderId="13" xfId="4" applyNumberFormat="1" applyFont="1" applyFill="1" applyBorder="1" applyAlignment="1">
      <alignment horizontal="center" vertical="center" wrapText="1"/>
    </xf>
    <xf numFmtId="47" fontId="118" fillId="7" borderId="15" xfId="4" applyNumberFormat="1" applyFont="1" applyFill="1" applyBorder="1" applyAlignment="1">
      <alignment horizontal="center" vertical="center" wrapText="1"/>
    </xf>
    <xf numFmtId="0" fontId="113" fillId="0" borderId="0" xfId="4" applyFont="1" applyAlignment="1">
      <alignment horizontal="center"/>
    </xf>
    <xf numFmtId="169" fontId="118" fillId="7" borderId="36" xfId="4" applyNumberFormat="1" applyFont="1" applyFill="1" applyBorder="1" applyAlignment="1">
      <alignment horizontal="center" vertical="center" wrapText="1"/>
    </xf>
    <xf numFmtId="169" fontId="118" fillId="7" borderId="42" xfId="4" applyNumberFormat="1" applyFont="1" applyFill="1" applyBorder="1" applyAlignment="1">
      <alignment horizontal="center" vertical="center" wrapText="1"/>
    </xf>
    <xf numFmtId="169" fontId="118" fillId="8" borderId="13" xfId="4" applyNumberFormat="1" applyFont="1" applyFill="1" applyBorder="1" applyAlignment="1">
      <alignment horizontal="center" vertical="center" wrapText="1"/>
    </xf>
    <xf numFmtId="169" fontId="118" fillId="8" borderId="36" xfId="4" applyNumberFormat="1" applyFont="1" applyFill="1" applyBorder="1" applyAlignment="1">
      <alignment horizontal="center" vertical="center" wrapText="1"/>
    </xf>
    <xf numFmtId="0" fontId="113" fillId="0" borderId="0" xfId="4" applyFont="1" applyAlignment="1">
      <alignment horizontal="center" vertical="top"/>
    </xf>
    <xf numFmtId="0" fontId="125" fillId="0" borderId="0" xfId="4" applyFont="1" applyBorder="1" applyAlignment="1">
      <alignment horizontal="left"/>
    </xf>
    <xf numFmtId="49" fontId="113" fillId="0" borderId="0" xfId="4" applyNumberFormat="1" applyFont="1" applyAlignment="1">
      <alignment horizontal="center" vertical="center"/>
    </xf>
    <xf numFmtId="0" fontId="18" fillId="0" borderId="0" xfId="0" applyFont="1"/>
    <xf numFmtId="2" fontId="14" fillId="0" borderId="0" xfId="0" applyNumberFormat="1" applyFont="1" applyFill="1" applyAlignment="1"/>
    <xf numFmtId="0" fontId="57" fillId="0" borderId="0" xfId="0" applyFont="1"/>
    <xf numFmtId="2" fontId="24" fillId="0" borderId="0" xfId="0" applyNumberFormat="1" applyFont="1" applyFill="1" applyAlignment="1">
      <alignment horizontal="center" vertical="center" wrapText="1"/>
    </xf>
    <xf numFmtId="0" fontId="24" fillId="0" borderId="0" xfId="0" applyFont="1" applyFill="1" applyBorder="1" applyAlignment="1">
      <alignment horizontal="center" vertical="center"/>
    </xf>
    <xf numFmtId="0" fontId="18" fillId="5" borderId="0" xfId="0" applyFont="1" applyFill="1" applyBorder="1" applyAlignment="1">
      <alignment horizontal="left" vertical="center"/>
    </xf>
    <xf numFmtId="165" fontId="6" fillId="0" borderId="0" xfId="0" applyNumberFormat="1" applyFont="1" applyFill="1" applyBorder="1" applyAlignment="1">
      <alignment horizontal="center" vertical="center"/>
    </xf>
    <xf numFmtId="165" fontId="18" fillId="0" borderId="0" xfId="0" applyNumberFormat="1" applyFont="1" applyFill="1" applyBorder="1" applyAlignment="1">
      <alignment horizontal="center" vertical="center"/>
    </xf>
    <xf numFmtId="165" fontId="18" fillId="5" borderId="0" xfId="0" applyNumberFormat="1" applyFont="1" applyFill="1" applyBorder="1" applyAlignment="1">
      <alignment horizontal="center" vertical="center"/>
    </xf>
    <xf numFmtId="165" fontId="18" fillId="0" borderId="0" xfId="0" applyNumberFormat="1" applyFont="1" applyBorder="1" applyAlignment="1">
      <alignment horizontal="center" vertical="center"/>
    </xf>
    <xf numFmtId="165" fontId="18" fillId="0" borderId="0" xfId="0" applyNumberFormat="1" applyFont="1" applyBorder="1" applyAlignment="1">
      <alignment horizontal="center" vertical="top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0" fontId="14" fillId="0" borderId="0" xfId="0" applyFont="1" applyFill="1" applyBorder="1" applyAlignment="1">
      <alignment horizontal="center" vertical="center"/>
    </xf>
    <xf numFmtId="0" fontId="18" fillId="0" borderId="0" xfId="0" applyFont="1" applyBorder="1" applyAlignment="1">
      <alignment vertical="center"/>
    </xf>
    <xf numFmtId="1" fontId="18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0" xfId="0" applyFont="1" applyFill="1" applyBorder="1" applyAlignment="1">
      <alignment horizontal="center" vertical="center"/>
    </xf>
    <xf numFmtId="1" fontId="18" fillId="0" borderId="0" xfId="0" applyNumberFormat="1" applyFont="1" applyFill="1" applyBorder="1" applyAlignment="1">
      <alignment horizontal="center" vertical="center"/>
    </xf>
    <xf numFmtId="0" fontId="18" fillId="0" borderId="0" xfId="0" applyFont="1" applyBorder="1" applyAlignment="1">
      <alignment horizontal="left" vertical="center"/>
    </xf>
    <xf numFmtId="165" fontId="29" fillId="0" borderId="0" xfId="0" applyNumberFormat="1" applyFont="1" applyFill="1" applyBorder="1" applyAlignment="1">
      <alignment horizontal="center" vertical="center"/>
    </xf>
    <xf numFmtId="0" fontId="21" fillId="0" borderId="0" xfId="0" applyFont="1"/>
    <xf numFmtId="1" fontId="22" fillId="0" borderId="0" xfId="0" applyNumberFormat="1" applyFont="1" applyFill="1" applyBorder="1" applyAlignment="1">
      <alignment horizontal="center" vertical="center"/>
    </xf>
    <xf numFmtId="0" fontId="18" fillId="0" borderId="0" xfId="0" applyFont="1" applyFill="1"/>
    <xf numFmtId="166" fontId="14" fillId="0" borderId="0" xfId="0" applyNumberFormat="1" applyFont="1" applyFill="1" applyBorder="1" applyAlignment="1">
      <alignment horizontal="center" vertical="center"/>
    </xf>
    <xf numFmtId="165" fontId="101" fillId="0" borderId="0" xfId="0" applyNumberFormat="1" applyFont="1" applyFill="1" applyBorder="1" applyAlignment="1">
      <alignment horizontal="center" vertical="center"/>
    </xf>
    <xf numFmtId="166" fontId="6" fillId="0" borderId="0" xfId="0" applyNumberFormat="1" applyFont="1" applyFill="1" applyBorder="1" applyAlignment="1">
      <alignment horizontal="right" vertical="center"/>
    </xf>
    <xf numFmtId="0" fontId="18" fillId="0" borderId="0" xfId="0" applyFont="1" applyFill="1" applyBorder="1" applyAlignment="1">
      <alignment horizontal="center" vertical="top"/>
    </xf>
    <xf numFmtId="165" fontId="18" fillId="0" borderId="0" xfId="0" applyNumberFormat="1" applyFont="1" applyFill="1" applyBorder="1" applyAlignment="1">
      <alignment horizontal="center" vertical="top"/>
    </xf>
    <xf numFmtId="166" fontId="6" fillId="0" borderId="0" xfId="0" applyNumberFormat="1" applyFont="1" applyFill="1" applyBorder="1" applyAlignment="1">
      <alignment horizontal="center" vertical="center"/>
    </xf>
    <xf numFmtId="166" fontId="14" fillId="0" borderId="0" xfId="0" applyNumberFormat="1" applyFont="1" applyFill="1" applyBorder="1" applyAlignment="1">
      <alignment horizontal="right"/>
    </xf>
    <xf numFmtId="0" fontId="103" fillId="0" borderId="0" xfId="0" applyFont="1" applyFill="1" applyAlignment="1">
      <alignment horizontal="left"/>
    </xf>
    <xf numFmtId="0" fontId="14" fillId="0" borderId="0" xfId="0" applyFont="1" applyFill="1" applyAlignment="1"/>
    <xf numFmtId="0" fontId="30" fillId="0" borderId="0" xfId="0" applyFont="1" applyFill="1" applyBorder="1" applyAlignment="1">
      <alignment horizontal="right"/>
    </xf>
    <xf numFmtId="165" fontId="14" fillId="0" borderId="0" xfId="0" applyNumberFormat="1" applyFont="1" applyFill="1" applyAlignment="1">
      <alignment horizontal="right"/>
    </xf>
    <xf numFmtId="1" fontId="21" fillId="0" borderId="0" xfId="0" applyNumberFormat="1" applyFont="1" applyBorder="1" applyAlignment="1">
      <alignment horizontal="center" vertical="top"/>
    </xf>
    <xf numFmtId="1" fontId="21" fillId="0" borderId="0" xfId="0" applyNumberFormat="1" applyFont="1" applyBorder="1" applyAlignment="1">
      <alignment horizontal="center" vertical="center"/>
    </xf>
    <xf numFmtId="1" fontId="21" fillId="0" borderId="0" xfId="0" applyNumberFormat="1" applyFont="1" applyAlignment="1">
      <alignment horizontal="center"/>
    </xf>
    <xf numFmtId="0" fontId="12" fillId="0" borderId="0" xfId="0" applyFont="1" applyFill="1" applyBorder="1" applyAlignment="1">
      <alignment vertical="center"/>
    </xf>
    <xf numFmtId="0" fontId="12" fillId="0" borderId="0" xfId="0" applyFont="1" applyFill="1" applyBorder="1" applyAlignment="1">
      <alignment horizontal="left" vertical="center" indent="1"/>
    </xf>
    <xf numFmtId="0" fontId="12" fillId="0" borderId="0" xfId="0" applyFont="1" applyFill="1" applyBorder="1" applyAlignment="1">
      <alignment horizontal="center" vertical="center"/>
    </xf>
    <xf numFmtId="0" fontId="0" fillId="0" borderId="0" xfId="0"/>
    <xf numFmtId="0" fontId="12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left" vertical="center"/>
    </xf>
    <xf numFmtId="0" fontId="12" fillId="0" borderId="0" xfId="0" applyFont="1" applyFill="1" applyBorder="1" applyAlignment="1">
      <alignment horizontal="left" vertical="center"/>
    </xf>
    <xf numFmtId="0" fontId="0" fillId="0" borderId="0" xfId="0" applyFill="1"/>
    <xf numFmtId="0" fontId="12" fillId="0" borderId="0" xfId="0" applyFont="1" applyFill="1" applyAlignment="1">
      <alignment horizontal="left" vertical="center"/>
    </xf>
    <xf numFmtId="0" fontId="12" fillId="0" borderId="0" xfId="0" applyFont="1" applyFill="1" applyAlignment="1">
      <alignment vertical="center"/>
    </xf>
    <xf numFmtId="0" fontId="126" fillId="0" borderId="0" xfId="0" applyFont="1" applyFill="1" applyAlignment="1">
      <alignment horizontal="left" vertical="center"/>
    </xf>
    <xf numFmtId="0" fontId="13" fillId="0" borderId="0" xfId="0" applyFont="1" applyFill="1" applyBorder="1" applyAlignment="1">
      <alignment vertical="center"/>
    </xf>
    <xf numFmtId="0" fontId="34" fillId="0" borderId="0" xfId="0" applyFont="1" applyFill="1" applyAlignment="1">
      <alignment vertical="center"/>
    </xf>
    <xf numFmtId="0" fontId="33" fillId="0" borderId="0" xfId="0" applyFont="1" applyFill="1"/>
    <xf numFmtId="1" fontId="34" fillId="0" borderId="0" xfId="0" applyNumberFormat="1" applyFont="1" applyFill="1" applyAlignment="1">
      <alignment vertical="center"/>
    </xf>
    <xf numFmtId="2" fontId="5" fillId="0" borderId="4" xfId="0" applyNumberFormat="1" applyFont="1" applyFill="1" applyBorder="1" applyAlignment="1">
      <alignment horizontal="center" vertical="center"/>
    </xf>
    <xf numFmtId="0" fontId="18" fillId="0" borderId="0" xfId="0" applyFont="1" applyFill="1" applyAlignment="1">
      <alignment horizontal="center"/>
    </xf>
    <xf numFmtId="0" fontId="1" fillId="0" borderId="6" xfId="0" applyFont="1" applyFill="1" applyBorder="1" applyAlignment="1">
      <alignment horizontal="right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vertical="center"/>
    </xf>
    <xf numFmtId="165" fontId="1" fillId="0" borderId="6" xfId="0" applyNumberFormat="1" applyFont="1" applyFill="1" applyBorder="1" applyAlignment="1">
      <alignment horizontal="right"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12" fillId="0" borderId="0" xfId="0" applyFont="1" applyFill="1" applyBorder="1" applyAlignment="1">
      <alignment vertical="center"/>
    </xf>
    <xf numFmtId="0" fontId="12" fillId="0" borderId="0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left" vertical="center" indent="1"/>
    </xf>
    <xf numFmtId="0" fontId="13" fillId="0" borderId="0" xfId="0" applyFont="1" applyFill="1" applyBorder="1" applyAlignment="1">
      <alignment horizontal="center" vertical="center"/>
    </xf>
    <xf numFmtId="0" fontId="12" fillId="0" borderId="0" xfId="0" applyFont="1" applyFill="1" applyAlignment="1">
      <alignment horizontal="left" vertical="center" indent="1"/>
    </xf>
    <xf numFmtId="0" fontId="1" fillId="0" borderId="0" xfId="0" applyFont="1" applyFill="1" applyAlignment="1">
      <alignment vertical="center"/>
    </xf>
    <xf numFmtId="0" fontId="1" fillId="0" borderId="0" xfId="0" applyFont="1" applyFill="1" applyBorder="1" applyAlignment="1">
      <alignment horizontal="left" vertical="center"/>
    </xf>
    <xf numFmtId="0" fontId="126" fillId="0" borderId="0" xfId="0" applyFont="1" applyFill="1" applyAlignment="1">
      <alignment horizontal="left" vertical="center"/>
    </xf>
    <xf numFmtId="0" fontId="13" fillId="0" borderId="0" xfId="0" applyFont="1" applyFill="1" applyBorder="1" applyAlignment="1">
      <alignment horizontal="left" vertical="center"/>
    </xf>
    <xf numFmtId="0" fontId="0" fillId="0" borderId="0" xfId="0"/>
    <xf numFmtId="0" fontId="11" fillId="0" borderId="0" xfId="0" applyFont="1" applyFill="1" applyBorder="1" applyAlignment="1">
      <alignment horizontal="center" vertical="center"/>
    </xf>
    <xf numFmtId="2" fontId="1" fillId="0" borderId="0" xfId="0" applyNumberFormat="1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vertical="center"/>
    </xf>
    <xf numFmtId="0" fontId="12" fillId="0" borderId="0" xfId="0" applyFont="1" applyFill="1" applyBorder="1" applyAlignment="1">
      <alignment horizontal="left" vertical="center"/>
    </xf>
    <xf numFmtId="0" fontId="12" fillId="0" borderId="0" xfId="0" applyFont="1" applyFill="1" applyBorder="1" applyAlignment="1">
      <alignment horizontal="center" vertical="center"/>
    </xf>
    <xf numFmtId="0" fontId="13" fillId="0" borderId="0" xfId="0" applyFont="1" applyFill="1"/>
    <xf numFmtId="0" fontId="12" fillId="0" borderId="0" xfId="0" applyFont="1" applyFill="1" applyBorder="1" applyAlignment="1">
      <alignment horizontal="left" vertical="center" indent="1"/>
    </xf>
    <xf numFmtId="2" fontId="12" fillId="0" borderId="0" xfId="0" applyNumberFormat="1" applyFont="1" applyFill="1" applyBorder="1" applyAlignment="1">
      <alignment horizontal="left" vertical="center"/>
    </xf>
    <xf numFmtId="0" fontId="12" fillId="0" borderId="0" xfId="0" applyFont="1" applyFill="1" applyAlignment="1">
      <alignment horizontal="left" vertical="center"/>
    </xf>
    <xf numFmtId="0" fontId="18" fillId="0" borderId="0" xfId="0" applyNumberFormat="1" applyFont="1" applyFill="1" applyBorder="1" applyAlignment="1">
      <alignment horizontal="center" vertical="center"/>
    </xf>
    <xf numFmtId="1" fontId="18" fillId="0" borderId="0" xfId="0" applyNumberFormat="1" applyFont="1" applyFill="1"/>
    <xf numFmtId="0" fontId="1" fillId="0" borderId="0" xfId="0" applyFont="1" applyAlignment="1">
      <alignment horizontal="center" vertical="center"/>
    </xf>
    <xf numFmtId="165" fontId="36" fillId="0" borderId="0" xfId="0" applyNumberFormat="1" applyFont="1" applyBorder="1" applyAlignment="1">
      <alignment vertical="center"/>
    </xf>
    <xf numFmtId="0" fontId="75" fillId="0" borderId="0" xfId="0" applyFont="1" applyFill="1" applyBorder="1" applyAlignment="1">
      <alignment vertical="center"/>
    </xf>
    <xf numFmtId="0" fontId="18" fillId="0" borderId="0" xfId="0" applyNumberFormat="1" applyFont="1" applyFill="1" applyBorder="1" applyAlignment="1">
      <alignment horizontal="left" vertical="center"/>
    </xf>
    <xf numFmtId="0" fontId="18" fillId="0" borderId="0" xfId="0" applyFont="1" applyFill="1" applyBorder="1" applyAlignment="1">
      <alignment vertical="top"/>
    </xf>
    <xf numFmtId="1" fontId="18" fillId="0" borderId="0" xfId="0" applyNumberFormat="1" applyFont="1" applyFill="1" applyBorder="1" applyAlignment="1">
      <alignment horizontal="center" vertical="top"/>
    </xf>
    <xf numFmtId="1" fontId="18" fillId="0" borderId="0" xfId="0" applyNumberFormat="1" applyFont="1" applyFill="1" applyAlignment="1">
      <alignment horizontal="center"/>
    </xf>
    <xf numFmtId="0" fontId="21" fillId="0" borderId="0" xfId="0" applyFont="1" applyFill="1" applyAlignment="1">
      <alignment horizontal="center"/>
    </xf>
    <xf numFmtId="0" fontId="55" fillId="0" borderId="5" xfId="0" applyFont="1" applyFill="1" applyBorder="1" applyAlignment="1">
      <alignment horizontal="right" vertical="center"/>
    </xf>
    <xf numFmtId="0" fontId="36" fillId="0" borderId="5" xfId="0" applyFont="1" applyFill="1" applyBorder="1" applyAlignment="1">
      <alignment vertical="center"/>
    </xf>
    <xf numFmtId="2" fontId="54" fillId="0" borderId="5" xfId="0" applyNumberFormat="1" applyFont="1" applyFill="1" applyBorder="1" applyAlignment="1">
      <alignment horizontal="right" vertical="center"/>
    </xf>
    <xf numFmtId="0" fontId="56" fillId="0" borderId="5" xfId="0" applyFont="1" applyFill="1" applyBorder="1" applyAlignment="1">
      <alignment horizontal="right" vertical="center"/>
    </xf>
    <xf numFmtId="0" fontId="20" fillId="0" borderId="5" xfId="0" applyFont="1" applyFill="1" applyBorder="1" applyAlignment="1">
      <alignment horizontal="right" vertical="center"/>
    </xf>
    <xf numFmtId="0" fontId="20" fillId="0" borderId="5" xfId="0" applyFont="1" applyFill="1" applyBorder="1" applyAlignment="1">
      <alignment vertical="center"/>
    </xf>
    <xf numFmtId="171" fontId="18" fillId="0" borderId="0" xfId="0" applyNumberFormat="1" applyFont="1" applyFill="1" applyBorder="1" applyAlignment="1">
      <alignment horizontal="left" vertical="center"/>
    </xf>
    <xf numFmtId="1" fontId="6" fillId="0" borderId="0" xfId="0" applyNumberFormat="1" applyFont="1" applyFill="1" applyBorder="1" applyAlignment="1">
      <alignment horizontal="left" vertical="center"/>
    </xf>
    <xf numFmtId="0" fontId="57" fillId="0" borderId="0" xfId="0" applyFont="1" applyAlignment="1">
      <alignment horizontal="left"/>
    </xf>
    <xf numFmtId="1" fontId="71" fillId="0" borderId="0" xfId="0" applyNumberFormat="1" applyFont="1" applyFill="1" applyAlignment="1">
      <alignment vertical="center"/>
    </xf>
    <xf numFmtId="0" fontId="71" fillId="0" borderId="0" xfId="0" applyFont="1"/>
    <xf numFmtId="165" fontId="74" fillId="0" borderId="0" xfId="0" applyNumberFormat="1" applyFont="1" applyAlignment="1">
      <alignment horizontal="right"/>
    </xf>
    <xf numFmtId="166" fontId="12" fillId="0" borderId="0" xfId="0" applyNumberFormat="1" applyFont="1" applyFill="1" applyBorder="1" applyAlignment="1">
      <alignment horizontal="center" vertical="center"/>
    </xf>
    <xf numFmtId="0" fontId="13" fillId="0" borderId="0" xfId="0" applyNumberFormat="1" applyFont="1" applyFill="1" applyBorder="1" applyAlignment="1">
      <alignment horizontal="left" vertical="center"/>
    </xf>
    <xf numFmtId="165" fontId="13" fillId="0" borderId="0" xfId="0" applyNumberFormat="1" applyFont="1" applyFill="1" applyBorder="1" applyAlignment="1">
      <alignment horizontal="left" vertical="center"/>
    </xf>
    <xf numFmtId="165" fontId="13" fillId="0" borderId="0" xfId="0" applyNumberFormat="1" applyFont="1" applyFill="1" applyBorder="1" applyAlignment="1">
      <alignment horizontal="center" vertical="center"/>
    </xf>
    <xf numFmtId="0" fontId="13" fillId="0" borderId="0" xfId="0" applyNumberFormat="1" applyFont="1" applyFill="1" applyBorder="1" applyAlignment="1">
      <alignment horizontal="center" vertical="center"/>
    </xf>
    <xf numFmtId="166" fontId="1" fillId="0" borderId="0" xfId="0" applyNumberFormat="1" applyFont="1" applyFill="1" applyBorder="1" applyAlignment="1">
      <alignment horizontal="right" vertical="center"/>
    </xf>
    <xf numFmtId="0" fontId="13" fillId="0" borderId="0" xfId="0" applyFont="1" applyBorder="1" applyAlignment="1">
      <alignment horizontal="center" vertical="top"/>
    </xf>
    <xf numFmtId="0" fontId="13" fillId="0" borderId="0" xfId="0" applyFont="1" applyFill="1" applyBorder="1" applyAlignment="1">
      <alignment horizontal="center" vertical="top"/>
    </xf>
    <xf numFmtId="165" fontId="13" fillId="0" borderId="0" xfId="0" applyNumberFormat="1" applyFont="1" applyBorder="1" applyAlignment="1">
      <alignment horizontal="center" vertical="top"/>
    </xf>
    <xf numFmtId="0" fontId="13" fillId="0" borderId="0" xfId="0" applyFont="1" applyBorder="1"/>
    <xf numFmtId="1" fontId="13" fillId="0" borderId="0" xfId="0" applyNumberFormat="1" applyFont="1" applyBorder="1" applyAlignment="1">
      <alignment horizontal="center" vertical="center"/>
    </xf>
    <xf numFmtId="0" fontId="13" fillId="0" borderId="0" xfId="0" applyFont="1" applyBorder="1" applyAlignment="1">
      <alignment horizontal="left" vertical="center"/>
    </xf>
    <xf numFmtId="0" fontId="71" fillId="0" borderId="0" xfId="0" applyFont="1" applyAlignment="1"/>
    <xf numFmtId="1" fontId="13" fillId="0" borderId="0" xfId="0" applyNumberFormat="1" applyFont="1" applyFill="1" applyBorder="1" applyAlignment="1">
      <alignment vertical="top"/>
    </xf>
    <xf numFmtId="1" fontId="13" fillId="0" borderId="0" xfId="0" applyNumberFormat="1" applyFont="1" applyFill="1" applyBorder="1" applyAlignment="1">
      <alignment horizontal="left" vertical="top" wrapText="1"/>
    </xf>
    <xf numFmtId="1" fontId="13" fillId="0" borderId="0" xfId="0" applyNumberFormat="1" applyFont="1" applyFill="1" applyBorder="1" applyAlignment="1">
      <alignment horizontal="left" vertical="top"/>
    </xf>
    <xf numFmtId="1" fontId="13" fillId="0" borderId="0" xfId="0" applyNumberFormat="1" applyFont="1" applyBorder="1" applyAlignment="1">
      <alignment horizontal="center" vertical="top"/>
    </xf>
    <xf numFmtId="166" fontId="1" fillId="0" borderId="0" xfId="0" applyNumberFormat="1" applyFont="1" applyFill="1" applyBorder="1" applyAlignment="1">
      <alignment horizontal="center" vertical="center"/>
    </xf>
    <xf numFmtId="166" fontId="12" fillId="0" borderId="0" xfId="0" applyNumberFormat="1" applyFont="1" applyFill="1" applyBorder="1" applyAlignment="1">
      <alignment horizontal="right"/>
    </xf>
    <xf numFmtId="0" fontId="129" fillId="0" borderId="0" xfId="0" applyFont="1" applyFill="1" applyAlignment="1">
      <alignment horizontal="left"/>
    </xf>
    <xf numFmtId="0" fontId="12" fillId="0" borderId="0" xfId="0" applyFont="1" applyFill="1" applyAlignment="1"/>
    <xf numFmtId="0" fontId="19" fillId="0" borderId="0" xfId="0" applyFont="1" applyFill="1" applyBorder="1" applyAlignment="1">
      <alignment horizontal="right"/>
    </xf>
    <xf numFmtId="165" fontId="12" fillId="0" borderId="0" xfId="0" applyNumberFormat="1" applyFont="1" applyFill="1" applyAlignment="1">
      <alignment horizontal="right"/>
    </xf>
    <xf numFmtId="0" fontId="13" fillId="0" borderId="0" xfId="0" applyFont="1" applyBorder="1" applyAlignment="1">
      <alignment horizontal="center" vertical="center"/>
    </xf>
    <xf numFmtId="1" fontId="13" fillId="0" borderId="0" xfId="0" applyNumberFormat="1" applyFont="1" applyFill="1" applyBorder="1" applyAlignment="1">
      <alignment horizontal="center" vertical="center"/>
    </xf>
    <xf numFmtId="2" fontId="13" fillId="0" borderId="0" xfId="0" applyNumberFormat="1" applyFont="1" applyFill="1" applyBorder="1" applyAlignment="1">
      <alignment horizontal="left" vertical="center"/>
    </xf>
    <xf numFmtId="1" fontId="13" fillId="0" borderId="0" xfId="0" applyNumberFormat="1" applyFont="1" applyAlignment="1">
      <alignment horizontal="center"/>
    </xf>
    <xf numFmtId="1" fontId="13" fillId="0" borderId="0" xfId="0" applyNumberFormat="1" applyFont="1"/>
    <xf numFmtId="0" fontId="13" fillId="0" borderId="0" xfId="0" applyFont="1" applyAlignment="1">
      <alignment horizontal="left"/>
    </xf>
    <xf numFmtId="0" fontId="57" fillId="0" borderId="0" xfId="0" applyFont="1" applyFill="1" applyBorder="1" applyAlignment="1">
      <alignment vertical="center"/>
    </xf>
    <xf numFmtId="165" fontId="13" fillId="5" borderId="0" xfId="0" applyNumberFormat="1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vertical="top"/>
    </xf>
    <xf numFmtId="1" fontId="13" fillId="0" borderId="0" xfId="0" applyNumberFormat="1" applyFont="1" applyFill="1" applyBorder="1" applyAlignment="1">
      <alignment horizontal="center" vertical="top"/>
    </xf>
    <xf numFmtId="0" fontId="68" fillId="0" borderId="0" xfId="0" applyFont="1" applyFill="1"/>
    <xf numFmtId="1" fontId="21" fillId="0" borderId="0" xfId="0" applyNumberFormat="1" applyFont="1" applyFill="1" applyBorder="1" applyAlignment="1">
      <alignment horizontal="center" vertical="top"/>
    </xf>
    <xf numFmtId="2" fontId="5" fillId="0" borderId="4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12" fillId="0" borderId="0" xfId="0" applyFont="1" applyFill="1" applyAlignment="1">
      <alignment vertical="center"/>
    </xf>
    <xf numFmtId="2" fontId="24" fillId="0" borderId="0" xfId="0" applyNumberFormat="1" applyFont="1" applyFill="1" applyAlignment="1">
      <alignment horizontal="center" vertical="center" wrapText="1"/>
    </xf>
    <xf numFmtId="0" fontId="24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0" fillId="0" borderId="0" xfId="0" applyFont="1"/>
    <xf numFmtId="0" fontId="1" fillId="0" borderId="0" xfId="0" applyFont="1" applyBorder="1" applyAlignment="1">
      <alignment horizontal="center" vertical="center"/>
    </xf>
    <xf numFmtId="166" fontId="12" fillId="0" borderId="0" xfId="0" applyNumberFormat="1" applyFont="1" applyFill="1" applyBorder="1" applyAlignment="1">
      <alignment horizontal="left" vertical="center"/>
    </xf>
    <xf numFmtId="0" fontId="13" fillId="0" borderId="0" xfId="0" applyFont="1" applyFill="1" applyAlignment="1">
      <alignment horizontal="left"/>
    </xf>
    <xf numFmtId="165" fontId="18" fillId="0" borderId="0" xfId="0" applyNumberFormat="1" applyFont="1" applyFill="1" applyBorder="1" applyAlignment="1">
      <alignment horizontal="left" vertical="center"/>
    </xf>
    <xf numFmtId="0" fontId="57" fillId="0" borderId="0" xfId="0" applyFont="1" applyFill="1" applyAlignment="1">
      <alignment horizontal="left"/>
    </xf>
    <xf numFmtId="165" fontId="18" fillId="0" borderId="0" xfId="0" applyNumberFormat="1" applyFont="1" applyFill="1" applyBorder="1" applyAlignment="1">
      <alignment horizontal="left" vertical="top"/>
    </xf>
    <xf numFmtId="0" fontId="18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0" xfId="0" applyFill="1" applyAlignment="1">
      <alignment horizontal="left"/>
    </xf>
    <xf numFmtId="167" fontId="12" fillId="0" borderId="0" xfId="0" applyNumberFormat="1" applyFont="1" applyFill="1" applyAlignment="1">
      <alignment horizontal="left" vertical="center"/>
    </xf>
    <xf numFmtId="2" fontId="18" fillId="0" borderId="0" xfId="0" applyNumberFormat="1" applyFont="1" applyAlignment="1">
      <alignment horizontal="left"/>
    </xf>
    <xf numFmtId="165" fontId="13" fillId="0" borderId="0" xfId="0" applyNumberFormat="1" applyFont="1" applyFill="1" applyBorder="1" applyAlignment="1">
      <alignment horizontal="left" vertical="top"/>
    </xf>
    <xf numFmtId="0" fontId="128" fillId="0" borderId="0" xfId="0" applyFont="1" applyBorder="1" applyAlignment="1">
      <alignment horizontal="left" vertical="center"/>
    </xf>
    <xf numFmtId="1" fontId="18" fillId="0" borderId="0" xfId="0" applyNumberFormat="1" applyFont="1" applyAlignment="1">
      <alignment horizontal="left"/>
    </xf>
    <xf numFmtId="165" fontId="1" fillId="0" borderId="0" xfId="0" applyNumberFormat="1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center"/>
    </xf>
    <xf numFmtId="0" fontId="71" fillId="0" borderId="0" xfId="0" applyFont="1" applyFill="1" applyAlignment="1">
      <alignment horizontal="left" vertical="center"/>
    </xf>
    <xf numFmtId="0" fontId="11" fillId="0" borderId="0" xfId="0" applyFont="1" applyFill="1" applyBorder="1" applyAlignment="1">
      <alignment horizontal="left" vertical="center"/>
    </xf>
    <xf numFmtId="2" fontId="1" fillId="0" borderId="0" xfId="0" applyNumberFormat="1" applyFont="1" applyFill="1" applyBorder="1" applyAlignment="1">
      <alignment horizontal="left" vertical="center"/>
    </xf>
    <xf numFmtId="0" fontId="127" fillId="0" borderId="0" xfId="0" applyFont="1" applyFill="1" applyAlignment="1">
      <alignment horizontal="left"/>
    </xf>
    <xf numFmtId="14" fontId="18" fillId="0" borderId="0" xfId="0" applyNumberFormat="1" applyFont="1" applyFill="1" applyBorder="1" applyAlignment="1">
      <alignment horizontal="center" vertical="center"/>
    </xf>
    <xf numFmtId="14" fontId="14" fillId="0" borderId="0" xfId="0" applyNumberFormat="1" applyFont="1" applyFill="1" applyBorder="1" applyAlignment="1">
      <alignment horizontal="center" vertical="center"/>
    </xf>
    <xf numFmtId="1" fontId="25" fillId="0" borderId="0" xfId="0" applyNumberFormat="1" applyFont="1" applyFill="1" applyAlignment="1">
      <alignment vertical="center"/>
    </xf>
    <xf numFmtId="14" fontId="13" fillId="0" borderId="0" xfId="0" applyNumberFormat="1" applyFont="1" applyFill="1" applyBorder="1" applyAlignment="1">
      <alignment horizontal="left" vertical="center"/>
    </xf>
    <xf numFmtId="171" fontId="18" fillId="0" borderId="0" xfId="0" applyNumberFormat="1" applyFont="1" applyFill="1" applyBorder="1" applyAlignment="1">
      <alignment horizontal="center" vertical="center"/>
    </xf>
    <xf numFmtId="0" fontId="130" fillId="0" borderId="0" xfId="0" applyFont="1" applyFill="1" applyBorder="1" applyAlignment="1">
      <alignment horizontal="left" vertical="center"/>
    </xf>
    <xf numFmtId="49" fontId="14" fillId="0" borderId="0" xfId="0" applyNumberFormat="1" applyFont="1" applyFill="1" applyBorder="1" applyAlignment="1">
      <alignment horizontal="left"/>
    </xf>
    <xf numFmtId="14" fontId="18" fillId="0" borderId="0" xfId="0" applyNumberFormat="1" applyFont="1" applyFill="1" applyBorder="1" applyAlignment="1">
      <alignment horizontal="center"/>
    </xf>
    <xf numFmtId="0" fontId="131" fillId="0" borderId="0" xfId="0" applyFont="1" applyFill="1" applyBorder="1" applyAlignment="1">
      <alignment horizontal="left" vertical="center"/>
    </xf>
    <xf numFmtId="2" fontId="41" fillId="0" borderId="0" xfId="0" applyNumberFormat="1" applyFont="1" applyFill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/>
    </xf>
    <xf numFmtId="0" fontId="12" fillId="0" borderId="0" xfId="0" applyFont="1" applyFill="1" applyAlignment="1">
      <alignment vertical="center"/>
    </xf>
    <xf numFmtId="0" fontId="24" fillId="0" borderId="0" xfId="0" applyFont="1" applyFill="1" applyBorder="1" applyAlignment="1">
      <alignment horizontal="center" vertical="center"/>
    </xf>
    <xf numFmtId="14" fontId="18" fillId="0" borderId="0" xfId="0" applyNumberFormat="1" applyFont="1" applyAlignment="1">
      <alignment horizontal="center"/>
    </xf>
    <xf numFmtId="0" fontId="1" fillId="0" borderId="0" xfId="0" applyFont="1" applyFill="1" applyBorder="1" applyAlignment="1">
      <alignment horizontal="left" vertical="center"/>
    </xf>
    <xf numFmtId="0" fontId="12" fillId="0" borderId="0" xfId="0" applyFont="1" applyFill="1" applyAlignment="1">
      <alignment vertical="center"/>
    </xf>
    <xf numFmtId="14" fontId="18" fillId="5" borderId="0" xfId="0" applyNumberFormat="1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165" fontId="133" fillId="0" borderId="0" xfId="0" applyNumberFormat="1" applyFont="1" applyBorder="1" applyAlignment="1">
      <alignment vertical="center"/>
    </xf>
    <xf numFmtId="0" fontId="16" fillId="0" borderId="0" xfId="0" applyFont="1" applyFill="1" applyBorder="1" applyAlignment="1">
      <alignment horizontal="left" vertical="center"/>
    </xf>
    <xf numFmtId="0" fontId="133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12" fillId="0" borderId="0" xfId="0" applyFont="1" applyFill="1" applyBorder="1" applyAlignment="1">
      <alignment horizontal="center" vertical="center"/>
    </xf>
    <xf numFmtId="0" fontId="33" fillId="0" borderId="0" xfId="0" applyFont="1" applyAlignment="1">
      <alignment horizontal="left"/>
    </xf>
    <xf numFmtId="0" fontId="12" fillId="0" borderId="0" xfId="0" applyFont="1" applyFill="1" applyAlignment="1">
      <alignment vertical="center"/>
    </xf>
    <xf numFmtId="0" fontId="75" fillId="0" borderId="0" xfId="0" applyFont="1" applyFill="1"/>
    <xf numFmtId="0" fontId="75" fillId="0" borderId="0" xfId="0" applyFont="1" applyAlignment="1">
      <alignment horizontal="left"/>
    </xf>
    <xf numFmtId="1" fontId="25" fillId="0" borderId="0" xfId="0" applyNumberFormat="1" applyFont="1" applyFill="1" applyAlignment="1">
      <alignment horizontal="left" vertical="center"/>
    </xf>
    <xf numFmtId="2" fontId="14" fillId="0" borderId="0" xfId="0" applyNumberFormat="1" applyFont="1" applyFill="1" applyAlignment="1">
      <alignment horizontal="left"/>
    </xf>
    <xf numFmtId="2" fontId="18" fillId="5" borderId="0" xfId="0" applyNumberFormat="1" applyFont="1" applyFill="1" applyBorder="1" applyAlignment="1">
      <alignment horizontal="left" vertical="center"/>
    </xf>
    <xf numFmtId="165" fontId="6" fillId="0" borderId="0" xfId="0" applyNumberFormat="1" applyFont="1" applyFill="1" applyBorder="1" applyAlignment="1">
      <alignment horizontal="left" vertical="center"/>
    </xf>
    <xf numFmtId="165" fontId="14" fillId="0" borderId="0" xfId="0" applyNumberFormat="1" applyFont="1" applyFill="1" applyBorder="1" applyAlignment="1">
      <alignment horizontal="left" vertical="center"/>
    </xf>
    <xf numFmtId="2" fontId="18" fillId="0" borderId="0" xfId="0" applyNumberFormat="1" applyFont="1" applyFill="1" applyBorder="1" applyAlignment="1">
      <alignment horizontal="left" vertical="center"/>
    </xf>
    <xf numFmtId="165" fontId="30" fillId="0" borderId="0" xfId="0" applyNumberFormat="1" applyFont="1" applyAlignment="1">
      <alignment horizontal="left"/>
    </xf>
    <xf numFmtId="0" fontId="75" fillId="0" borderId="0" xfId="0" applyFont="1" applyFill="1" applyAlignment="1">
      <alignment horizontal="left"/>
    </xf>
    <xf numFmtId="0" fontId="132" fillId="0" borderId="0" xfId="0" applyFont="1" applyFill="1" applyBorder="1"/>
    <xf numFmtId="14" fontId="132" fillId="0" borderId="0" xfId="0" applyNumberFormat="1" applyFont="1" applyFill="1" applyBorder="1" applyAlignment="1">
      <alignment horizontal="center"/>
    </xf>
    <xf numFmtId="0" fontId="6" fillId="0" borderId="0" xfId="0" applyNumberFormat="1" applyFont="1" applyFill="1" applyBorder="1" applyAlignment="1">
      <alignment horizontal="left" vertical="center"/>
    </xf>
    <xf numFmtId="2" fontId="6" fillId="0" borderId="0" xfId="0" applyNumberFormat="1" applyFont="1" applyFill="1" applyBorder="1" applyAlignment="1">
      <alignment horizontal="center" vertical="center"/>
    </xf>
    <xf numFmtId="165" fontId="101" fillId="0" borderId="0" xfId="0" applyNumberFormat="1" applyFont="1" applyFill="1" applyBorder="1" applyAlignment="1">
      <alignment horizontal="left" vertical="center"/>
    </xf>
    <xf numFmtId="165" fontId="18" fillId="0" borderId="0" xfId="0" applyNumberFormat="1" applyFont="1" applyBorder="1" applyAlignment="1">
      <alignment horizontal="left" vertical="top"/>
    </xf>
    <xf numFmtId="165" fontId="14" fillId="0" borderId="0" xfId="0" applyNumberFormat="1" applyFont="1" applyAlignment="1">
      <alignment horizontal="left" vertical="center"/>
    </xf>
    <xf numFmtId="166" fontId="14" fillId="0" borderId="0" xfId="0" applyNumberFormat="1" applyFont="1" applyFill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0" borderId="3" xfId="0" applyFont="1" applyBorder="1" applyAlignment="1">
      <alignment horizontal="center" vertical="center" textRotation="90"/>
    </xf>
    <xf numFmtId="0" fontId="17" fillId="0" borderId="4" xfId="0" applyFont="1" applyBorder="1" applyAlignment="1">
      <alignment horizontal="center" vertical="center" wrapText="1"/>
    </xf>
    <xf numFmtId="0" fontId="134" fillId="0" borderId="0" xfId="0" applyFont="1"/>
    <xf numFmtId="0" fontId="135" fillId="0" borderId="0" xfId="0" applyFont="1" applyAlignment="1">
      <alignment vertical="center"/>
    </xf>
    <xf numFmtId="2" fontId="135" fillId="0" borderId="0" xfId="0" applyNumberFormat="1" applyFont="1" applyAlignment="1">
      <alignment horizontal="right" vertical="center"/>
    </xf>
    <xf numFmtId="2" fontId="6" fillId="0" borderId="0" xfId="0" applyNumberFormat="1" applyFont="1" applyAlignment="1">
      <alignment horizontal="right" vertical="center"/>
    </xf>
    <xf numFmtId="171" fontId="18" fillId="5" borderId="0" xfId="0" applyNumberFormat="1" applyFont="1" applyFill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14" fontId="18" fillId="0" borderId="0" xfId="0" applyNumberFormat="1" applyFont="1" applyBorder="1" applyAlignment="1">
      <alignment horizontal="center" vertical="center"/>
    </xf>
    <xf numFmtId="0" fontId="136" fillId="0" borderId="0" xfId="0" applyFont="1" applyAlignment="1">
      <alignment vertical="center"/>
    </xf>
    <xf numFmtId="2" fontId="6" fillId="0" borderId="0" xfId="0" applyNumberFormat="1" applyFont="1" applyAlignment="1">
      <alignment horizontal="left" vertical="center"/>
    </xf>
    <xf numFmtId="0" fontId="136" fillId="0" borderId="0" xfId="0" applyFont="1" applyAlignment="1">
      <alignment horizontal="center" vertical="center"/>
    </xf>
    <xf numFmtId="2" fontId="136" fillId="0" borderId="0" xfId="0" applyNumberFormat="1" applyFont="1" applyAlignment="1">
      <alignment horizontal="left" vertical="center"/>
    </xf>
    <xf numFmtId="2" fontId="136" fillId="0" borderId="0" xfId="0" applyNumberFormat="1" applyFont="1" applyAlignment="1">
      <alignment horizontal="right" vertical="center"/>
    </xf>
    <xf numFmtId="0" fontId="137" fillId="0" borderId="0" xfId="0" applyFont="1" applyAlignment="1">
      <alignment vertical="center"/>
    </xf>
    <xf numFmtId="0" fontId="138" fillId="0" borderId="0" xfId="0" applyFont="1" applyAlignment="1">
      <alignment vertical="center"/>
    </xf>
    <xf numFmtId="2" fontId="6" fillId="0" borderId="0" xfId="0" applyNumberFormat="1" applyFont="1" applyFill="1" applyBorder="1" applyAlignment="1">
      <alignment horizontal="left" vertical="center"/>
    </xf>
    <xf numFmtId="0" fontId="139" fillId="0" borderId="0" xfId="0" applyFont="1" applyAlignment="1">
      <alignment vertical="center"/>
    </xf>
    <xf numFmtId="0" fontId="134" fillId="0" borderId="0" xfId="0" applyFont="1" applyAlignment="1">
      <alignment vertical="center"/>
    </xf>
    <xf numFmtId="0" fontId="122" fillId="0" borderId="0" xfId="0" applyFont="1" applyAlignment="1">
      <alignment vertical="center"/>
    </xf>
    <xf numFmtId="2" fontId="122" fillId="0" borderId="0" xfId="0" applyNumberFormat="1" applyFont="1" applyAlignment="1">
      <alignment horizontal="left" vertical="center"/>
    </xf>
    <xf numFmtId="2" fontId="140" fillId="0" borderId="0" xfId="0" applyNumberFormat="1" applyFont="1" applyAlignment="1">
      <alignment horizontal="right" vertical="center"/>
    </xf>
    <xf numFmtId="2" fontId="73" fillId="0" borderId="0" xfId="0" applyNumberFormat="1" applyFont="1" applyAlignment="1">
      <alignment horizontal="left" vertical="center"/>
    </xf>
    <xf numFmtId="2" fontId="122" fillId="0" borderId="0" xfId="0" applyNumberFormat="1" applyFont="1" applyAlignment="1">
      <alignment horizontal="right" vertical="center"/>
    </xf>
    <xf numFmtId="0" fontId="138" fillId="0" borderId="0" xfId="0" applyFont="1" applyBorder="1" applyAlignment="1">
      <alignment horizontal="left" vertical="center"/>
    </xf>
    <xf numFmtId="0" fontId="140" fillId="0" borderId="0" xfId="0" applyFont="1" applyAlignment="1">
      <alignment vertical="center"/>
    </xf>
    <xf numFmtId="0" fontId="42" fillId="0" borderId="0" xfId="0" applyFont="1" applyAlignment="1">
      <alignment vertical="center"/>
    </xf>
    <xf numFmtId="2" fontId="42" fillId="0" borderId="0" xfId="0" applyNumberFormat="1" applyFont="1" applyAlignment="1">
      <alignment horizontal="left" vertical="center"/>
    </xf>
    <xf numFmtId="2" fontId="42" fillId="0" borderId="0" xfId="0" applyNumberFormat="1" applyFont="1" applyAlignment="1">
      <alignment horizontal="right" vertical="center"/>
    </xf>
    <xf numFmtId="165" fontId="29" fillId="0" borderId="0" xfId="0" applyNumberFormat="1" applyFont="1" applyFill="1" applyBorder="1" applyAlignment="1">
      <alignment horizontal="left" vertical="center"/>
    </xf>
    <xf numFmtId="2" fontId="13" fillId="0" borderId="0" xfId="0" applyNumberFormat="1" applyFont="1" applyFill="1" applyBorder="1" applyAlignment="1">
      <alignment horizontal="center" vertical="center"/>
    </xf>
    <xf numFmtId="2" fontId="12" fillId="0" borderId="0" xfId="0" applyNumberFormat="1" applyFont="1" applyFill="1" applyAlignment="1">
      <alignment horizontal="right"/>
    </xf>
    <xf numFmtId="0" fontId="18" fillId="0" borderId="0" xfId="0" applyFont="1" applyFill="1" applyBorder="1" applyAlignment="1">
      <alignment vertical="center" wrapText="1"/>
    </xf>
    <xf numFmtId="1" fontId="21" fillId="0" borderId="0" xfId="0" applyNumberFormat="1" applyFont="1" applyFill="1" applyBorder="1" applyAlignment="1">
      <alignment horizontal="center" vertical="center"/>
    </xf>
    <xf numFmtId="2" fontId="29" fillId="0" borderId="0" xfId="0" applyNumberFormat="1" applyFont="1" applyFill="1" applyBorder="1" applyAlignment="1">
      <alignment horizontal="left" vertical="center"/>
    </xf>
    <xf numFmtId="0" fontId="71" fillId="0" borderId="0" xfId="0" applyFont="1" applyFill="1"/>
    <xf numFmtId="165" fontId="74" fillId="0" borderId="0" xfId="0" applyNumberFormat="1" applyFont="1" applyFill="1" applyAlignment="1">
      <alignment horizontal="right"/>
    </xf>
    <xf numFmtId="0" fontId="71" fillId="0" borderId="0" xfId="0" applyFont="1" applyFill="1" applyAlignment="1"/>
    <xf numFmtId="165" fontId="74" fillId="0" borderId="0" xfId="0" applyNumberFormat="1" applyFont="1" applyFill="1" applyBorder="1" applyAlignment="1">
      <alignment horizontal="right" vertical="center" wrapText="1"/>
    </xf>
    <xf numFmtId="2" fontId="13" fillId="0" borderId="0" xfId="0" applyNumberFormat="1" applyFont="1" applyFill="1" applyAlignment="1">
      <alignment horizontal="center"/>
    </xf>
    <xf numFmtId="2" fontId="18" fillId="0" borderId="0" xfId="0" applyNumberFormat="1" applyFont="1" applyFill="1" applyBorder="1" applyAlignment="1">
      <alignment horizontal="center" vertical="center"/>
    </xf>
    <xf numFmtId="1" fontId="14" fillId="0" borderId="0" xfId="0" applyNumberFormat="1" applyFont="1" applyFill="1" applyBorder="1" applyAlignment="1">
      <alignment horizontal="center" wrapText="1"/>
    </xf>
    <xf numFmtId="1" fontId="18" fillId="0" borderId="0" xfId="0" applyNumberFormat="1" applyFont="1" applyFill="1" applyBorder="1" applyAlignment="1">
      <alignment horizontal="left" vertical="top"/>
    </xf>
    <xf numFmtId="1" fontId="18" fillId="0" borderId="0" xfId="0" applyNumberFormat="1" applyFont="1" applyFill="1" applyBorder="1" applyAlignment="1">
      <alignment horizontal="left" vertical="top" wrapText="1"/>
    </xf>
    <xf numFmtId="0" fontId="18" fillId="0" borderId="0" xfId="0" applyFont="1" applyFill="1" applyBorder="1"/>
    <xf numFmtId="0" fontId="18" fillId="0" borderId="0" xfId="0" applyFont="1" applyFill="1" applyBorder="1" applyAlignment="1">
      <alignment horizontal="center" vertical="top" wrapText="1"/>
    </xf>
    <xf numFmtId="0" fontId="18" fillId="0" borderId="0" xfId="0" applyFont="1" applyFill="1" applyBorder="1" applyAlignment="1"/>
    <xf numFmtId="1" fontId="6" fillId="0" borderId="0" xfId="0" applyNumberFormat="1" applyFont="1" applyBorder="1" applyAlignment="1">
      <alignment horizontal="left" vertical="center"/>
    </xf>
    <xf numFmtId="0" fontId="14" fillId="0" borderId="0" xfId="0" applyFont="1" applyBorder="1" applyAlignment="1">
      <alignment horizontal="left" vertical="center"/>
    </xf>
    <xf numFmtId="0" fontId="5" fillId="0" borderId="0" xfId="0" applyFont="1" applyFill="1" applyBorder="1" applyAlignment="1">
      <alignment horizontal="center" vertical="center" textRotation="90"/>
    </xf>
    <xf numFmtId="0" fontId="5" fillId="0" borderId="0" xfId="0" applyFont="1" applyFill="1" applyBorder="1" applyAlignment="1">
      <alignment horizontal="center" vertical="center"/>
    </xf>
    <xf numFmtId="2" fontId="5" fillId="0" borderId="0" xfId="0" applyNumberFormat="1" applyFont="1" applyFill="1" applyBorder="1" applyAlignment="1">
      <alignment horizontal="center" vertical="center"/>
    </xf>
    <xf numFmtId="2" fontId="18" fillId="0" borderId="0" xfId="0" applyNumberFormat="1" applyFont="1" applyAlignment="1">
      <alignment horizontal="center"/>
    </xf>
    <xf numFmtId="165" fontId="6" fillId="0" borderId="0" xfId="0" applyNumberFormat="1" applyFont="1" applyFill="1" applyBorder="1" applyAlignment="1">
      <alignment vertical="center"/>
    </xf>
    <xf numFmtId="2" fontId="18" fillId="5" borderId="0" xfId="0" applyNumberFormat="1" applyFont="1" applyFill="1" applyBorder="1" applyAlignment="1">
      <alignment horizontal="center" vertical="center"/>
    </xf>
    <xf numFmtId="0" fontId="75" fillId="0" borderId="0" xfId="0" applyFont="1" applyFill="1" applyAlignment="1">
      <alignment horizontal="center"/>
    </xf>
    <xf numFmtId="165" fontId="30" fillId="0" borderId="0" xfId="0" applyNumberFormat="1" applyFont="1" applyFill="1" applyAlignment="1">
      <alignment horizontal="right"/>
    </xf>
    <xf numFmtId="0" fontId="14" fillId="0" borderId="0" xfId="0" applyFont="1" applyFill="1" applyBorder="1" applyAlignment="1">
      <alignment horizontal="left" vertical="center" indent="1"/>
    </xf>
    <xf numFmtId="0" fontId="103" fillId="0" borderId="0" xfId="0" applyFont="1" applyAlignment="1">
      <alignment vertical="center"/>
    </xf>
    <xf numFmtId="2" fontId="139" fillId="0" borderId="0" xfId="0" applyNumberFormat="1" applyFont="1" applyAlignment="1">
      <alignment horizontal="left" vertical="center"/>
    </xf>
    <xf numFmtId="2" fontId="141" fillId="0" borderId="0" xfId="0" applyNumberFormat="1" applyFont="1" applyAlignment="1">
      <alignment horizontal="right" vertical="center"/>
    </xf>
    <xf numFmtId="2" fontId="18" fillId="0" borderId="0" xfId="0" applyNumberFormat="1" applyFont="1" applyAlignment="1">
      <alignment horizontal="left" vertical="center"/>
    </xf>
    <xf numFmtId="2" fontId="139" fillId="0" borderId="0" xfId="0" applyNumberFormat="1" applyFont="1" applyAlignment="1">
      <alignment horizontal="right" vertical="center"/>
    </xf>
    <xf numFmtId="0" fontId="141" fillId="0" borderId="0" xfId="0" applyFont="1" applyAlignment="1">
      <alignment vertical="center"/>
    </xf>
    <xf numFmtId="0" fontId="108" fillId="0" borderId="0" xfId="0" applyFont="1"/>
    <xf numFmtId="0" fontId="137" fillId="0" borderId="0" xfId="0" applyFont="1" applyBorder="1" applyAlignment="1">
      <alignment horizontal="left" vertical="center"/>
    </xf>
    <xf numFmtId="0" fontId="108" fillId="0" borderId="0" xfId="0" applyFont="1" applyAlignment="1">
      <alignment vertical="center"/>
    </xf>
    <xf numFmtId="0" fontId="75" fillId="0" borderId="0" xfId="0" applyFont="1" applyBorder="1" applyAlignment="1">
      <alignment horizontal="left"/>
    </xf>
    <xf numFmtId="0" fontId="18" fillId="0" borderId="0" xfId="0" applyFont="1" applyFill="1" applyAlignment="1">
      <alignment horizontal="left"/>
    </xf>
    <xf numFmtId="165" fontId="42" fillId="0" borderId="0" xfId="0" applyNumberFormat="1" applyFont="1" applyAlignment="1">
      <alignment horizontal="left"/>
    </xf>
    <xf numFmtId="166" fontId="6" fillId="0" borderId="0" xfId="0" applyNumberFormat="1" applyFont="1" applyFill="1" applyBorder="1" applyAlignment="1">
      <alignment horizontal="left" vertical="center"/>
    </xf>
    <xf numFmtId="0" fontId="14" fillId="0" borderId="0" xfId="0" applyFont="1" applyFill="1" applyAlignment="1">
      <alignment horizontal="left"/>
    </xf>
    <xf numFmtId="0" fontId="14" fillId="0" borderId="0" xfId="0" applyFont="1" applyAlignment="1">
      <alignment horizontal="left"/>
    </xf>
    <xf numFmtId="166" fontId="14" fillId="0" borderId="0" xfId="0" applyNumberFormat="1" applyFont="1" applyFill="1" applyBorder="1" applyAlignment="1">
      <alignment horizontal="left"/>
    </xf>
    <xf numFmtId="0" fontId="109" fillId="0" borderId="0" xfId="0" applyFont="1" applyAlignment="1">
      <alignment vertical="center"/>
    </xf>
    <xf numFmtId="2" fontId="33" fillId="0" borderId="0" xfId="0" applyNumberFormat="1" applyFont="1" applyAlignment="1">
      <alignment horizontal="left" vertical="center"/>
    </xf>
    <xf numFmtId="0" fontId="12" fillId="0" borderId="0" xfId="0" applyFont="1" applyFill="1" applyAlignment="1">
      <alignment horizontal="left" vertical="center" wrapText="1" indent="1"/>
    </xf>
    <xf numFmtId="0" fontId="85" fillId="0" borderId="0" xfId="0" applyFont="1" applyFill="1" applyAlignment="1">
      <alignment horizontal="center" vertical="center" wrapText="1"/>
    </xf>
    <xf numFmtId="0" fontId="31" fillId="0" borderId="0" xfId="0" applyFont="1" applyFill="1" applyAlignment="1">
      <alignment horizontal="center" vertical="center"/>
    </xf>
    <xf numFmtId="0" fontId="16" fillId="0" borderId="0" xfId="0" applyFont="1" applyFill="1" applyAlignment="1">
      <alignment horizontal="center" vertical="center" wrapText="1"/>
    </xf>
    <xf numFmtId="0" fontId="7" fillId="0" borderId="0" xfId="0" applyFont="1" applyFill="1" applyAlignment="1">
      <alignment horizontal="left" vertical="center" wrapText="1"/>
    </xf>
    <xf numFmtId="0" fontId="11" fillId="0" borderId="3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horizontal="left" vertical="center"/>
    </xf>
    <xf numFmtId="0" fontId="11" fillId="0" borderId="3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center"/>
    </xf>
    <xf numFmtId="2" fontId="41" fillId="0" borderId="0" xfId="0" applyNumberFormat="1" applyFont="1" applyFill="1" applyAlignment="1">
      <alignment horizontal="center" vertical="center" wrapText="1"/>
    </xf>
    <xf numFmtId="0" fontId="23" fillId="0" borderId="0" xfId="0" applyFont="1" applyFill="1" applyBorder="1" applyAlignment="1">
      <alignment horizontal="left" vertical="center"/>
    </xf>
    <xf numFmtId="2" fontId="23" fillId="0" borderId="0" xfId="0" applyNumberFormat="1" applyFont="1" applyFill="1" applyAlignment="1">
      <alignment horizontal="right" vertical="center" wrapText="1"/>
    </xf>
    <xf numFmtId="0" fontId="9" fillId="0" borderId="9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textRotation="90"/>
    </xf>
    <xf numFmtId="0" fontId="5" fillId="0" borderId="85" xfId="0" applyFont="1" applyFill="1" applyBorder="1" applyAlignment="1">
      <alignment horizontal="center" vertical="center" textRotation="90"/>
    </xf>
    <xf numFmtId="0" fontId="5" fillId="0" borderId="7" xfId="0" applyFont="1" applyFill="1" applyBorder="1" applyAlignment="1">
      <alignment horizontal="center" vertical="center" wrapText="1"/>
    </xf>
    <xf numFmtId="0" fontId="5" fillId="0" borderId="89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89" xfId="0" applyFont="1" applyFill="1" applyBorder="1" applyAlignment="1">
      <alignment horizontal="center" vertical="center"/>
    </xf>
    <xf numFmtId="0" fontId="5" fillId="0" borderId="88" xfId="0" applyFont="1" applyFill="1" applyBorder="1" applyAlignment="1">
      <alignment horizontal="center" vertical="center"/>
    </xf>
    <xf numFmtId="2" fontId="5" fillId="0" borderId="4" xfId="0" applyNumberFormat="1" applyFont="1" applyFill="1" applyBorder="1" applyAlignment="1">
      <alignment horizontal="center" vertical="center"/>
    </xf>
    <xf numFmtId="2" fontId="5" fillId="0" borderId="3" xfId="0" applyNumberFormat="1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 wrapText="1"/>
    </xf>
    <xf numFmtId="0" fontId="5" fillId="0" borderId="85" xfId="0" applyFont="1" applyFill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2" fontId="6" fillId="0" borderId="0" xfId="0" applyNumberFormat="1" applyFont="1" applyFill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2" fontId="1" fillId="0" borderId="0" xfId="0" applyNumberFormat="1" applyFont="1" applyAlignment="1">
      <alignment horizontal="right" vertical="center" wrapText="1"/>
    </xf>
    <xf numFmtId="0" fontId="16" fillId="0" borderId="0" xfId="0" applyFont="1" applyFill="1" applyAlignment="1">
      <alignment horizontal="left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41" fillId="0" borderId="0" xfId="0" applyFont="1" applyAlignment="1">
      <alignment horizontal="center"/>
    </xf>
    <xf numFmtId="0" fontId="16" fillId="0" borderId="0" xfId="0" applyFont="1" applyAlignment="1">
      <alignment horizontal="center" vertical="center" wrapText="1"/>
    </xf>
    <xf numFmtId="0" fontId="29" fillId="0" borderId="6" xfId="0" applyFont="1" applyBorder="1" applyAlignment="1">
      <alignment horizontal="center" vertical="top"/>
    </xf>
    <xf numFmtId="0" fontId="50" fillId="0" borderId="0" xfId="0" applyFont="1" applyAlignment="1">
      <alignment horizontal="left" wrapText="1"/>
    </xf>
    <xf numFmtId="0" fontId="46" fillId="0" borderId="90" xfId="0" applyFont="1" applyBorder="1" applyAlignment="1">
      <alignment horizontal="center"/>
    </xf>
    <xf numFmtId="0" fontId="33" fillId="0" borderId="5" xfId="0" applyFont="1" applyBorder="1" applyAlignment="1">
      <alignment horizontal="left" vertical="center" wrapText="1"/>
    </xf>
    <xf numFmtId="2" fontId="33" fillId="0" borderId="5" xfId="0" applyNumberFormat="1" applyFont="1" applyBorder="1" applyAlignment="1">
      <alignment horizontal="center" vertical="center" wrapText="1"/>
    </xf>
    <xf numFmtId="0" fontId="33" fillId="0" borderId="5" xfId="0" applyFont="1" applyBorder="1" applyAlignment="1">
      <alignment horizontal="center" vertical="center" wrapText="1"/>
    </xf>
    <xf numFmtId="0" fontId="50" fillId="0" borderId="0" xfId="0" applyFont="1" applyBorder="1" applyAlignment="1">
      <alignment horizontal="center" vertical="center"/>
    </xf>
    <xf numFmtId="0" fontId="50" fillId="0" borderId="61" xfId="0" applyFont="1" applyBorder="1" applyAlignment="1">
      <alignment horizontal="center" vertical="center"/>
    </xf>
    <xf numFmtId="0" fontId="50" fillId="0" borderId="90" xfId="0" applyFont="1" applyBorder="1" applyAlignment="1">
      <alignment horizontal="center" vertical="center"/>
    </xf>
    <xf numFmtId="0" fontId="50" fillId="0" borderId="88" xfId="0" applyFont="1" applyBorder="1" applyAlignment="1">
      <alignment horizontal="center" vertical="center"/>
    </xf>
    <xf numFmtId="0" fontId="33" fillId="0" borderId="0" xfId="0" applyFont="1" applyAlignment="1">
      <alignment horizontal="left" vertical="top" wrapText="1"/>
    </xf>
    <xf numFmtId="0" fontId="33" fillId="0" borderId="5" xfId="0" applyFont="1" applyBorder="1" applyAlignment="1">
      <alignment horizontal="center" vertical="center" textRotation="90"/>
    </xf>
    <xf numFmtId="0" fontId="33" fillId="0" borderId="5" xfId="0" applyFont="1" applyBorder="1" applyAlignment="1">
      <alignment horizontal="center" vertical="center"/>
    </xf>
    <xf numFmtId="0" fontId="33" fillId="0" borderId="7" xfId="0" applyFont="1" applyBorder="1" applyAlignment="1">
      <alignment horizontal="center" vertical="center"/>
    </xf>
    <xf numFmtId="0" fontId="33" fillId="0" borderId="6" xfId="0" applyFont="1" applyBorder="1" applyAlignment="1">
      <alignment horizontal="center" vertical="center"/>
    </xf>
    <xf numFmtId="0" fontId="33" fillId="0" borderId="8" xfId="0" applyFont="1" applyBorder="1" applyAlignment="1">
      <alignment horizontal="center" vertical="center"/>
    </xf>
    <xf numFmtId="0" fontId="33" fillId="0" borderId="89" xfId="0" applyFont="1" applyBorder="1" applyAlignment="1">
      <alignment horizontal="center" vertical="center"/>
    </xf>
    <xf numFmtId="0" fontId="33" fillId="0" borderId="90" xfId="0" applyFont="1" applyBorder="1" applyAlignment="1">
      <alignment horizontal="center" vertical="center"/>
    </xf>
    <xf numFmtId="0" fontId="33" fillId="0" borderId="88" xfId="0" applyFont="1" applyBorder="1" applyAlignment="1">
      <alignment horizontal="center" vertical="center"/>
    </xf>
    <xf numFmtId="0" fontId="122" fillId="0" borderId="5" xfId="0" applyFont="1" applyBorder="1" applyAlignment="1">
      <alignment horizontal="center"/>
    </xf>
    <xf numFmtId="0" fontId="33" fillId="0" borderId="5" xfId="0" applyFont="1" applyBorder="1" applyAlignment="1">
      <alignment horizontal="right"/>
    </xf>
    <xf numFmtId="0" fontId="87" fillId="0" borderId="5" xfId="0" applyFont="1" applyBorder="1" applyAlignment="1">
      <alignment horizontal="center"/>
    </xf>
    <xf numFmtId="0" fontId="33" fillId="0" borderId="5" xfId="0" applyFont="1" applyBorder="1" applyAlignment="1">
      <alignment horizontal="left"/>
    </xf>
    <xf numFmtId="1" fontId="87" fillId="0" borderId="0" xfId="0" applyNumberFormat="1" applyFont="1" applyBorder="1" applyAlignment="1">
      <alignment horizontal="center"/>
    </xf>
    <xf numFmtId="0" fontId="33" fillId="0" borderId="0" xfId="0" applyFont="1" applyAlignment="1">
      <alignment horizontal="left" wrapText="1"/>
    </xf>
    <xf numFmtId="0" fontId="80" fillId="0" borderId="0" xfId="0" applyFont="1" applyAlignment="1">
      <alignment horizontal="center"/>
    </xf>
    <xf numFmtId="0" fontId="73" fillId="0" borderId="90" xfId="0" applyFont="1" applyBorder="1" applyAlignment="1">
      <alignment horizontal="center" vertical="center" wrapText="1"/>
    </xf>
    <xf numFmtId="0" fontId="29" fillId="0" borderId="0" xfId="0" applyFont="1" applyBorder="1" applyAlignment="1">
      <alignment horizontal="center" vertical="top"/>
    </xf>
    <xf numFmtId="0" fontId="73" fillId="0" borderId="90" xfId="0" applyFont="1" applyBorder="1" applyAlignment="1">
      <alignment horizontal="center"/>
    </xf>
    <xf numFmtId="0" fontId="33" fillId="0" borderId="0" xfId="0" applyFont="1" applyAlignment="1">
      <alignment horizontal="left"/>
    </xf>
    <xf numFmtId="0" fontId="108" fillId="0" borderId="0" xfId="0" applyFont="1" applyAlignment="1">
      <alignment horizontal="left"/>
    </xf>
    <xf numFmtId="0" fontId="35" fillId="0" borderId="5" xfId="0" applyFont="1" applyFill="1" applyBorder="1" applyAlignment="1">
      <alignment horizontal="center" vertical="center"/>
    </xf>
    <xf numFmtId="0" fontId="51" fillId="0" borderId="5" xfId="0" applyFont="1" applyBorder="1" applyAlignment="1">
      <alignment horizontal="center" vertical="center" wrapText="1"/>
    </xf>
    <xf numFmtId="0" fontId="33" fillId="0" borderId="5" xfId="0" applyFont="1" applyBorder="1" applyAlignment="1">
      <alignment horizontal="center" wrapText="1"/>
    </xf>
    <xf numFmtId="0" fontId="12" fillId="0" borderId="0" xfId="0" applyFont="1" applyFill="1" applyAlignment="1">
      <alignment vertical="center"/>
    </xf>
    <xf numFmtId="0" fontId="33" fillId="0" borderId="0" xfId="0" applyFont="1" applyAlignment="1">
      <alignment horizontal="left" vertical="center"/>
    </xf>
    <xf numFmtId="0" fontId="46" fillId="0" borderId="0" xfId="0" applyFont="1" applyAlignment="1">
      <alignment horizontal="center" vertical="center" wrapText="1"/>
    </xf>
    <xf numFmtId="2" fontId="46" fillId="0" borderId="0" xfId="0" applyNumberFormat="1" applyFont="1" applyAlignment="1">
      <alignment horizontal="center"/>
    </xf>
    <xf numFmtId="0" fontId="86" fillId="0" borderId="0" xfId="0" applyFont="1" applyFill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2" fontId="24" fillId="0" borderId="0" xfId="0" applyNumberFormat="1" applyFont="1" applyFill="1" applyAlignment="1">
      <alignment horizontal="center" vertical="center" wrapText="1"/>
    </xf>
    <xf numFmtId="0" fontId="24" fillId="0" borderId="0" xfId="0" applyFont="1" applyFill="1" applyBorder="1" applyAlignment="1">
      <alignment horizontal="center" vertical="center"/>
    </xf>
    <xf numFmtId="0" fontId="76" fillId="0" borderId="0" xfId="0" applyFont="1" applyFill="1" applyAlignment="1">
      <alignment horizontal="center" vertical="center"/>
    </xf>
    <xf numFmtId="0" fontId="84" fillId="0" borderId="0" xfId="0" applyFont="1" applyFill="1" applyBorder="1" applyAlignment="1">
      <alignment horizontal="center" vertical="center"/>
    </xf>
    <xf numFmtId="0" fontId="46" fillId="0" borderId="0" xfId="0" applyFont="1" applyAlignment="1">
      <alignment horizontal="left"/>
    </xf>
    <xf numFmtId="0" fontId="33" fillId="0" borderId="0" xfId="0" applyFont="1" applyAlignment="1">
      <alignment horizontal="center"/>
    </xf>
    <xf numFmtId="0" fontId="87" fillId="0" borderId="5" xfId="0" applyFont="1" applyBorder="1" applyAlignment="1">
      <alignment horizontal="center" vertical="center" wrapText="1"/>
    </xf>
    <xf numFmtId="0" fontId="50" fillId="0" borderId="4" xfId="0" applyFont="1" applyBorder="1" applyAlignment="1">
      <alignment horizontal="center"/>
    </xf>
    <xf numFmtId="0" fontId="50" fillId="0" borderId="2" xfId="0" applyFont="1" applyBorder="1" applyAlignment="1">
      <alignment horizontal="center"/>
    </xf>
    <xf numFmtId="0" fontId="33" fillId="0" borderId="4" xfId="0" applyFont="1" applyBorder="1" applyAlignment="1">
      <alignment horizontal="left"/>
    </xf>
    <xf numFmtId="0" fontId="33" fillId="0" borderId="3" xfId="0" applyFont="1" applyBorder="1" applyAlignment="1">
      <alignment horizontal="left"/>
    </xf>
    <xf numFmtId="0" fontId="33" fillId="0" borderId="2" xfId="0" applyFont="1" applyBorder="1" applyAlignment="1">
      <alignment horizontal="left"/>
    </xf>
    <xf numFmtId="1" fontId="87" fillId="0" borderId="5" xfId="0" applyNumberFormat="1" applyFont="1" applyBorder="1" applyAlignment="1">
      <alignment horizontal="center" vertical="center" wrapText="1"/>
    </xf>
    <xf numFmtId="164" fontId="87" fillId="0" borderId="5" xfId="0" applyNumberFormat="1" applyFont="1" applyBorder="1" applyAlignment="1">
      <alignment horizontal="center" vertical="center" wrapText="1"/>
    </xf>
    <xf numFmtId="0" fontId="33" fillId="0" borderId="40" xfId="0" applyFont="1" applyBorder="1" applyAlignment="1">
      <alignment horizontal="center" vertical="center" textRotation="90"/>
    </xf>
    <xf numFmtId="0" fontId="33" fillId="0" borderId="50" xfId="0" applyFont="1" applyBorder="1" applyAlignment="1">
      <alignment horizontal="center" vertical="center" textRotation="90"/>
    </xf>
    <xf numFmtId="0" fontId="33" fillId="0" borderId="25" xfId="0" applyFont="1" applyBorder="1" applyAlignment="1">
      <alignment horizontal="center" vertical="center"/>
    </xf>
    <xf numFmtId="0" fontId="33" fillId="0" borderId="13" xfId="0" applyFont="1" applyBorder="1" applyAlignment="1">
      <alignment horizontal="center" vertical="center"/>
    </xf>
    <xf numFmtId="0" fontId="33" fillId="0" borderId="15" xfId="0" applyFont="1" applyBorder="1" applyAlignment="1">
      <alignment horizontal="center" vertical="center"/>
    </xf>
    <xf numFmtId="0" fontId="33" fillId="0" borderId="40" xfId="0" applyFont="1" applyBorder="1" applyAlignment="1">
      <alignment horizontal="center" vertical="center"/>
    </xf>
    <xf numFmtId="0" fontId="33" fillId="0" borderId="43" xfId="0" applyFont="1" applyBorder="1" applyAlignment="1">
      <alignment horizontal="center" vertical="center"/>
    </xf>
    <xf numFmtId="0" fontId="33" fillId="0" borderId="71" xfId="0" applyFont="1" applyBorder="1" applyAlignment="1">
      <alignment horizontal="center" vertical="center"/>
    </xf>
    <xf numFmtId="0" fontId="33" fillId="0" borderId="29" xfId="0" applyFont="1" applyBorder="1" applyAlignment="1">
      <alignment horizontal="center" vertical="center"/>
    </xf>
    <xf numFmtId="0" fontId="33" fillId="0" borderId="30" xfId="0" applyFont="1" applyBorder="1" applyAlignment="1">
      <alignment horizontal="center" vertical="center"/>
    </xf>
    <xf numFmtId="0" fontId="33" fillId="0" borderId="31" xfId="0" applyFont="1" applyBorder="1" applyAlignment="1">
      <alignment horizontal="center" vertical="center"/>
    </xf>
    <xf numFmtId="0" fontId="33" fillId="0" borderId="38" xfId="0" applyFont="1" applyBorder="1" applyAlignment="1">
      <alignment horizontal="center" vertical="center"/>
    </xf>
    <xf numFmtId="0" fontId="33" fillId="0" borderId="44" xfId="0" applyFont="1" applyBorder="1" applyAlignment="1">
      <alignment horizontal="center" vertical="center"/>
    </xf>
    <xf numFmtId="0" fontId="33" fillId="0" borderId="52" xfId="0" applyFont="1" applyBorder="1" applyAlignment="1">
      <alignment horizontal="center" vertical="center"/>
    </xf>
    <xf numFmtId="0" fontId="26" fillId="0" borderId="88" xfId="0" applyFont="1" applyFill="1" applyBorder="1" applyAlignment="1">
      <alignment horizontal="center" vertical="center" wrapText="1"/>
    </xf>
    <xf numFmtId="0" fontId="26" fillId="0" borderId="85" xfId="0" applyFont="1" applyFill="1" applyBorder="1" applyAlignment="1">
      <alignment horizontal="center" vertical="center" wrapText="1"/>
    </xf>
    <xf numFmtId="0" fontId="26" fillId="0" borderId="86" xfId="0" applyFont="1" applyFill="1" applyBorder="1" applyAlignment="1">
      <alignment horizontal="center" vertical="center" wrapText="1"/>
    </xf>
    <xf numFmtId="0" fontId="26" fillId="0" borderId="47" xfId="0" applyFont="1" applyFill="1" applyBorder="1" applyAlignment="1">
      <alignment horizontal="center" vertical="center" wrapText="1"/>
    </xf>
    <xf numFmtId="0" fontId="26" fillId="0" borderId="3" xfId="0" applyFont="1" applyFill="1" applyBorder="1" applyAlignment="1">
      <alignment horizontal="center" vertical="center" wrapText="1"/>
    </xf>
    <xf numFmtId="0" fontId="26" fillId="0" borderId="48" xfId="0" applyFont="1" applyFill="1" applyBorder="1" applyAlignment="1">
      <alignment horizontal="center" vertical="center" wrapText="1"/>
    </xf>
    <xf numFmtId="0" fontId="26" fillId="0" borderId="47" xfId="0" applyFont="1" applyBorder="1" applyAlignment="1">
      <alignment horizontal="center" wrapText="1"/>
    </xf>
    <xf numFmtId="0" fontId="26" fillId="0" borderId="3" xfId="0" applyFont="1" applyBorder="1" applyAlignment="1">
      <alignment horizontal="center" wrapText="1"/>
    </xf>
    <xf numFmtId="0" fontId="26" fillId="0" borderId="48" xfId="0" applyFont="1" applyBorder="1" applyAlignment="1">
      <alignment horizontal="center" wrapText="1"/>
    </xf>
    <xf numFmtId="0" fontId="108" fillId="0" borderId="47" xfId="0" applyFont="1" applyBorder="1" applyAlignment="1">
      <alignment horizontal="center" vertical="center" wrapText="1"/>
    </xf>
    <xf numFmtId="0" fontId="108" fillId="0" borderId="3" xfId="0" applyFont="1" applyBorder="1" applyAlignment="1">
      <alignment horizontal="center" vertical="center" wrapText="1"/>
    </xf>
    <xf numFmtId="0" fontId="108" fillId="0" borderId="48" xfId="0" applyFont="1" applyBorder="1" applyAlignment="1">
      <alignment horizontal="center" vertical="center" wrapText="1"/>
    </xf>
    <xf numFmtId="0" fontId="26" fillId="0" borderId="87" xfId="0" applyFont="1" applyFill="1" applyBorder="1" applyAlignment="1">
      <alignment horizontal="center" vertical="center" wrapText="1"/>
    </xf>
    <xf numFmtId="0" fontId="26" fillId="0" borderId="90" xfId="0" applyFont="1" applyFill="1" applyBorder="1" applyAlignment="1">
      <alignment horizontal="center" vertical="center" wrapText="1"/>
    </xf>
    <xf numFmtId="0" fontId="26" fillId="0" borderId="91" xfId="0" applyFont="1" applyFill="1" applyBorder="1" applyAlignment="1">
      <alignment horizontal="center" vertical="center" wrapText="1"/>
    </xf>
    <xf numFmtId="0" fontId="46" fillId="0" borderId="90" xfId="0" applyFont="1" applyBorder="1" applyAlignment="1">
      <alignment horizontal="center" vertical="top" wrapText="1"/>
    </xf>
    <xf numFmtId="0" fontId="33" fillId="0" borderId="6" xfId="0" applyFont="1" applyBorder="1" applyAlignment="1">
      <alignment horizontal="center"/>
    </xf>
    <xf numFmtId="0" fontId="50" fillId="0" borderId="0" xfId="0" applyFont="1" applyAlignment="1">
      <alignment horizontal="center" wrapText="1"/>
    </xf>
    <xf numFmtId="0" fontId="46" fillId="0" borderId="0" xfId="0" applyFont="1" applyAlignment="1">
      <alignment horizontal="right"/>
    </xf>
    <xf numFmtId="0" fontId="46" fillId="0" borderId="1" xfId="0" applyFont="1" applyBorder="1" applyAlignment="1">
      <alignment horizontal="center"/>
    </xf>
    <xf numFmtId="0" fontId="50" fillId="0" borderId="1" xfId="0" applyFont="1" applyBorder="1" applyAlignment="1">
      <alignment horizontal="center"/>
    </xf>
    <xf numFmtId="0" fontId="46" fillId="0" borderId="0" xfId="0" applyFont="1" applyAlignment="1">
      <alignment horizontal="center"/>
    </xf>
    <xf numFmtId="0" fontId="33" fillId="0" borderId="7" xfId="0" applyFont="1" applyBorder="1" applyAlignment="1">
      <alignment horizontal="center" vertical="center" wrapText="1"/>
    </xf>
    <xf numFmtId="0" fontId="33" fillId="0" borderId="8" xfId="0" applyFont="1" applyBorder="1" applyAlignment="1">
      <alignment horizontal="center" vertical="center" wrapText="1"/>
    </xf>
    <xf numFmtId="0" fontId="33" fillId="0" borderId="10" xfId="0" applyFont="1" applyBorder="1" applyAlignment="1">
      <alignment horizontal="center" vertical="center" wrapText="1"/>
    </xf>
    <xf numFmtId="0" fontId="33" fillId="0" borderId="11" xfId="0" applyFont="1" applyBorder="1" applyAlignment="1">
      <alignment horizontal="center" vertical="center" wrapText="1"/>
    </xf>
    <xf numFmtId="164" fontId="33" fillId="0" borderId="5" xfId="0" applyNumberFormat="1" applyFont="1" applyBorder="1" applyAlignment="1">
      <alignment horizontal="center" vertical="center" wrapText="1"/>
    </xf>
    <xf numFmtId="0" fontId="33" fillId="0" borderId="5" xfId="0" applyFont="1" applyBorder="1" applyAlignment="1">
      <alignment horizontal="center"/>
    </xf>
    <xf numFmtId="0" fontId="26" fillId="0" borderId="2" xfId="0" applyFont="1" applyFill="1" applyBorder="1" applyAlignment="1">
      <alignment horizontal="center" vertical="center" wrapText="1"/>
    </xf>
    <xf numFmtId="0" fontId="26" fillId="0" borderId="5" xfId="0" applyFont="1" applyFill="1" applyBorder="1" applyAlignment="1">
      <alignment horizontal="center" vertical="center" wrapText="1"/>
    </xf>
    <xf numFmtId="0" fontId="26" fillId="0" borderId="27" xfId="0" applyFont="1" applyFill="1" applyBorder="1" applyAlignment="1">
      <alignment horizontal="center" vertical="center" wrapText="1"/>
    </xf>
    <xf numFmtId="0" fontId="97" fillId="0" borderId="0" xfId="2" applyFont="1" applyAlignment="1">
      <alignment horizontal="right"/>
    </xf>
    <xf numFmtId="0" fontId="97" fillId="0" borderId="0" xfId="2" applyFont="1" applyAlignment="1">
      <alignment horizontal="center" wrapText="1"/>
    </xf>
    <xf numFmtId="0" fontId="97" fillId="0" borderId="0" xfId="2" applyFont="1" applyAlignment="1">
      <alignment horizontal="center"/>
    </xf>
    <xf numFmtId="0" fontId="97" fillId="0" borderId="12" xfId="2" applyFont="1" applyBorder="1" applyAlignment="1">
      <alignment horizontal="center" vertical="center" wrapText="1"/>
    </xf>
    <xf numFmtId="0" fontId="97" fillId="0" borderId="35" xfId="2" applyFont="1" applyBorder="1" applyAlignment="1">
      <alignment horizontal="center" vertical="center" wrapText="1"/>
    </xf>
    <xf numFmtId="0" fontId="97" fillId="0" borderId="14" xfId="2" applyFont="1" applyBorder="1" applyAlignment="1">
      <alignment horizontal="center" vertical="center" wrapText="1"/>
    </xf>
    <xf numFmtId="0" fontId="97" fillId="0" borderId="36" xfId="2" applyFont="1" applyBorder="1" applyAlignment="1">
      <alignment horizontal="center" vertical="center" wrapText="1"/>
    </xf>
    <xf numFmtId="0" fontId="97" fillId="0" borderId="37" xfId="2" applyFont="1" applyBorder="1" applyAlignment="1">
      <alignment horizontal="center" vertical="center" wrapText="1"/>
    </xf>
    <xf numFmtId="0" fontId="97" fillId="0" borderId="70" xfId="2" applyFont="1" applyBorder="1" applyAlignment="1">
      <alignment horizontal="center" vertical="center" wrapText="1"/>
    </xf>
    <xf numFmtId="0" fontId="98" fillId="0" borderId="14" xfId="2" applyFont="1" applyBorder="1" applyAlignment="1">
      <alignment horizontal="center" vertical="center" wrapText="1"/>
    </xf>
    <xf numFmtId="0" fontId="98" fillId="0" borderId="36" xfId="2" applyFont="1" applyBorder="1" applyAlignment="1">
      <alignment horizontal="center" vertical="center" wrapText="1"/>
    </xf>
    <xf numFmtId="0" fontId="97" fillId="0" borderId="18" xfId="2" applyFont="1" applyBorder="1" applyAlignment="1">
      <alignment horizontal="center" vertical="center" wrapText="1"/>
    </xf>
    <xf numFmtId="0" fontId="97" fillId="0" borderId="42" xfId="2" applyFont="1" applyBorder="1" applyAlignment="1">
      <alignment horizontal="center" vertical="center" wrapText="1"/>
    </xf>
    <xf numFmtId="0" fontId="97" fillId="0" borderId="28" xfId="2" applyFont="1" applyBorder="1" applyAlignment="1">
      <alignment horizontal="center" vertical="center" wrapText="1"/>
    </xf>
    <xf numFmtId="0" fontId="96" fillId="0" borderId="84" xfId="2" applyBorder="1" applyAlignment="1">
      <alignment horizontal="center" vertical="center" wrapText="1"/>
    </xf>
    <xf numFmtId="0" fontId="97" fillId="0" borderId="9" xfId="2" applyFont="1" applyBorder="1" applyAlignment="1">
      <alignment horizontal="center" vertical="center" wrapText="1"/>
    </xf>
    <xf numFmtId="0" fontId="96" fillId="0" borderId="85" xfId="2" applyBorder="1" applyAlignment="1">
      <alignment horizontal="center" vertical="center" wrapText="1"/>
    </xf>
    <xf numFmtId="0" fontId="97" fillId="0" borderId="64" xfId="2" applyFont="1" applyBorder="1" applyAlignment="1">
      <alignment horizontal="center" vertical="center" wrapText="1"/>
    </xf>
    <xf numFmtId="0" fontId="97" fillId="0" borderId="68" xfId="2" applyFont="1" applyBorder="1" applyAlignment="1">
      <alignment horizontal="center" vertical="center" wrapText="1"/>
    </xf>
    <xf numFmtId="0" fontId="96" fillId="0" borderId="86" xfId="2" applyBorder="1" applyAlignment="1">
      <alignment horizontal="center" vertical="center" wrapText="1"/>
    </xf>
    <xf numFmtId="0" fontId="97" fillId="0" borderId="25" xfId="2" applyFont="1" applyBorder="1" applyAlignment="1">
      <alignment horizontal="center" vertical="center" wrapText="1"/>
    </xf>
    <xf numFmtId="0" fontId="96" fillId="0" borderId="26" xfId="2" applyBorder="1" applyAlignment="1">
      <alignment horizontal="center" vertical="center" wrapText="1"/>
    </xf>
    <xf numFmtId="0" fontId="97" fillId="0" borderId="13" xfId="2" applyFont="1" applyBorder="1" applyAlignment="1">
      <alignment horizontal="center" vertical="center" wrapText="1"/>
    </xf>
    <xf numFmtId="0" fontId="96" fillId="0" borderId="5" xfId="2" applyBorder="1" applyAlignment="1">
      <alignment horizontal="center" vertical="center" wrapText="1"/>
    </xf>
    <xf numFmtId="0" fontId="97" fillId="0" borderId="15" xfId="2" applyFont="1" applyBorder="1" applyAlignment="1">
      <alignment horizontal="center" vertical="center" wrapText="1"/>
    </xf>
    <xf numFmtId="0" fontId="96" fillId="0" borderId="27" xfId="2" applyBorder="1" applyAlignment="1">
      <alignment horizontal="center" vertical="center" wrapText="1"/>
    </xf>
    <xf numFmtId="0" fontId="97" fillId="0" borderId="67" xfId="2" applyFont="1" applyBorder="1" applyAlignment="1">
      <alignment horizontal="center" vertical="center" wrapText="1"/>
    </xf>
    <xf numFmtId="0" fontId="96" fillId="0" borderId="35" xfId="2" applyBorder="1" applyAlignment="1">
      <alignment horizontal="center" vertical="center" wrapText="1"/>
    </xf>
    <xf numFmtId="0" fontId="96" fillId="0" borderId="36" xfId="2" applyBorder="1" applyAlignment="1">
      <alignment horizontal="center" vertical="center" wrapText="1"/>
    </xf>
    <xf numFmtId="0" fontId="97" fillId="0" borderId="66" xfId="2" applyFont="1" applyBorder="1" applyAlignment="1">
      <alignment horizontal="center" vertical="center" wrapText="1"/>
    </xf>
    <xf numFmtId="0" fontId="96" fillId="0" borderId="42" xfId="2" applyBorder="1" applyAlignment="1">
      <alignment horizontal="center" vertical="center" wrapText="1"/>
    </xf>
    <xf numFmtId="0" fontId="97" fillId="0" borderId="26" xfId="2" applyFont="1" applyBorder="1" applyAlignment="1">
      <alignment horizontal="center" vertical="center" wrapText="1"/>
    </xf>
    <xf numFmtId="0" fontId="96" fillId="0" borderId="29" xfId="2" applyBorder="1" applyAlignment="1">
      <alignment horizontal="center" vertical="center" wrapText="1"/>
    </xf>
    <xf numFmtId="0" fontId="97" fillId="0" borderId="5" xfId="2" applyFont="1" applyBorder="1" applyAlignment="1">
      <alignment horizontal="center" vertical="center" wrapText="1"/>
    </xf>
    <xf numFmtId="0" fontId="96" fillId="0" borderId="30" xfId="2" applyBorder="1" applyAlignment="1">
      <alignment horizontal="center" vertical="center" wrapText="1"/>
    </xf>
    <xf numFmtId="0" fontId="97" fillId="0" borderId="27" xfId="2" applyFont="1" applyBorder="1" applyAlignment="1">
      <alignment horizontal="center" vertical="center" wrapText="1"/>
    </xf>
    <xf numFmtId="0" fontId="96" fillId="0" borderId="31" xfId="2" applyBorder="1" applyAlignment="1">
      <alignment horizontal="center" vertical="center" wrapText="1"/>
    </xf>
    <xf numFmtId="0" fontId="100" fillId="0" borderId="9" xfId="2" applyFont="1" applyBorder="1" applyAlignment="1">
      <alignment horizontal="center" vertical="center" wrapText="1"/>
    </xf>
    <xf numFmtId="0" fontId="100" fillId="0" borderId="85" xfId="2" applyFont="1" applyBorder="1" applyAlignment="1">
      <alignment horizontal="center" vertical="center" wrapText="1"/>
    </xf>
    <xf numFmtId="0" fontId="100" fillId="0" borderId="14" xfId="2" applyFont="1" applyBorder="1" applyAlignment="1">
      <alignment horizontal="center" vertical="center" wrapText="1"/>
    </xf>
    <xf numFmtId="0" fontId="100" fillId="0" borderId="36" xfId="2" applyFont="1" applyBorder="1" applyAlignment="1">
      <alignment horizontal="center" vertical="center" wrapText="1"/>
    </xf>
    <xf numFmtId="0" fontId="97" fillId="0" borderId="85" xfId="2" applyFont="1" applyBorder="1" applyAlignment="1">
      <alignment horizontal="center" vertical="center" wrapText="1"/>
    </xf>
    <xf numFmtId="0" fontId="97" fillId="0" borderId="84" xfId="2" applyFont="1" applyBorder="1" applyAlignment="1">
      <alignment horizontal="center" vertical="center" wrapText="1"/>
    </xf>
    <xf numFmtId="0" fontId="97" fillId="0" borderId="86" xfId="2" applyFont="1" applyBorder="1" applyAlignment="1">
      <alignment horizontal="center" vertical="center" wrapText="1"/>
    </xf>
    <xf numFmtId="0" fontId="96" fillId="0" borderId="67" xfId="2" applyBorder="1" applyAlignment="1">
      <alignment horizontal="center" vertical="center" wrapText="1"/>
    </xf>
    <xf numFmtId="0" fontId="100" fillId="0" borderId="64" xfId="2" applyFont="1" applyBorder="1" applyAlignment="1">
      <alignment horizontal="center" vertical="center" wrapText="1"/>
    </xf>
    <xf numFmtId="0" fontId="96" fillId="0" borderId="64" xfId="2" applyBorder="1" applyAlignment="1">
      <alignment horizontal="center" vertical="center" wrapText="1"/>
    </xf>
    <xf numFmtId="0" fontId="96" fillId="0" borderId="66" xfId="2" applyBorder="1" applyAlignment="1">
      <alignment horizontal="center" vertical="center" wrapText="1"/>
    </xf>
    <xf numFmtId="0" fontId="97" fillId="0" borderId="47" xfId="2" applyFont="1" applyBorder="1" applyAlignment="1">
      <alignment horizontal="center" vertical="center" wrapText="1"/>
    </xf>
    <xf numFmtId="0" fontId="96" fillId="0" borderId="47" xfId="2" applyBorder="1" applyAlignment="1">
      <alignment horizontal="center" vertical="center" wrapText="1"/>
    </xf>
    <xf numFmtId="0" fontId="100" fillId="0" borderId="26" xfId="2" applyFont="1" applyBorder="1" applyAlignment="1">
      <alignment horizontal="center" vertical="center" wrapText="1"/>
    </xf>
    <xf numFmtId="0" fontId="97" fillId="0" borderId="40" xfId="2" applyFont="1" applyBorder="1" applyAlignment="1">
      <alignment horizontal="center" vertical="center" wrapText="1"/>
    </xf>
    <xf numFmtId="0" fontId="100" fillId="0" borderId="25" xfId="2" applyFont="1" applyBorder="1" applyAlignment="1">
      <alignment horizontal="center" vertical="center" wrapText="1"/>
    </xf>
    <xf numFmtId="0" fontId="96" fillId="0" borderId="50" xfId="2" applyBorder="1" applyAlignment="1">
      <alignment horizontal="center" vertical="center" wrapText="1"/>
    </xf>
    <xf numFmtId="0" fontId="100" fillId="0" borderId="29" xfId="2" applyFont="1" applyBorder="1" applyAlignment="1">
      <alignment horizontal="center" vertical="center" wrapText="1"/>
    </xf>
    <xf numFmtId="0" fontId="61" fillId="0" borderId="1" xfId="0" applyFont="1" applyBorder="1" applyAlignment="1">
      <alignment horizontal="center"/>
    </xf>
    <xf numFmtId="0" fontId="53" fillId="0" borderId="1" xfId="0" applyFont="1" applyBorder="1" applyAlignment="1">
      <alignment horizontal="left" indent="1"/>
    </xf>
    <xf numFmtId="0" fontId="53" fillId="0" borderId="3" xfId="0" applyFont="1" applyBorder="1" applyAlignment="1">
      <alignment horizontal="left" vertical="center" wrapText="1" indent="1"/>
    </xf>
    <xf numFmtId="0" fontId="61" fillId="0" borderId="1" xfId="0" applyFont="1" applyBorder="1" applyAlignment="1">
      <alignment horizontal="center" vertical="center"/>
    </xf>
    <xf numFmtId="0" fontId="53" fillId="0" borderId="4" xfId="0" applyFont="1" applyBorder="1" applyAlignment="1">
      <alignment horizontal="right" vertical="center" indent="1"/>
    </xf>
    <xf numFmtId="0" fontId="53" fillId="0" borderId="3" xfId="0" applyFont="1" applyBorder="1" applyAlignment="1">
      <alignment horizontal="right" vertical="center" indent="1"/>
    </xf>
    <xf numFmtId="0" fontId="53" fillId="0" borderId="4" xfId="0" applyFont="1" applyBorder="1" applyAlignment="1">
      <alignment horizontal="left" vertical="center"/>
    </xf>
    <xf numFmtId="0" fontId="53" fillId="0" borderId="2" xfId="0" applyFont="1" applyBorder="1" applyAlignment="1">
      <alignment horizontal="left" vertical="center"/>
    </xf>
    <xf numFmtId="0" fontId="35" fillId="0" borderId="0" xfId="0" applyFont="1" applyAlignment="1">
      <alignment horizontal="left" wrapText="1"/>
    </xf>
    <xf numFmtId="0" fontId="0" fillId="0" borderId="0" xfId="0" applyAlignment="1">
      <alignment wrapText="1"/>
    </xf>
    <xf numFmtId="0" fontId="14" fillId="0" borderId="0" xfId="0" applyFont="1" applyBorder="1" applyAlignment="1">
      <alignment horizontal="right" vertical="center" wrapText="1"/>
    </xf>
    <xf numFmtId="0" fontId="76" fillId="0" borderId="0" xfId="0" applyFont="1" applyBorder="1" applyAlignment="1">
      <alignment horizontal="center" vertical="center" wrapText="1"/>
    </xf>
    <xf numFmtId="0" fontId="35" fillId="0" borderId="0" xfId="0" applyFont="1" applyAlignment="1">
      <alignment horizontal="right" vertical="center" wrapText="1"/>
    </xf>
    <xf numFmtId="0" fontId="4" fillId="0" borderId="3" xfId="0" applyFont="1" applyBorder="1" applyAlignment="1">
      <alignment vertical="center" wrapText="1"/>
    </xf>
    <xf numFmtId="0" fontId="0" fillId="0" borderId="3" xfId="0" applyBorder="1" applyAlignment="1">
      <alignment wrapText="1"/>
    </xf>
    <xf numFmtId="0" fontId="35" fillId="0" borderId="0" xfId="0" applyFont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35" fillId="0" borderId="0" xfId="0" applyFont="1" applyAlignment="1">
      <alignment horizontal="center"/>
    </xf>
    <xf numFmtId="0" fontId="53" fillId="0" borderId="5" xfId="0" applyFont="1" applyBorder="1" applyAlignment="1">
      <alignment horizontal="center" vertical="center" wrapText="1"/>
    </xf>
    <xf numFmtId="0" fontId="53" fillId="0" borderId="4" xfId="0" applyFont="1" applyBorder="1" applyAlignment="1">
      <alignment horizontal="center" vertical="center" wrapText="1"/>
    </xf>
    <xf numFmtId="0" fontId="53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165" fontId="8" fillId="6" borderId="45" xfId="0" applyNumberFormat="1" applyFont="1" applyFill="1" applyBorder="1" applyAlignment="1">
      <alignment horizontal="center" vertical="center" wrapText="1"/>
    </xf>
    <xf numFmtId="165" fontId="8" fillId="6" borderId="19" xfId="0" applyNumberFormat="1" applyFont="1" applyFill="1" applyBorder="1" applyAlignment="1">
      <alignment horizontal="center" vertical="center" wrapText="1"/>
    </xf>
    <xf numFmtId="165" fontId="8" fillId="6" borderId="69" xfId="0" applyNumberFormat="1" applyFont="1" applyFill="1" applyBorder="1" applyAlignment="1">
      <alignment horizontal="center" vertical="center" wrapText="1"/>
    </xf>
    <xf numFmtId="165" fontId="8" fillId="6" borderId="20" xfId="0" applyNumberFormat="1" applyFont="1" applyFill="1" applyBorder="1" applyAlignment="1">
      <alignment horizontal="center" vertical="center" wrapText="1"/>
    </xf>
    <xf numFmtId="165" fontId="8" fillId="6" borderId="58" xfId="0" applyNumberFormat="1" applyFont="1" applyFill="1" applyBorder="1" applyAlignment="1">
      <alignment horizontal="center" vertical="center" wrapText="1"/>
    </xf>
    <xf numFmtId="165" fontId="8" fillId="6" borderId="0" xfId="0" applyNumberFormat="1" applyFont="1" applyFill="1" applyBorder="1" applyAlignment="1">
      <alignment horizontal="center" vertical="center" wrapText="1"/>
    </xf>
    <xf numFmtId="165" fontId="8" fillId="6" borderId="55" xfId="0" applyNumberFormat="1" applyFont="1" applyFill="1" applyBorder="1" applyAlignment="1">
      <alignment horizontal="center" vertical="center" wrapText="1"/>
    </xf>
    <xf numFmtId="165" fontId="8" fillId="6" borderId="59" xfId="0" applyNumberFormat="1" applyFont="1" applyFill="1" applyBorder="1" applyAlignment="1">
      <alignment horizontal="center" vertical="center" wrapText="1"/>
    </xf>
    <xf numFmtId="165" fontId="8" fillId="6" borderId="53" xfId="0" applyNumberFormat="1" applyFont="1" applyFill="1" applyBorder="1" applyAlignment="1">
      <alignment horizontal="center" vertical="center" wrapText="1"/>
    </xf>
    <xf numFmtId="165" fontId="8" fillId="6" borderId="54" xfId="0" applyNumberFormat="1" applyFont="1" applyFill="1" applyBorder="1" applyAlignment="1">
      <alignment horizontal="center" vertical="center" wrapText="1"/>
    </xf>
    <xf numFmtId="165" fontId="2" fillId="6" borderId="4" xfId="0" applyNumberFormat="1" applyFont="1" applyFill="1" applyBorder="1" applyAlignment="1">
      <alignment horizontal="center" vertical="center" wrapText="1"/>
    </xf>
    <xf numFmtId="165" fontId="2" fillId="6" borderId="3" xfId="0" applyNumberFormat="1" applyFont="1" applyFill="1" applyBorder="1" applyAlignment="1">
      <alignment horizontal="center" vertical="center" wrapText="1"/>
    </xf>
    <xf numFmtId="165" fontId="2" fillId="6" borderId="2" xfId="0" applyNumberFormat="1" applyFont="1" applyFill="1" applyBorder="1" applyAlignment="1">
      <alignment horizontal="center" vertical="center" wrapText="1"/>
    </xf>
    <xf numFmtId="165" fontId="2" fillId="6" borderId="48" xfId="0" applyNumberFormat="1" applyFont="1" applyFill="1" applyBorder="1" applyAlignment="1">
      <alignment horizontal="center" vertical="center" wrapText="1"/>
    </xf>
    <xf numFmtId="0" fontId="22" fillId="6" borderId="45" xfId="0" applyFont="1" applyFill="1" applyBorder="1" applyAlignment="1">
      <alignment horizontal="center" vertical="center"/>
    </xf>
    <xf numFmtId="0" fontId="22" fillId="6" borderId="19" xfId="0" applyFont="1" applyFill="1" applyBorder="1" applyAlignment="1">
      <alignment horizontal="center" vertical="center"/>
    </xf>
    <xf numFmtId="0" fontId="22" fillId="6" borderId="69" xfId="0" applyFont="1" applyFill="1" applyBorder="1" applyAlignment="1">
      <alignment horizontal="center" vertical="center"/>
    </xf>
    <xf numFmtId="0" fontId="22" fillId="6" borderId="20" xfId="0" applyFont="1" applyFill="1" applyBorder="1" applyAlignment="1">
      <alignment horizontal="center" vertical="center"/>
    </xf>
    <xf numFmtId="0" fontId="22" fillId="6" borderId="59" xfId="0" applyFont="1" applyFill="1" applyBorder="1" applyAlignment="1">
      <alignment horizontal="center" vertical="center"/>
    </xf>
    <xf numFmtId="0" fontId="22" fillId="6" borderId="53" xfId="0" applyFont="1" applyFill="1" applyBorder="1" applyAlignment="1">
      <alignment horizontal="center" vertical="center"/>
    </xf>
    <xf numFmtId="0" fontId="22" fillId="6" borderId="54" xfId="0" applyFont="1" applyFill="1" applyBorder="1" applyAlignment="1">
      <alignment horizontal="center" vertical="center"/>
    </xf>
    <xf numFmtId="0" fontId="40" fillId="6" borderId="45" xfId="0" applyFont="1" applyFill="1" applyBorder="1" applyAlignment="1">
      <alignment horizontal="center" vertical="center"/>
    </xf>
    <xf numFmtId="0" fontId="40" fillId="6" borderId="69" xfId="0" applyFont="1" applyFill="1" applyBorder="1" applyAlignment="1">
      <alignment horizontal="center" vertical="center"/>
    </xf>
    <xf numFmtId="0" fontId="40" fillId="6" borderId="19" xfId="0" applyFont="1" applyFill="1" applyBorder="1" applyAlignment="1">
      <alignment horizontal="center" vertical="center"/>
    </xf>
    <xf numFmtId="0" fontId="40" fillId="6" borderId="20" xfId="0" applyFont="1" applyFill="1" applyBorder="1" applyAlignment="1">
      <alignment horizontal="center" vertical="center"/>
    </xf>
    <xf numFmtId="0" fontId="40" fillId="6" borderId="59" xfId="0" applyFont="1" applyFill="1" applyBorder="1" applyAlignment="1">
      <alignment horizontal="center" vertical="center"/>
    </xf>
    <xf numFmtId="0" fontId="40" fillId="6" borderId="53" xfId="0" applyFont="1" applyFill="1" applyBorder="1" applyAlignment="1">
      <alignment horizontal="center" vertical="center"/>
    </xf>
    <xf numFmtId="0" fontId="40" fillId="6" borderId="54" xfId="0" applyFont="1" applyFill="1" applyBorder="1" applyAlignment="1">
      <alignment horizontal="center" vertical="center"/>
    </xf>
    <xf numFmtId="165" fontId="2" fillId="6" borderId="38" xfId="0" applyNumberFormat="1" applyFont="1" applyFill="1" applyBorder="1" applyAlignment="1">
      <alignment horizontal="center" vertical="center" wrapText="1"/>
    </xf>
    <xf numFmtId="165" fontId="2" fillId="6" borderId="44" xfId="0" applyNumberFormat="1" applyFont="1" applyFill="1" applyBorder="1" applyAlignment="1">
      <alignment horizontal="center" vertical="center" wrapText="1"/>
    </xf>
    <xf numFmtId="165" fontId="2" fillId="6" borderId="32" xfId="0" applyNumberFormat="1" applyFont="1" applyFill="1" applyBorder="1" applyAlignment="1">
      <alignment horizontal="center" vertical="center" wrapText="1"/>
    </xf>
    <xf numFmtId="165" fontId="2" fillId="6" borderId="52" xfId="0" applyNumberFormat="1" applyFont="1" applyFill="1" applyBorder="1" applyAlignment="1">
      <alignment horizontal="center" vertical="center" wrapText="1"/>
    </xf>
    <xf numFmtId="0" fontId="67" fillId="6" borderId="0" xfId="0" applyFont="1" applyFill="1" applyAlignment="1">
      <alignment horizontal="left" vertical="center" wrapText="1"/>
    </xf>
    <xf numFmtId="165" fontId="11" fillId="6" borderId="47" xfId="0" applyNumberFormat="1" applyFont="1" applyFill="1" applyBorder="1" applyAlignment="1">
      <alignment horizontal="center" vertical="center" wrapText="1"/>
    </xf>
    <xf numFmtId="165" fontId="11" fillId="6" borderId="3" xfId="0" applyNumberFormat="1" applyFont="1" applyFill="1" applyBorder="1" applyAlignment="1">
      <alignment horizontal="center" vertical="center" wrapText="1"/>
    </xf>
    <xf numFmtId="165" fontId="11" fillId="6" borderId="48" xfId="0" applyNumberFormat="1" applyFont="1" applyFill="1" applyBorder="1" applyAlignment="1">
      <alignment horizontal="center" vertical="center" wrapText="1"/>
    </xf>
    <xf numFmtId="0" fontId="63" fillId="0" borderId="0" xfId="0" applyFont="1" applyAlignment="1">
      <alignment horizontal="center" vertical="center"/>
    </xf>
    <xf numFmtId="0" fontId="6" fillId="0" borderId="12" xfId="0" applyFont="1" applyFill="1" applyBorder="1" applyAlignment="1">
      <alignment horizontal="center" vertical="center" textRotation="90"/>
    </xf>
    <xf numFmtId="0" fontId="6" fillId="0" borderId="67" xfId="0" applyFont="1" applyFill="1" applyBorder="1" applyAlignment="1">
      <alignment horizontal="center" vertical="center" textRotation="90"/>
    </xf>
    <xf numFmtId="0" fontId="18" fillId="0" borderId="37" xfId="0" applyFont="1" applyBorder="1" applyAlignment="1">
      <alignment horizontal="center" vertical="center" wrapText="1"/>
    </xf>
    <xf numFmtId="0" fontId="18" fillId="0" borderId="7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 wrapText="1"/>
    </xf>
    <xf numFmtId="0" fontId="18" fillId="0" borderId="9" xfId="0" applyFont="1" applyBorder="1" applyAlignment="1">
      <alignment horizontal="center" vertical="center" wrapText="1"/>
    </xf>
    <xf numFmtId="0" fontId="29" fillId="0" borderId="45" xfId="0" applyFont="1" applyBorder="1" applyAlignment="1">
      <alignment horizontal="center" vertical="center" wrapText="1"/>
    </xf>
    <xf numFmtId="0" fontId="29" fillId="0" borderId="58" xfId="0" applyFont="1" applyBorder="1" applyAlignment="1">
      <alignment horizontal="center" vertical="center" wrapText="1"/>
    </xf>
    <xf numFmtId="0" fontId="18" fillId="0" borderId="25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60" xfId="0" applyFont="1" applyBorder="1" applyAlignment="1">
      <alignment horizontal="center" vertical="center"/>
    </xf>
    <xf numFmtId="0" fontId="54" fillId="0" borderId="0" xfId="0" applyFont="1" applyFill="1" applyBorder="1" applyAlignment="1">
      <alignment horizontal="left" vertical="center" wrapText="1"/>
    </xf>
    <xf numFmtId="165" fontId="72" fillId="0" borderId="16" xfId="0" applyNumberFormat="1" applyFont="1" applyBorder="1" applyAlignment="1">
      <alignment horizontal="center" vertical="center" wrapText="1"/>
    </xf>
    <xf numFmtId="165" fontId="72" fillId="0" borderId="41" xfId="0" applyNumberFormat="1" applyFont="1" applyBorder="1" applyAlignment="1">
      <alignment horizontal="center" vertical="center" wrapText="1"/>
    </xf>
    <xf numFmtId="165" fontId="72" fillId="0" borderId="17" xfId="0" applyNumberFormat="1" applyFont="1" applyBorder="1" applyAlignment="1">
      <alignment horizontal="center" vertical="center" wrapText="1"/>
    </xf>
    <xf numFmtId="165" fontId="72" fillId="0" borderId="45" xfId="0" applyNumberFormat="1" applyFont="1" applyBorder="1" applyAlignment="1">
      <alignment horizontal="center" vertical="center" wrapText="1"/>
    </xf>
    <xf numFmtId="165" fontId="72" fillId="0" borderId="69" xfId="0" applyNumberFormat="1" applyFont="1" applyBorder="1" applyAlignment="1">
      <alignment horizontal="center" vertical="center" wrapText="1"/>
    </xf>
    <xf numFmtId="165" fontId="72" fillId="0" borderId="81" xfId="0" applyNumberFormat="1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165" fontId="10" fillId="0" borderId="16" xfId="0" applyNumberFormat="1" applyFont="1" applyFill="1" applyBorder="1" applyAlignment="1">
      <alignment horizontal="center" vertical="center" wrapText="1"/>
    </xf>
    <xf numFmtId="165" fontId="10" fillId="0" borderId="41" xfId="0" applyNumberFormat="1" applyFont="1" applyFill="1" applyBorder="1" applyAlignment="1">
      <alignment horizontal="center" vertical="center" wrapText="1"/>
    </xf>
    <xf numFmtId="165" fontId="10" fillId="0" borderId="17" xfId="0" applyNumberFormat="1" applyFont="1" applyFill="1" applyBorder="1" applyAlignment="1">
      <alignment horizontal="center" vertical="center" wrapText="1"/>
    </xf>
    <xf numFmtId="0" fontId="106" fillId="0" borderId="0" xfId="0" applyFont="1" applyAlignment="1">
      <alignment horizontal="center"/>
    </xf>
    <xf numFmtId="165" fontId="49" fillId="0" borderId="0" xfId="0" applyNumberFormat="1" applyFont="1" applyAlignment="1">
      <alignment horizontal="center" vertical="center" wrapText="1"/>
    </xf>
    <xf numFmtId="0" fontId="13" fillId="0" borderId="5" xfId="0" applyFont="1" applyBorder="1" applyAlignment="1">
      <alignment horizontal="center"/>
    </xf>
    <xf numFmtId="0" fontId="33" fillId="0" borderId="1" xfId="0" applyFont="1" applyBorder="1" applyAlignment="1">
      <alignment horizontal="center"/>
    </xf>
    <xf numFmtId="0" fontId="33" fillId="0" borderId="5" xfId="0" applyFont="1" applyBorder="1" applyAlignment="1">
      <alignment vertical="top"/>
    </xf>
    <xf numFmtId="0" fontId="13" fillId="0" borderId="5" xfId="0" applyFont="1" applyBorder="1" applyAlignment="1">
      <alignment horizontal="center" vertical="top"/>
    </xf>
    <xf numFmtId="0" fontId="33" fillId="0" borderId="5" xfId="0" applyFont="1" applyBorder="1" applyAlignment="1">
      <alignment horizontal="center" vertical="top"/>
    </xf>
    <xf numFmtId="0" fontId="33" fillId="0" borderId="5" xfId="0" applyFont="1" applyBorder="1" applyAlignment="1"/>
    <xf numFmtId="2" fontId="49" fillId="0" borderId="16" xfId="0" applyNumberFormat="1" applyFont="1" applyBorder="1" applyAlignment="1">
      <alignment horizontal="center" vertical="top" wrapText="1"/>
    </xf>
    <xf numFmtId="2" fontId="49" fillId="0" borderId="41" xfId="0" applyNumberFormat="1" applyFont="1" applyBorder="1" applyAlignment="1">
      <alignment horizontal="center" vertical="top" wrapText="1"/>
    </xf>
    <xf numFmtId="2" fontId="49" fillId="0" borderId="17" xfId="0" applyNumberFormat="1" applyFont="1" applyBorder="1" applyAlignment="1">
      <alignment horizontal="center" vertical="top" wrapText="1"/>
    </xf>
    <xf numFmtId="2" fontId="46" fillId="0" borderId="53" xfId="0" applyNumberFormat="1" applyFont="1" applyBorder="1" applyAlignment="1">
      <alignment horizontal="center"/>
    </xf>
    <xf numFmtId="2" fontId="47" fillId="0" borderId="33" xfId="0" applyNumberFormat="1" applyFont="1" applyBorder="1" applyAlignment="1">
      <alignment horizontal="center" vertical="center" wrapText="1"/>
    </xf>
    <xf numFmtId="2" fontId="47" fillId="0" borderId="34" xfId="0" applyNumberFormat="1" applyFont="1" applyBorder="1" applyAlignment="1">
      <alignment horizontal="center" vertical="center" wrapText="1"/>
    </xf>
    <xf numFmtId="2" fontId="21" fillId="0" borderId="16" xfId="0" applyNumberFormat="1" applyFont="1" applyBorder="1" applyAlignment="1">
      <alignment horizontal="center" vertical="top" wrapText="1"/>
    </xf>
    <xf numFmtId="2" fontId="21" fillId="0" borderId="17" xfId="0" applyNumberFormat="1" applyFont="1" applyBorder="1" applyAlignment="1">
      <alignment horizontal="center" vertical="top" wrapText="1"/>
    </xf>
    <xf numFmtId="2" fontId="50" fillId="0" borderId="33" xfId="0" applyNumberFormat="1" applyFont="1" applyBorder="1" applyAlignment="1">
      <alignment horizontal="center" vertical="top" wrapText="1"/>
    </xf>
    <xf numFmtId="2" fontId="50" fillId="0" borderId="56" xfId="0" applyNumberFormat="1" applyFont="1" applyBorder="1" applyAlignment="1">
      <alignment horizontal="center" vertical="top" wrapText="1"/>
    </xf>
    <xf numFmtId="2" fontId="50" fillId="0" borderId="34" xfId="0" applyNumberFormat="1" applyFont="1" applyBorder="1" applyAlignment="1">
      <alignment horizontal="center" vertical="top" wrapText="1"/>
    </xf>
    <xf numFmtId="2" fontId="21" fillId="0" borderId="45" xfId="0" applyNumberFormat="1" applyFont="1" applyBorder="1" applyAlignment="1">
      <alignment horizontal="center" vertical="top" wrapText="1"/>
    </xf>
    <xf numFmtId="2" fontId="21" fillId="0" borderId="81" xfId="0" applyNumberFormat="1" applyFont="1" applyBorder="1" applyAlignment="1">
      <alignment horizontal="center" vertical="top" wrapText="1"/>
    </xf>
    <xf numFmtId="0" fontId="94" fillId="0" borderId="4" xfId="1" applyFont="1" applyBorder="1" applyAlignment="1">
      <alignment horizontal="center" vertical="center"/>
    </xf>
    <xf numFmtId="0" fontId="94" fillId="0" borderId="2" xfId="1" applyFont="1" applyBorder="1" applyAlignment="1">
      <alignment horizontal="center" vertical="center"/>
    </xf>
    <xf numFmtId="0" fontId="70" fillId="0" borderId="72" xfId="0" applyFont="1" applyBorder="1" applyAlignment="1">
      <alignment horizontal="center"/>
    </xf>
    <xf numFmtId="0" fontId="70" fillId="0" borderId="73" xfId="0" applyFont="1" applyBorder="1" applyAlignment="1">
      <alignment horizontal="center"/>
    </xf>
    <xf numFmtId="0" fontId="70" fillId="0" borderId="74" xfId="0" applyFont="1" applyBorder="1" applyAlignment="1">
      <alignment horizontal="center"/>
    </xf>
    <xf numFmtId="0" fontId="114" fillId="0" borderId="0" xfId="4" applyFont="1" applyAlignment="1">
      <alignment horizontal="left" vertical="center" wrapText="1"/>
    </xf>
    <xf numFmtId="49" fontId="112" fillId="0" borderId="0" xfId="4" applyNumberFormat="1" applyFont="1" applyAlignment="1">
      <alignment horizontal="left" vertical="center" wrapText="1"/>
    </xf>
    <xf numFmtId="0" fontId="114" fillId="0" borderId="0" xfId="4" applyFont="1" applyAlignment="1">
      <alignment horizontal="left" vertical="center"/>
    </xf>
    <xf numFmtId="0" fontId="116" fillId="0" borderId="0" xfId="4" applyFont="1" applyBorder="1" applyAlignment="1">
      <alignment horizontal="left"/>
    </xf>
    <xf numFmtId="0" fontId="125" fillId="0" borderId="0" xfId="4" applyFont="1" applyBorder="1" applyAlignment="1">
      <alignment horizontal="left"/>
    </xf>
    <xf numFmtId="49" fontId="112" fillId="0" borderId="0" xfId="4" applyNumberFormat="1" applyFont="1" applyBorder="1" applyAlignment="1">
      <alignment horizontal="left" vertical="center" wrapText="1"/>
    </xf>
    <xf numFmtId="0" fontId="112" fillId="0" borderId="0" xfId="4" applyFont="1" applyBorder="1" applyAlignment="1">
      <alignment horizontal="left" vertical="center"/>
    </xf>
    <xf numFmtId="0" fontId="114" fillId="0" borderId="0" xfId="4" applyFont="1" applyBorder="1" applyAlignment="1">
      <alignment horizontal="left" vertical="center"/>
    </xf>
    <xf numFmtId="0" fontId="112" fillId="0" borderId="0" xfId="4" applyFont="1" applyAlignment="1">
      <alignment horizontal="left" vertical="center" wrapText="1"/>
    </xf>
    <xf numFmtId="0" fontId="121" fillId="0" borderId="60" xfId="4" applyFont="1" applyBorder="1" applyAlignment="1">
      <alignment vertical="center" wrapText="1"/>
    </xf>
    <xf numFmtId="0" fontId="121" fillId="0" borderId="0" xfId="4" applyFont="1" applyBorder="1" applyAlignment="1">
      <alignment vertical="center"/>
    </xf>
    <xf numFmtId="0" fontId="121" fillId="0" borderId="55" xfId="4" applyFont="1" applyBorder="1" applyAlignment="1">
      <alignment vertical="center"/>
    </xf>
    <xf numFmtId="0" fontId="121" fillId="0" borderId="60" xfId="4" applyFont="1" applyBorder="1" applyAlignment="1">
      <alignment horizontal="left" vertical="center" wrapText="1"/>
    </xf>
    <xf numFmtId="0" fontId="121" fillId="0" borderId="0" xfId="4" applyFont="1" applyBorder="1" applyAlignment="1">
      <alignment horizontal="left" vertical="center"/>
    </xf>
    <xf numFmtId="0" fontId="121" fillId="0" borderId="55" xfId="4" applyFont="1" applyBorder="1" applyAlignment="1">
      <alignment horizontal="left" vertical="center"/>
    </xf>
    <xf numFmtId="0" fontId="121" fillId="0" borderId="89" xfId="4" applyFont="1" applyBorder="1" applyAlignment="1">
      <alignment horizontal="left" vertical="center" wrapText="1"/>
    </xf>
    <xf numFmtId="0" fontId="121" fillId="0" borderId="90" xfId="4" applyFont="1" applyBorder="1" applyAlignment="1">
      <alignment horizontal="left" vertical="center"/>
    </xf>
    <xf numFmtId="0" fontId="121" fillId="0" borderId="91" xfId="4" applyFont="1" applyBorder="1" applyAlignment="1">
      <alignment horizontal="left" vertical="center"/>
    </xf>
    <xf numFmtId="0" fontId="125" fillId="0" borderId="47" xfId="4" applyFont="1" applyBorder="1" applyAlignment="1">
      <alignment horizontal="center" vertical="center"/>
    </xf>
    <xf numFmtId="0" fontId="125" fillId="0" borderId="2" xfId="4" applyFont="1" applyBorder="1" applyAlignment="1">
      <alignment horizontal="center" vertical="center"/>
    </xf>
    <xf numFmtId="0" fontId="125" fillId="0" borderId="50" xfId="4" applyFont="1" applyBorder="1" applyAlignment="1">
      <alignment horizontal="center" vertical="center"/>
    </xf>
    <xf numFmtId="0" fontId="125" fillId="0" borderId="32" xfId="4" applyFont="1" applyBorder="1" applyAlignment="1">
      <alignment horizontal="center" vertical="center"/>
    </xf>
    <xf numFmtId="0" fontId="121" fillId="0" borderId="7" xfId="4" applyFont="1" applyBorder="1" applyAlignment="1">
      <alignment horizontal="left" vertical="center" wrapText="1"/>
    </xf>
    <xf numFmtId="0" fontId="121" fillId="0" borderId="6" xfId="4" applyFont="1" applyBorder="1" applyAlignment="1">
      <alignment horizontal="left" vertical="center"/>
    </xf>
    <xf numFmtId="0" fontId="121" fillId="0" borderId="92" xfId="4" applyFont="1" applyBorder="1" applyAlignment="1">
      <alignment horizontal="left" vertical="center"/>
    </xf>
    <xf numFmtId="0" fontId="121" fillId="0" borderId="93" xfId="4" applyFont="1" applyBorder="1" applyAlignment="1">
      <alignment horizontal="left" vertical="center" wrapText="1"/>
    </xf>
    <xf numFmtId="0" fontId="121" fillId="0" borderId="53" xfId="4" applyFont="1" applyBorder="1" applyAlignment="1">
      <alignment horizontal="left" vertical="center"/>
    </xf>
    <xf numFmtId="0" fontId="121" fillId="0" borderId="54" xfId="4" applyFont="1" applyBorder="1" applyAlignment="1">
      <alignment horizontal="left" vertical="center"/>
    </xf>
    <xf numFmtId="0" fontId="121" fillId="0" borderId="60" xfId="4" applyFont="1" applyBorder="1" applyAlignment="1">
      <alignment horizontal="left" vertical="top" wrapText="1"/>
    </xf>
    <xf numFmtId="0" fontId="121" fillId="0" borderId="0" xfId="4" applyFont="1" applyBorder="1" applyAlignment="1"/>
    <xf numFmtId="0" fontId="121" fillId="0" borderId="55" xfId="4" applyFont="1" applyBorder="1" applyAlignment="1"/>
    <xf numFmtId="0" fontId="121" fillId="0" borderId="89" xfId="4" applyFont="1" applyBorder="1" applyAlignment="1">
      <alignment horizontal="left" vertical="top" wrapText="1"/>
    </xf>
    <xf numFmtId="0" fontId="121" fillId="0" borderId="90" xfId="4" applyFont="1" applyBorder="1" applyAlignment="1"/>
    <xf numFmtId="0" fontId="121" fillId="0" borderId="91" xfId="4" applyFont="1" applyBorder="1" applyAlignment="1"/>
    <xf numFmtId="0" fontId="121" fillId="0" borderId="7" xfId="4" applyFont="1" applyBorder="1" applyAlignment="1">
      <alignment horizontal="left" vertical="top" wrapText="1"/>
    </xf>
    <xf numFmtId="0" fontId="121" fillId="0" borderId="6" xfId="4" applyFont="1" applyBorder="1" applyAlignment="1"/>
    <xf numFmtId="0" fontId="121" fillId="0" borderId="92" xfId="4" applyFont="1" applyBorder="1" applyAlignment="1"/>
    <xf numFmtId="49" fontId="120" fillId="0" borderId="60" xfId="4" applyNumberFormat="1" applyFont="1" applyBorder="1" applyAlignment="1" applyProtection="1">
      <alignment horizontal="left" vertical="center" wrapText="1"/>
      <protection locked="0"/>
    </xf>
    <xf numFmtId="0" fontId="104" fillId="0" borderId="12" xfId="4" applyFont="1" applyBorder="1" applyAlignment="1">
      <alignment horizontal="center" vertical="center" wrapText="1"/>
    </xf>
    <xf numFmtId="0" fontId="104" fillId="0" borderId="35" xfId="4" applyFont="1" applyBorder="1" applyAlignment="1">
      <alignment horizontal="center" vertical="center" wrapText="1"/>
    </xf>
    <xf numFmtId="0" fontId="104" fillId="0" borderId="14" xfId="4" applyFont="1" applyBorder="1" applyAlignment="1">
      <alignment horizontal="center" vertical="center" wrapText="1"/>
    </xf>
    <xf numFmtId="0" fontId="104" fillId="0" borderId="36" xfId="4" applyFont="1" applyBorder="1" applyAlignment="1">
      <alignment horizontal="center" vertical="center" wrapText="1"/>
    </xf>
    <xf numFmtId="0" fontId="125" fillId="0" borderId="45" xfId="4" applyFont="1" applyBorder="1" applyAlignment="1">
      <alignment horizontal="center" vertical="center"/>
    </xf>
    <xf numFmtId="0" fontId="125" fillId="0" borderId="65" xfId="4" applyFont="1" applyBorder="1" applyAlignment="1">
      <alignment vertical="center"/>
    </xf>
    <xf numFmtId="0" fontId="125" fillId="0" borderId="58" xfId="4" applyFont="1" applyBorder="1" applyAlignment="1">
      <alignment vertical="center"/>
    </xf>
    <xf numFmtId="0" fontId="125" fillId="0" borderId="61" xfId="4" applyFont="1" applyBorder="1" applyAlignment="1">
      <alignment vertical="center"/>
    </xf>
    <xf numFmtId="0" fontId="125" fillId="0" borderId="87" xfId="4" applyFont="1" applyBorder="1" applyAlignment="1">
      <alignment vertical="center"/>
    </xf>
    <xf numFmtId="0" fontId="125" fillId="0" borderId="88" xfId="4" applyFont="1" applyBorder="1" applyAlignment="1">
      <alignment vertical="center"/>
    </xf>
    <xf numFmtId="49" fontId="120" fillId="0" borderId="62" xfId="4" applyNumberFormat="1" applyFont="1" applyBorder="1" applyAlignment="1" applyProtection="1">
      <alignment vertical="center" wrapText="1"/>
      <protection locked="0"/>
    </xf>
    <xf numFmtId="0" fontId="121" fillId="0" borderId="69" xfId="4" applyFont="1" applyBorder="1" applyAlignment="1">
      <alignment vertical="center"/>
    </xf>
    <xf numFmtId="0" fontId="121" fillId="0" borderId="81" xfId="4" applyFont="1" applyBorder="1" applyAlignment="1">
      <alignment vertical="center"/>
    </xf>
    <xf numFmtId="0" fontId="121" fillId="0" borderId="0" xfId="4" applyFont="1" applyBorder="1" applyAlignment="1">
      <alignment vertical="center" wrapText="1"/>
    </xf>
    <xf numFmtId="0" fontId="121" fillId="0" borderId="55" xfId="4" applyFont="1" applyBorder="1" applyAlignment="1">
      <alignment vertical="center" wrapText="1"/>
    </xf>
    <xf numFmtId="0" fontId="120" fillId="0" borderId="60" xfId="4" applyFont="1" applyBorder="1" applyAlignment="1">
      <alignment vertical="center" wrapText="1"/>
    </xf>
    <xf numFmtId="0" fontId="119" fillId="0" borderId="14" xfId="4" applyFont="1" applyBorder="1" applyAlignment="1">
      <alignment horizontal="center" vertical="center" wrapText="1"/>
    </xf>
    <xf numFmtId="0" fontId="125" fillId="0" borderId="36" xfId="4" applyFont="1" applyBorder="1" applyAlignment="1">
      <alignment horizontal="center" vertical="center" wrapText="1"/>
    </xf>
    <xf numFmtId="0" fontId="116" fillId="0" borderId="24" xfId="4" applyFont="1" applyBorder="1" applyAlignment="1">
      <alignment horizontal="center" vertical="center" wrapText="1"/>
    </xf>
    <xf numFmtId="0" fontId="116" fillId="0" borderId="22" xfId="4" applyFont="1" applyBorder="1" applyAlignment="1">
      <alignment horizontal="center" vertical="center" wrapText="1"/>
    </xf>
    <xf numFmtId="169" fontId="118" fillId="0" borderId="64" xfId="4" applyNumberFormat="1" applyFont="1" applyBorder="1" applyAlignment="1">
      <alignment horizontal="center" vertical="center" wrapText="1"/>
    </xf>
    <xf numFmtId="169" fontId="118" fillId="0" borderId="66" xfId="4" applyNumberFormat="1" applyFont="1" applyBorder="1" applyAlignment="1">
      <alignment horizontal="center" vertical="center" wrapText="1"/>
    </xf>
    <xf numFmtId="0" fontId="112" fillId="0" borderId="0" xfId="4" applyFont="1" applyBorder="1" applyAlignment="1">
      <alignment horizontal="left"/>
    </xf>
    <xf numFmtId="0" fontId="112" fillId="0" borderId="0" xfId="4" applyFont="1" applyBorder="1" applyAlignment="1">
      <alignment horizontal="left" vertical="center" wrapText="1"/>
    </xf>
    <xf numFmtId="0" fontId="114" fillId="0" borderId="0" xfId="4" applyFont="1" applyAlignment="1">
      <alignment horizontal="left"/>
    </xf>
    <xf numFmtId="0" fontId="112" fillId="0" borderId="0" xfId="4" applyFont="1" applyBorder="1" applyAlignment="1">
      <alignment horizontal="left" wrapText="1"/>
    </xf>
    <xf numFmtId="0" fontId="104" fillId="0" borderId="21" xfId="4" applyFont="1" applyBorder="1" applyAlignment="1">
      <alignment horizontal="center" vertical="center" wrapText="1"/>
    </xf>
    <xf numFmtId="0" fontId="116" fillId="0" borderId="14" xfId="4" applyFont="1" applyBorder="1" applyAlignment="1">
      <alignment horizontal="center" vertical="center" wrapText="1"/>
    </xf>
    <xf numFmtId="0" fontId="125" fillId="0" borderId="64" xfId="4" applyFont="1" applyBorder="1" applyAlignment="1">
      <alignment horizontal="center" vertical="center" wrapText="1"/>
    </xf>
    <xf numFmtId="0" fontId="125" fillId="0" borderId="24" xfId="4" applyFont="1" applyBorder="1" applyAlignment="1">
      <alignment horizontal="center" vertical="center" wrapText="1"/>
    </xf>
    <xf numFmtId="0" fontId="112" fillId="0" borderId="0" xfId="4" applyFont="1" applyBorder="1" applyAlignment="1">
      <alignment horizontal="left" vertical="top" wrapText="1"/>
    </xf>
    <xf numFmtId="0" fontId="114" fillId="0" borderId="0" xfId="4" applyFont="1" applyAlignment="1">
      <alignment horizontal="left" vertical="top"/>
    </xf>
    <xf numFmtId="0" fontId="117" fillId="0" borderId="0" xfId="4" applyFont="1" applyBorder="1" applyAlignment="1">
      <alignment horizontal="left" wrapText="1"/>
    </xf>
    <xf numFmtId="0" fontId="116" fillId="0" borderId="63" xfId="4" applyFont="1" applyBorder="1" applyAlignment="1">
      <alignment horizontal="center" vertical="center"/>
    </xf>
    <xf numFmtId="0" fontId="116" fillId="0" borderId="41" xfId="4" applyFont="1" applyBorder="1" applyAlignment="1">
      <alignment horizontal="center" vertical="center"/>
    </xf>
    <xf numFmtId="0" fontId="116" fillId="0" borderId="17" xfId="4" applyFont="1" applyBorder="1" applyAlignment="1">
      <alignment horizontal="center" vertical="center"/>
    </xf>
    <xf numFmtId="0" fontId="114" fillId="0" borderId="0" xfId="0" applyFont="1" applyAlignment="1">
      <alignment horizontal="left" vertical="center" wrapText="1"/>
    </xf>
    <xf numFmtId="0" fontId="116" fillId="0" borderId="0" xfId="0" applyFont="1" applyBorder="1" applyAlignment="1">
      <alignment horizontal="left"/>
    </xf>
    <xf numFmtId="0" fontId="0" fillId="0" borderId="0" xfId="0" applyFont="1" applyBorder="1" applyAlignment="1">
      <alignment horizontal="left"/>
    </xf>
    <xf numFmtId="49" fontId="112" fillId="0" borderId="0" xfId="0" applyNumberFormat="1" applyFont="1" applyAlignment="1">
      <alignment horizontal="left" vertical="center" wrapText="1"/>
    </xf>
    <xf numFmtId="0" fontId="112" fillId="0" borderId="0" xfId="0" applyFont="1" applyAlignment="1">
      <alignment horizontal="left" vertical="center" wrapText="1"/>
    </xf>
    <xf numFmtId="0" fontId="114" fillId="0" borderId="0" xfId="0" applyFont="1" applyAlignment="1">
      <alignment horizontal="left" vertical="center"/>
    </xf>
    <xf numFmtId="0" fontId="0" fillId="0" borderId="47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121" fillId="0" borderId="60" xfId="0" applyFont="1" applyBorder="1" applyAlignment="1">
      <alignment vertical="center" wrapText="1"/>
    </xf>
    <xf numFmtId="0" fontId="121" fillId="0" borderId="0" xfId="0" applyFont="1" applyBorder="1" applyAlignment="1">
      <alignment vertical="center"/>
    </xf>
    <xf numFmtId="0" fontId="121" fillId="0" borderId="55" xfId="0" applyFont="1" applyBorder="1" applyAlignment="1">
      <alignment vertical="center"/>
    </xf>
    <xf numFmtId="0" fontId="121" fillId="0" borderId="60" xfId="0" applyFont="1" applyBorder="1" applyAlignment="1">
      <alignment horizontal="left" vertical="center" wrapText="1"/>
    </xf>
    <xf numFmtId="0" fontId="121" fillId="0" borderId="0" xfId="0" applyFont="1" applyBorder="1" applyAlignment="1">
      <alignment horizontal="left" vertical="center"/>
    </xf>
    <xf numFmtId="0" fontId="121" fillId="0" borderId="55" xfId="0" applyFont="1" applyBorder="1" applyAlignment="1">
      <alignment horizontal="left" vertical="center"/>
    </xf>
    <xf numFmtId="0" fontId="121" fillId="0" borderId="89" xfId="0" applyFont="1" applyBorder="1" applyAlignment="1">
      <alignment horizontal="left" vertical="center" wrapText="1"/>
    </xf>
    <xf numFmtId="0" fontId="121" fillId="0" borderId="90" xfId="0" applyFont="1" applyBorder="1" applyAlignment="1">
      <alignment horizontal="left" vertical="center"/>
    </xf>
    <xf numFmtId="0" fontId="121" fillId="0" borderId="91" xfId="0" applyFont="1" applyBorder="1" applyAlignment="1">
      <alignment horizontal="left" vertical="center"/>
    </xf>
    <xf numFmtId="0" fontId="0" fillId="0" borderId="50" xfId="0" applyFont="1" applyBorder="1" applyAlignment="1">
      <alignment horizontal="center" vertical="center"/>
    </xf>
    <xf numFmtId="0" fontId="0" fillId="0" borderId="32" xfId="0" applyFont="1" applyBorder="1" applyAlignment="1">
      <alignment horizontal="center" vertical="center"/>
    </xf>
    <xf numFmtId="0" fontId="121" fillId="0" borderId="7" xfId="0" applyFont="1" applyBorder="1" applyAlignment="1">
      <alignment horizontal="left" vertical="center" wrapText="1"/>
    </xf>
    <xf numFmtId="0" fontId="121" fillId="0" borderId="6" xfId="0" applyFont="1" applyBorder="1" applyAlignment="1">
      <alignment horizontal="left" vertical="center"/>
    </xf>
    <xf numFmtId="0" fontId="121" fillId="0" borderId="92" xfId="0" applyFont="1" applyBorder="1" applyAlignment="1">
      <alignment horizontal="left" vertical="center"/>
    </xf>
    <xf numFmtId="0" fontId="121" fillId="0" borderId="93" xfId="0" applyFont="1" applyBorder="1" applyAlignment="1">
      <alignment horizontal="left" vertical="center" wrapText="1"/>
    </xf>
    <xf numFmtId="0" fontId="121" fillId="0" borderId="53" xfId="0" applyFont="1" applyBorder="1" applyAlignment="1">
      <alignment horizontal="left" vertical="center"/>
    </xf>
    <xf numFmtId="0" fontId="121" fillId="0" borderId="54" xfId="0" applyFont="1" applyBorder="1" applyAlignment="1">
      <alignment horizontal="left" vertical="center"/>
    </xf>
    <xf numFmtId="0" fontId="104" fillId="0" borderId="12" xfId="0" applyFont="1" applyBorder="1" applyAlignment="1">
      <alignment horizontal="center" vertical="center" wrapText="1"/>
    </xf>
    <xf numFmtId="0" fontId="104" fillId="0" borderId="35" xfId="0" applyFont="1" applyBorder="1" applyAlignment="1">
      <alignment horizontal="center" vertical="center" wrapText="1"/>
    </xf>
    <xf numFmtId="0" fontId="104" fillId="0" borderId="14" xfId="0" applyFont="1" applyBorder="1" applyAlignment="1">
      <alignment horizontal="center" vertical="center" wrapText="1"/>
    </xf>
    <xf numFmtId="0" fontId="0" fillId="0" borderId="36" xfId="0" applyFont="1" applyBorder="1" applyAlignment="1">
      <alignment horizontal="center" vertical="center" wrapText="1"/>
    </xf>
    <xf numFmtId="49" fontId="112" fillId="0" borderId="0" xfId="0" applyNumberFormat="1" applyFont="1" applyBorder="1" applyAlignment="1">
      <alignment horizontal="left" vertical="center" wrapText="1"/>
    </xf>
    <xf numFmtId="0" fontId="112" fillId="0" borderId="0" xfId="0" applyFont="1" applyBorder="1" applyAlignment="1">
      <alignment horizontal="left" vertical="center"/>
    </xf>
    <xf numFmtId="0" fontId="114" fillId="0" borderId="0" xfId="0" applyFont="1" applyBorder="1" applyAlignment="1">
      <alignment horizontal="left" vertical="center"/>
    </xf>
    <xf numFmtId="49" fontId="120" fillId="0" borderId="60" xfId="0" applyNumberFormat="1" applyFont="1" applyBorder="1" applyAlignment="1" applyProtection="1">
      <alignment horizontal="left" vertical="center" wrapText="1"/>
      <protection locked="0"/>
    </xf>
    <xf numFmtId="0" fontId="121" fillId="0" borderId="60" xfId="0" applyFont="1" applyBorder="1" applyAlignment="1">
      <alignment horizontal="left" vertical="top" wrapText="1"/>
    </xf>
    <xf numFmtId="0" fontId="121" fillId="0" borderId="0" xfId="0" applyFont="1" applyBorder="1" applyAlignment="1"/>
    <xf numFmtId="0" fontId="121" fillId="0" borderId="55" xfId="0" applyFont="1" applyBorder="1" applyAlignment="1"/>
    <xf numFmtId="0" fontId="121" fillId="0" borderId="0" xfId="0" applyFont="1" applyBorder="1" applyAlignment="1">
      <alignment vertical="center" wrapText="1"/>
    </xf>
    <xf numFmtId="0" fontId="121" fillId="0" borderId="55" xfId="0" applyFont="1" applyBorder="1" applyAlignment="1">
      <alignment vertical="center" wrapText="1"/>
    </xf>
    <xf numFmtId="0" fontId="120" fillId="0" borderId="60" xfId="0" applyFont="1" applyBorder="1" applyAlignment="1">
      <alignment vertical="center" wrapText="1"/>
    </xf>
    <xf numFmtId="0" fontId="121" fillId="0" borderId="89" xfId="0" applyFont="1" applyBorder="1" applyAlignment="1">
      <alignment horizontal="left" vertical="top" wrapText="1"/>
    </xf>
    <xf numFmtId="0" fontId="121" fillId="0" borderId="90" xfId="0" applyFont="1" applyBorder="1" applyAlignment="1"/>
    <xf numFmtId="0" fontId="121" fillId="0" borderId="91" xfId="0" applyFont="1" applyBorder="1" applyAlignment="1"/>
    <xf numFmtId="0" fontId="121" fillId="0" borderId="7" xfId="0" applyFont="1" applyBorder="1" applyAlignment="1">
      <alignment horizontal="left" vertical="top" wrapText="1"/>
    </xf>
    <xf numFmtId="0" fontId="121" fillId="0" borderId="6" xfId="0" applyFont="1" applyBorder="1" applyAlignment="1"/>
    <xf numFmtId="0" fontId="121" fillId="0" borderId="92" xfId="0" applyFont="1" applyBorder="1" applyAlignment="1"/>
    <xf numFmtId="49" fontId="120" fillId="0" borderId="62" xfId="0" applyNumberFormat="1" applyFont="1" applyBorder="1" applyAlignment="1" applyProtection="1">
      <alignment vertical="center" wrapText="1"/>
      <protection locked="0"/>
    </xf>
    <xf numFmtId="0" fontId="121" fillId="0" borderId="69" xfId="0" applyFont="1" applyBorder="1" applyAlignment="1">
      <alignment vertical="center"/>
    </xf>
    <xf numFmtId="0" fontId="121" fillId="0" borderId="81" xfId="0" applyFont="1" applyBorder="1" applyAlignment="1">
      <alignment vertical="center"/>
    </xf>
    <xf numFmtId="0" fontId="116" fillId="0" borderId="24" xfId="0" applyFont="1" applyBorder="1" applyAlignment="1">
      <alignment horizontal="center" vertical="center" wrapText="1"/>
    </xf>
    <xf numFmtId="0" fontId="0" fillId="0" borderId="24" xfId="0" applyFont="1" applyBorder="1" applyAlignment="1">
      <alignment horizontal="center" vertical="center" wrapText="1"/>
    </xf>
    <xf numFmtId="0" fontId="116" fillId="0" borderId="63" xfId="0" applyFont="1" applyBorder="1" applyAlignment="1">
      <alignment horizontal="center" vertical="center"/>
    </xf>
    <xf numFmtId="0" fontId="116" fillId="0" borderId="41" xfId="0" applyFont="1" applyBorder="1" applyAlignment="1">
      <alignment horizontal="center" vertical="center"/>
    </xf>
    <xf numFmtId="0" fontId="116" fillId="0" borderId="17" xfId="0" applyFont="1" applyBorder="1" applyAlignment="1">
      <alignment horizontal="center" vertical="center"/>
    </xf>
    <xf numFmtId="0" fontId="116" fillId="0" borderId="22" xfId="0" applyFont="1" applyBorder="1" applyAlignment="1">
      <alignment horizontal="center" vertical="center" wrapText="1"/>
    </xf>
    <xf numFmtId="0" fontId="119" fillId="0" borderId="14" xfId="0" applyFont="1" applyBorder="1" applyAlignment="1">
      <alignment horizontal="center" vertical="center" wrapText="1"/>
    </xf>
    <xf numFmtId="0" fontId="0" fillId="0" borderId="45" xfId="0" applyFont="1" applyBorder="1" applyAlignment="1">
      <alignment horizontal="center" vertical="center"/>
    </xf>
    <xf numFmtId="0" fontId="0" fillId="0" borderId="65" xfId="0" applyFont="1" applyBorder="1" applyAlignment="1">
      <alignment vertical="center"/>
    </xf>
    <xf numFmtId="0" fontId="0" fillId="0" borderId="58" xfId="0" applyFont="1" applyBorder="1" applyAlignment="1">
      <alignment vertical="center"/>
    </xf>
    <xf numFmtId="0" fontId="0" fillId="0" borderId="61" xfId="0" applyFont="1" applyBorder="1" applyAlignment="1">
      <alignment vertical="center"/>
    </xf>
    <xf numFmtId="0" fontId="0" fillId="0" borderId="87" xfId="0" applyFont="1" applyBorder="1" applyAlignment="1">
      <alignment vertical="center"/>
    </xf>
    <xf numFmtId="0" fontId="0" fillId="0" borderId="88" xfId="0" applyFont="1" applyBorder="1" applyAlignment="1">
      <alignment vertical="center"/>
    </xf>
    <xf numFmtId="0" fontId="112" fillId="0" borderId="0" xfId="0" applyFont="1" applyBorder="1" applyAlignment="1">
      <alignment horizontal="left"/>
    </xf>
    <xf numFmtId="0" fontId="112" fillId="0" borderId="0" xfId="0" applyFont="1" applyBorder="1" applyAlignment="1">
      <alignment horizontal="left" vertical="center" wrapText="1"/>
    </xf>
    <xf numFmtId="0" fontId="114" fillId="0" borderId="0" xfId="0" applyFont="1" applyAlignment="1">
      <alignment horizontal="left"/>
    </xf>
    <xf numFmtId="0" fontId="112" fillId="0" borderId="0" xfId="0" applyFont="1" applyBorder="1" applyAlignment="1">
      <alignment horizontal="left" wrapText="1"/>
    </xf>
    <xf numFmtId="0" fontId="117" fillId="0" borderId="0" xfId="0" applyFont="1" applyBorder="1" applyAlignment="1">
      <alignment horizontal="left" wrapText="1"/>
    </xf>
    <xf numFmtId="0" fontId="112" fillId="0" borderId="0" xfId="0" applyFont="1" applyBorder="1" applyAlignment="1">
      <alignment horizontal="left" vertical="top" wrapText="1"/>
    </xf>
    <xf numFmtId="0" fontId="114" fillId="0" borderId="0" xfId="0" applyFont="1" applyAlignment="1">
      <alignment horizontal="left" vertical="top"/>
    </xf>
    <xf numFmtId="0" fontId="104" fillId="0" borderId="21" xfId="0" applyFont="1" applyBorder="1" applyAlignment="1">
      <alignment horizontal="center" vertical="center" wrapText="1"/>
    </xf>
    <xf numFmtId="0" fontId="116" fillId="0" borderId="14" xfId="0" applyFont="1" applyBorder="1" applyAlignment="1">
      <alignment horizontal="center" vertical="center" wrapText="1"/>
    </xf>
    <xf numFmtId="0" fontId="0" fillId="0" borderId="64" xfId="0" applyFont="1" applyBorder="1" applyAlignment="1">
      <alignment horizontal="center" vertical="center" wrapText="1"/>
    </xf>
  </cellXfs>
  <cellStyles count="5">
    <cellStyle name="Обычный" xfId="0" builtinId="0"/>
    <cellStyle name="Обычный 2" xfId="1"/>
    <cellStyle name="Обычный 2 2" xfId="2"/>
    <cellStyle name="Обычный 3" xfId="4"/>
    <cellStyle name="Финансовый" xfId="3" builtinId="3"/>
  </cellStyles>
  <dxfs count="137">
    <dxf>
      <font>
        <b/>
        <i/>
        <u/>
      </font>
    </dxf>
    <dxf>
      <font>
        <b/>
        <i/>
        <u/>
      </font>
    </dxf>
    <dxf>
      <font>
        <b/>
        <i/>
        <strike val="0"/>
        <u/>
      </font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</dxfs>
  <tableStyles count="0" defaultTableStyle="TableStyleMedium9" defaultPivotStyle="PivotStyleLight16"/>
  <colors>
    <mruColors>
      <color rgb="FF009242"/>
      <color rgb="FF00421E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6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5.xml"/><Relationship Id="rId27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43;&#1086;&#1088;&#1086;&#1076;/&#1057;&#1080;&#1084;&#1072;&#1085;&#1086;&#1074;&#1089;&#1082;&#1072;&#1103;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52;&#1072;&#1090;&#1074;&#1077;&#1081;/Desktop/&#1051;&#1077;&#1085;&#1072;/6%20&#1085;&#1086;&#1103;&#1073;&#1088;&#1103;/&#1048;&#1058;&#1054;&#1043;&#1054;&#1042;&#1067;&#1049;%20&#1055;&#1077;&#1088;&#1074;.&#1051;&#1077;&#1085;&#1080;&#1085;&#1089;&#1082;&#1086;&#1075;&#1086;%20&#1088;-&#1085;&#1072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52;&#1072;&#1090;&#1074;&#1077;&#1081;/Downloads/&#1043;&#1086;&#1088;&#1086;&#1076;/&#1057;&#1080;&#1084;&#1072;&#1085;&#1086;&#1074;&#1089;&#1082;&#1072;&#1103;.xlsm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52;&#1072;&#1090;&#1074;&#1077;&#1081;/Desktop/&#1051;&#1077;&#1085;&#1072;/7%20&#1085;&#1086;&#1103;&#1073;&#1088;&#1103;/&#1048;&#1058;&#1054;&#1043;&#1054;&#1042;&#1067;&#1049;%20&#1055;&#1064;%202025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ocuments/20180214-17_&#1055;&#1077;&#1088;&#1074;&#1077;&#1085;&#1089;&#1090;&#1074;&#1086;&#1050;&#1088;&#1072;&#1103;2005-2006/20180214-17_&#1055;&#1077;&#1088;&#1074;&#1077;&#1085;&#1089;&#1090;&#1074;&#1086;&#1050;&#1088;&#1072;&#1103;2005-2006-04.xlsm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aaaaa/&#1052;&#1086;&#1080;%20&#1076;&#1086;&#1082;&#1091;&#1084;&#1077;&#1085;&#1090;&#1099;/_2016/2016/20160516-19_&#1055;&#1077;&#1088;&#1074;&#1077;&#1085;&#1089;&#1090;&#1074;&#1086;&#1056;&#1060;_&#1084;&#1072;&#1088;&#1072;&#1092;&#1086;&#1085;_&#1050;&#1088;&#1086;&#1087;&#1086;&#1090;&#1082;&#1080;&#1085;/20160516-19_&#1055;&#1056;_&#1084;&#1072;&#1088;&#1072;&#1092;&#1086;&#1085;_&#1050;&#1088;&#1086;&#1087;&#1086;&#1090;&#1082;&#1080;&#1085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ехническая один зачет"/>
      <sheetName val="Именная заявка один зачет"/>
    </sheetNames>
    <sheetDataSet>
      <sheetData sheetId="0">
        <row r="16">
          <cell r="E16" t="str">
            <v>КСШ г. Ачинск</v>
          </cell>
        </row>
      </sheetData>
      <sheetData sheetId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тоговый"/>
      <sheetName val="Отчет_ЦСП"/>
      <sheetName val="СП_без предварительных"/>
      <sheetName val="СП_с предварительными"/>
      <sheetName val="Нормативы"/>
      <sheetName val="Очки"/>
      <sheetName val="Ст. секундометрист"/>
      <sheetName val="Ведомость 6"/>
      <sheetName val="Техническая один зачет"/>
      <sheetName val="Именная заявка один зачет"/>
      <sheetName val="Техническая по возраст группам"/>
      <sheetName val="Именная по возраст группам"/>
      <sheetName val="Техническая по возраст груп пар"/>
      <sheetName val="Именная по возраст группам пар"/>
      <sheetName val="Техническая_марафон"/>
      <sheetName val="Именная заявка марафон"/>
      <sheetName val="Техническая параллельный зачет"/>
      <sheetName val="Отчет_ГСК_Первенство"/>
      <sheetName val="Карточка эстафеты"/>
      <sheetName val="Дистанции взрослые"/>
      <sheetName val="Рекорды"/>
      <sheetName val="Протокол прохождения марафон"/>
      <sheetName val="Протокол_прохождения"/>
      <sheetName val="Грамоты_МИНСПОРТА"/>
      <sheetName val="нормы_с_28.02.20"/>
      <sheetName val="Нормы 2018-1921"/>
    </sheetNames>
    <sheetDataSet>
      <sheetData sheetId="0"/>
      <sheetData sheetId="1"/>
      <sheetData sheetId="2"/>
      <sheetData sheetId="3"/>
      <sheetData sheetId="4">
        <row r="27">
          <cell r="H27">
            <v>22</v>
          </cell>
        </row>
        <row r="28">
          <cell r="H28">
            <v>23.2</v>
          </cell>
        </row>
        <row r="29">
          <cell r="L29">
            <v>24.3</v>
          </cell>
        </row>
        <row r="30">
          <cell r="L30">
            <v>26</v>
          </cell>
        </row>
        <row r="31">
          <cell r="L31">
            <v>27.5</v>
          </cell>
        </row>
        <row r="32">
          <cell r="L32">
            <v>30.1</v>
          </cell>
        </row>
        <row r="33">
          <cell r="L33">
            <v>33</v>
          </cell>
        </row>
        <row r="34">
          <cell r="L34">
            <v>36</v>
          </cell>
        </row>
        <row r="35">
          <cell r="L35">
            <v>39</v>
          </cell>
        </row>
        <row r="38">
          <cell r="H38">
            <v>19.3</v>
          </cell>
        </row>
        <row r="39">
          <cell r="H39">
            <v>20.2</v>
          </cell>
        </row>
        <row r="40">
          <cell r="L40">
            <v>21</v>
          </cell>
        </row>
        <row r="41">
          <cell r="L41">
            <v>22.7</v>
          </cell>
        </row>
        <row r="42">
          <cell r="L42">
            <v>24.5</v>
          </cell>
        </row>
        <row r="43">
          <cell r="L43">
            <v>26.1</v>
          </cell>
        </row>
        <row r="44">
          <cell r="L44">
            <v>29.5</v>
          </cell>
        </row>
        <row r="45">
          <cell r="L45">
            <v>31.900000000000002</v>
          </cell>
        </row>
        <row r="46">
          <cell r="L46">
            <v>35</v>
          </cell>
        </row>
        <row r="49">
          <cell r="H49">
            <v>40</v>
          </cell>
        </row>
        <row r="50">
          <cell r="H50">
            <v>42</v>
          </cell>
        </row>
        <row r="51">
          <cell r="L51">
            <v>43.8</v>
          </cell>
        </row>
        <row r="52">
          <cell r="L52">
            <v>47</v>
          </cell>
        </row>
        <row r="53">
          <cell r="L53">
            <v>51</v>
          </cell>
        </row>
        <row r="54">
          <cell r="L54">
            <v>55.199999999999996</v>
          </cell>
        </row>
        <row r="55">
          <cell r="L55">
            <v>99.8</v>
          </cell>
        </row>
        <row r="56">
          <cell r="L56">
            <v>105.39999999999999</v>
          </cell>
        </row>
        <row r="57">
          <cell r="L57">
            <v>110.39999999999999</v>
          </cell>
        </row>
        <row r="60">
          <cell r="H60">
            <v>35.5</v>
          </cell>
        </row>
        <row r="61">
          <cell r="H61">
            <v>37.299999999999997</v>
          </cell>
        </row>
        <row r="62">
          <cell r="L62">
            <v>39</v>
          </cell>
        </row>
        <row r="63">
          <cell r="L63">
            <v>41.8</v>
          </cell>
        </row>
        <row r="64">
          <cell r="L64">
            <v>45.5</v>
          </cell>
        </row>
        <row r="65">
          <cell r="L65">
            <v>49.5</v>
          </cell>
        </row>
        <row r="66">
          <cell r="L66">
            <v>54.1</v>
          </cell>
        </row>
        <row r="67">
          <cell r="L67">
            <v>59</v>
          </cell>
        </row>
        <row r="68">
          <cell r="L68">
            <v>104</v>
          </cell>
        </row>
        <row r="115">
          <cell r="H115">
            <v>147</v>
          </cell>
        </row>
        <row r="116">
          <cell r="H116">
            <v>151</v>
          </cell>
        </row>
        <row r="117">
          <cell r="L117">
            <v>157</v>
          </cell>
        </row>
        <row r="118">
          <cell r="L118">
            <v>206.5</v>
          </cell>
        </row>
        <row r="119">
          <cell r="L119">
            <v>215.5</v>
          </cell>
        </row>
        <row r="120">
          <cell r="L120">
            <v>226.8</v>
          </cell>
        </row>
        <row r="121">
          <cell r="L121">
            <v>242</v>
          </cell>
        </row>
        <row r="122">
          <cell r="L122">
            <v>256</v>
          </cell>
        </row>
        <row r="123">
          <cell r="L123">
            <v>310</v>
          </cell>
        </row>
        <row r="126">
          <cell r="H126">
            <v>136.4</v>
          </cell>
        </row>
        <row r="127">
          <cell r="H127">
            <v>140.5</v>
          </cell>
        </row>
        <row r="128">
          <cell r="L128">
            <v>144.80000000000001</v>
          </cell>
        </row>
        <row r="129">
          <cell r="L129">
            <v>153.5</v>
          </cell>
        </row>
        <row r="130">
          <cell r="L130">
            <v>202.5</v>
          </cell>
        </row>
        <row r="131">
          <cell r="L131">
            <v>212.6</v>
          </cell>
        </row>
        <row r="132">
          <cell r="L132">
            <v>225.5</v>
          </cell>
        </row>
        <row r="133">
          <cell r="L133">
            <v>240</v>
          </cell>
        </row>
        <row r="134">
          <cell r="L134">
            <v>250</v>
          </cell>
        </row>
        <row r="137">
          <cell r="H137">
            <v>318</v>
          </cell>
        </row>
        <row r="138">
          <cell r="H138">
            <v>325.60000000000002</v>
          </cell>
        </row>
        <row r="139">
          <cell r="L139">
            <v>337</v>
          </cell>
        </row>
        <row r="140">
          <cell r="L140">
            <v>353</v>
          </cell>
        </row>
        <row r="141">
          <cell r="L141">
            <v>410</v>
          </cell>
        </row>
        <row r="142">
          <cell r="L142">
            <v>430</v>
          </cell>
        </row>
        <row r="143">
          <cell r="L143">
            <v>457</v>
          </cell>
        </row>
        <row r="144">
          <cell r="L144">
            <v>526</v>
          </cell>
        </row>
        <row r="145">
          <cell r="L145">
            <v>550</v>
          </cell>
        </row>
        <row r="148">
          <cell r="H148">
            <v>303</v>
          </cell>
        </row>
        <row r="149">
          <cell r="H149">
            <v>312.5</v>
          </cell>
        </row>
        <row r="150">
          <cell r="L150">
            <v>320</v>
          </cell>
        </row>
        <row r="151">
          <cell r="L151">
            <v>335.5</v>
          </cell>
        </row>
        <row r="152">
          <cell r="L152">
            <v>352.5</v>
          </cell>
        </row>
        <row r="153">
          <cell r="L153">
            <v>411.6</v>
          </cell>
        </row>
        <row r="154">
          <cell r="L154">
            <v>439.8</v>
          </cell>
        </row>
        <row r="155">
          <cell r="L155">
            <v>505.5</v>
          </cell>
        </row>
        <row r="156">
          <cell r="L156">
            <v>530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ехническая один зачет"/>
      <sheetName val="Именная заявка один зачет"/>
    </sheetNames>
    <sheetDataSet>
      <sheetData sheetId="0" refreshError="1">
        <row r="16">
          <cell r="E16" t="str">
            <v>КСШ г. Ачинск</v>
          </cell>
        </row>
      </sheetData>
      <sheetData sheetId="1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тоговый"/>
      <sheetName val="Отчет_ЦСП"/>
      <sheetName val="СП_без предварительных"/>
      <sheetName val="СП_с предварительными"/>
      <sheetName val="Нормативы"/>
      <sheetName val="Очки"/>
      <sheetName val="Ст. секундометрист"/>
      <sheetName val="Ведомость 6"/>
      <sheetName val="Техническая один зачет"/>
      <sheetName val="Именная заявка один зачет"/>
      <sheetName val="Техническая по возраст группам"/>
      <sheetName val="Именная по возраст группам"/>
      <sheetName val="Техническая по возраст груп пар"/>
      <sheetName val="Именная по возраст группам пар"/>
      <sheetName val="Техническая_марафон"/>
      <sheetName val="Именная заявка марафон"/>
      <sheetName val="Техническая параллельный зачет"/>
      <sheetName val="Отчет_ГСК_Первенство"/>
      <sheetName val="Карточка эстафеты"/>
      <sheetName val="Дистанции взрослые"/>
      <sheetName val="Рекорды"/>
      <sheetName val="Протокол прохождения марафон"/>
      <sheetName val="Протокол_прохождения"/>
      <sheetName val="Грамоты_МИНСПОРТА"/>
      <sheetName val="нормы_с_28.02.20"/>
      <sheetName val="Нормы 2018-1921"/>
    </sheetNames>
    <sheetDataSet>
      <sheetData sheetId="0"/>
      <sheetData sheetId="1"/>
      <sheetData sheetId="2"/>
      <sheetData sheetId="3"/>
      <sheetData sheetId="4">
        <row r="5">
          <cell r="H5">
            <v>18</v>
          </cell>
        </row>
        <row r="6">
          <cell r="H6">
            <v>18.7</v>
          </cell>
        </row>
        <row r="7">
          <cell r="L7">
            <v>19.5</v>
          </cell>
        </row>
        <row r="8">
          <cell r="L8">
            <v>20.8</v>
          </cell>
        </row>
        <row r="9">
          <cell r="L9">
            <v>22.7</v>
          </cell>
        </row>
        <row r="10">
          <cell r="L10">
            <v>24.5</v>
          </cell>
        </row>
        <row r="11">
          <cell r="L11">
            <v>26.8</v>
          </cell>
        </row>
        <row r="12">
          <cell r="L12">
            <v>29.3</v>
          </cell>
        </row>
        <row r="13">
          <cell r="L13">
            <v>32</v>
          </cell>
        </row>
        <row r="16">
          <cell r="H16">
            <v>15.8</v>
          </cell>
        </row>
        <row r="17">
          <cell r="H17">
            <v>16.7</v>
          </cell>
        </row>
        <row r="18">
          <cell r="L18">
            <v>17.3</v>
          </cell>
        </row>
        <row r="19">
          <cell r="L19">
            <v>18.3</v>
          </cell>
        </row>
        <row r="20">
          <cell r="L20">
            <v>19.899999999999999</v>
          </cell>
        </row>
        <row r="21">
          <cell r="L21">
            <v>21.6</v>
          </cell>
        </row>
        <row r="22">
          <cell r="L22">
            <v>23.8</v>
          </cell>
        </row>
        <row r="23">
          <cell r="L23">
            <v>26</v>
          </cell>
        </row>
        <row r="24">
          <cell r="L24">
            <v>28</v>
          </cell>
        </row>
        <row r="71">
          <cell r="H71">
            <v>47.9</v>
          </cell>
        </row>
        <row r="72">
          <cell r="H72">
            <v>50</v>
          </cell>
        </row>
        <row r="73">
          <cell r="L73">
            <v>53</v>
          </cell>
        </row>
        <row r="74">
          <cell r="L74">
            <v>56.8</v>
          </cell>
        </row>
        <row r="75">
          <cell r="L75">
            <v>101.4</v>
          </cell>
        </row>
        <row r="76">
          <cell r="L76">
            <v>107.2</v>
          </cell>
        </row>
        <row r="77">
          <cell r="L77">
            <v>112.8</v>
          </cell>
        </row>
        <row r="78">
          <cell r="L78">
            <v>118.8</v>
          </cell>
        </row>
        <row r="79">
          <cell r="L79">
            <v>125</v>
          </cell>
        </row>
        <row r="82">
          <cell r="H82">
            <v>43</v>
          </cell>
        </row>
        <row r="83">
          <cell r="H83">
            <v>44.4</v>
          </cell>
        </row>
        <row r="84">
          <cell r="L84">
            <v>46.9</v>
          </cell>
        </row>
        <row r="85">
          <cell r="L85">
            <v>50.5</v>
          </cell>
        </row>
        <row r="86">
          <cell r="L86">
            <v>55.5</v>
          </cell>
        </row>
        <row r="87">
          <cell r="L87">
            <v>100</v>
          </cell>
        </row>
        <row r="88">
          <cell r="L88">
            <v>105.3</v>
          </cell>
        </row>
        <row r="89">
          <cell r="L89">
            <v>111.3</v>
          </cell>
        </row>
        <row r="90">
          <cell r="L90">
            <v>117.8</v>
          </cell>
        </row>
        <row r="93">
          <cell r="H93">
            <v>130.69999999999999</v>
          </cell>
        </row>
        <row r="94">
          <cell r="H94">
            <v>133</v>
          </cell>
        </row>
        <row r="95">
          <cell r="L95">
            <v>140.30000000000001</v>
          </cell>
        </row>
        <row r="96">
          <cell r="L96">
            <v>146.5</v>
          </cell>
        </row>
        <row r="97">
          <cell r="L97">
            <v>155</v>
          </cell>
        </row>
        <row r="98">
          <cell r="L98">
            <v>205</v>
          </cell>
        </row>
        <row r="99">
          <cell r="L99">
            <v>218.8</v>
          </cell>
        </row>
        <row r="100">
          <cell r="L100">
            <v>229.8</v>
          </cell>
        </row>
        <row r="101">
          <cell r="L101">
            <v>239.8</v>
          </cell>
        </row>
        <row r="104">
          <cell r="H104">
            <v>122.5</v>
          </cell>
        </row>
        <row r="105">
          <cell r="H105">
            <v>126</v>
          </cell>
        </row>
        <row r="106">
          <cell r="L106">
            <v>130.5</v>
          </cell>
        </row>
        <row r="107">
          <cell r="L107">
            <v>137</v>
          </cell>
        </row>
        <row r="108">
          <cell r="L108">
            <v>146</v>
          </cell>
        </row>
        <row r="109">
          <cell r="L109">
            <v>154.6</v>
          </cell>
        </row>
        <row r="110">
          <cell r="L110">
            <v>206.5</v>
          </cell>
        </row>
        <row r="111">
          <cell r="L111">
            <v>218.3</v>
          </cell>
        </row>
        <row r="112">
          <cell r="L112">
            <v>229</v>
          </cell>
        </row>
        <row r="159">
          <cell r="H159">
            <v>348.9</v>
          </cell>
        </row>
        <row r="160">
          <cell r="H160">
            <v>359.5</v>
          </cell>
        </row>
        <row r="161">
          <cell r="L161">
            <v>412.6</v>
          </cell>
        </row>
        <row r="162">
          <cell r="L162">
            <v>428</v>
          </cell>
        </row>
        <row r="163">
          <cell r="L163">
            <v>446.5</v>
          </cell>
        </row>
        <row r="164">
          <cell r="L164">
            <v>506</v>
          </cell>
        </row>
        <row r="165">
          <cell r="L165">
            <v>530</v>
          </cell>
        </row>
        <row r="166">
          <cell r="L166">
            <v>558</v>
          </cell>
        </row>
        <row r="167">
          <cell r="L167">
            <v>626</v>
          </cell>
        </row>
        <row r="170">
          <cell r="H170">
            <v>332.4</v>
          </cell>
        </row>
        <row r="171">
          <cell r="H171">
            <v>342.5</v>
          </cell>
        </row>
        <row r="172">
          <cell r="L172">
            <v>353</v>
          </cell>
        </row>
        <row r="173">
          <cell r="L173">
            <v>407</v>
          </cell>
        </row>
        <row r="174">
          <cell r="L174">
            <v>425</v>
          </cell>
        </row>
        <row r="175">
          <cell r="L175">
            <v>445</v>
          </cell>
        </row>
        <row r="176">
          <cell r="L176">
            <v>507.5</v>
          </cell>
        </row>
        <row r="177">
          <cell r="L177">
            <v>530.5</v>
          </cell>
        </row>
        <row r="178">
          <cell r="L178">
            <v>558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тартовый протокол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тоговый протокол"/>
      <sheetName val="Отчет_ГСК_Первенство"/>
      <sheetName val="Стартовый протокол"/>
      <sheetName val="Техническая_марафон"/>
      <sheetName val="Нормативы"/>
      <sheetName val="Ведомость 6"/>
      <sheetName val="Очки"/>
      <sheetName val="Грамоты_МИНСПОРТА"/>
      <sheetName val="Протокол_прохождения"/>
      <sheetName val="Карточка эстафеты"/>
      <sheetName val="СП_без предварительных"/>
      <sheetName val="СП_с предварительными"/>
      <sheetName val="Техническая один зачет"/>
      <sheetName val="Именная заявка один зачет"/>
      <sheetName val="Техническая по возраст группам"/>
      <sheetName val="Именная по возраст группам"/>
      <sheetName val="Техническая параллельный зачет"/>
      <sheetName val="Именная параллельный зачет"/>
      <sheetName val="Дистанции взрослые"/>
      <sheetName val="Дистанции юниоры"/>
      <sheetName val="Дистанции старшие юноши"/>
      <sheetName val="Дистанции младшие юноши"/>
      <sheetName val="Рекорды"/>
      <sheetName val="Ст. секундометрист"/>
      <sheetName val="Нормы 2014"/>
    </sheetNames>
    <sheetDataSet>
      <sheetData sheetId="0">
        <row r="294">
          <cell r="F294" t="str">
            <v>Ярославская область</v>
          </cell>
        </row>
        <row r="300">
          <cell r="F300" t="str">
            <v>Тульская область</v>
          </cell>
        </row>
        <row r="304">
          <cell r="F304" t="str">
            <v>Челябинская область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99"/>
  <sheetViews>
    <sheetView view="pageLayout" zoomScale="107" zoomScalePageLayoutView="107" workbookViewId="0">
      <selection activeCell="A248" sqref="A248"/>
    </sheetView>
  </sheetViews>
  <sheetFormatPr defaultRowHeight="14.4" x14ac:dyDescent="0.3"/>
  <cols>
    <col min="1" max="1" width="3" style="948" customWidth="1"/>
    <col min="2" max="2" width="6.5546875" style="948" customWidth="1"/>
    <col min="3" max="3" width="17.33203125" style="948" customWidth="1"/>
    <col min="4" max="4" width="13.5546875" style="948" customWidth="1"/>
    <col min="5" max="5" width="12" style="948" customWidth="1"/>
    <col min="6" max="6" width="19" style="948" customWidth="1"/>
    <col min="7" max="7" width="3.88671875" style="948" customWidth="1"/>
    <col min="8" max="8" width="6.44140625" style="948" customWidth="1"/>
    <col min="9" max="9" width="11.5546875" style="948" customWidth="1"/>
    <col min="10" max="10" width="8.77734375" style="948" customWidth="1"/>
    <col min="11" max="11" width="5.109375" style="948" customWidth="1"/>
    <col min="12" max="14" width="0.6640625" style="948" customWidth="1"/>
    <col min="15" max="16384" width="8.88671875" style="948"/>
  </cols>
  <sheetData>
    <row r="1" spans="1:11" s="552" customFormat="1" x14ac:dyDescent="0.3">
      <c r="A1" s="1169" t="s">
        <v>1951</v>
      </c>
      <c r="B1" s="1169"/>
      <c r="C1" s="1169"/>
      <c r="D1" s="1169"/>
      <c r="E1" s="1169"/>
      <c r="F1" s="1169"/>
      <c r="G1" s="1169"/>
      <c r="H1" s="1169"/>
      <c r="I1" s="1169"/>
      <c r="J1" s="1169"/>
      <c r="K1" s="1169"/>
    </row>
    <row r="2" spans="1:11" s="552" customFormat="1" x14ac:dyDescent="0.3">
      <c r="A2" s="1169"/>
      <c r="B2" s="1169"/>
      <c r="C2" s="1169"/>
      <c r="D2" s="1169"/>
      <c r="E2" s="1169"/>
      <c r="F2" s="1169"/>
      <c r="G2" s="1169"/>
      <c r="H2" s="1169"/>
      <c r="I2" s="1169"/>
      <c r="J2" s="1169"/>
      <c r="K2" s="1169"/>
    </row>
    <row r="3" spans="1:11" s="552" customFormat="1" x14ac:dyDescent="0.3">
      <c r="A3" s="1169"/>
      <c r="B3" s="1169"/>
      <c r="C3" s="1169"/>
      <c r="D3" s="1169"/>
      <c r="E3" s="1169"/>
      <c r="F3" s="1169"/>
      <c r="G3" s="1169"/>
      <c r="H3" s="1169"/>
      <c r="I3" s="1169"/>
      <c r="J3" s="1169"/>
      <c r="K3" s="1169"/>
    </row>
    <row r="4" spans="1:11" s="552" customFormat="1" ht="12.75" customHeight="1" x14ac:dyDescent="0.3">
      <c r="A4" s="357"/>
      <c r="B4" s="1017"/>
      <c r="C4" s="1017"/>
      <c r="D4" s="355"/>
      <c r="E4" s="953"/>
      <c r="F4" s="1017"/>
      <c r="G4" s="1017"/>
      <c r="H4" s="353"/>
      <c r="I4" s="353"/>
      <c r="J4" s="355"/>
      <c r="K4" s="379"/>
    </row>
    <row r="5" spans="1:11" s="552" customFormat="1" ht="12.75" customHeight="1" x14ac:dyDescent="0.3">
      <c r="A5" s="357"/>
      <c r="B5" s="1017"/>
      <c r="C5" s="1017"/>
      <c r="D5" s="355"/>
      <c r="E5" s="953"/>
      <c r="F5" s="1017"/>
      <c r="G5" s="1017"/>
      <c r="H5" s="353"/>
      <c r="I5" s="353"/>
      <c r="J5" s="355"/>
      <c r="K5" s="379"/>
    </row>
    <row r="6" spans="1:11" s="552" customFormat="1" ht="12.75" customHeight="1" x14ac:dyDescent="0.3">
      <c r="A6" s="357"/>
      <c r="B6" s="1017"/>
      <c r="C6" s="1017"/>
      <c r="D6" s="355"/>
      <c r="E6" s="953"/>
      <c r="F6" s="1017"/>
      <c r="G6" s="1017"/>
      <c r="H6" s="353"/>
      <c r="I6" s="353"/>
      <c r="J6" s="355"/>
      <c r="K6" s="379"/>
    </row>
    <row r="7" spans="1:11" s="552" customFormat="1" ht="12.75" customHeight="1" x14ac:dyDescent="0.3">
      <c r="A7" s="357"/>
      <c r="B7" s="1017"/>
      <c r="C7" s="1017"/>
      <c r="D7" s="355"/>
      <c r="E7" s="953"/>
      <c r="F7" s="1017"/>
      <c r="G7" s="1017"/>
      <c r="H7" s="353"/>
      <c r="I7" s="353"/>
      <c r="J7" s="355"/>
      <c r="K7" s="379"/>
    </row>
    <row r="8" spans="1:11" s="552" customFormat="1" ht="12.75" customHeight="1" x14ac:dyDescent="0.3">
      <c r="A8" s="357"/>
      <c r="B8" s="1017"/>
      <c r="C8" s="1017"/>
      <c r="D8" s="355"/>
      <c r="E8" s="953"/>
      <c r="F8" s="1017"/>
      <c r="G8" s="1017"/>
      <c r="H8" s="353"/>
      <c r="I8" s="353"/>
      <c r="J8" s="355"/>
      <c r="K8" s="379"/>
    </row>
    <row r="9" spans="1:11" s="552" customFormat="1" ht="12.75" customHeight="1" x14ac:dyDescent="0.3">
      <c r="A9" s="357"/>
      <c r="B9" s="1017"/>
      <c r="C9" s="1017"/>
      <c r="D9" s="355"/>
      <c r="E9" s="953"/>
      <c r="F9" s="1017"/>
      <c r="G9" s="1017"/>
      <c r="H9" s="353"/>
      <c r="I9" s="353"/>
      <c r="J9" s="355"/>
      <c r="K9" s="379"/>
    </row>
    <row r="10" spans="1:11" s="552" customFormat="1" ht="12.75" customHeight="1" x14ac:dyDescent="0.3">
      <c r="A10" s="357"/>
      <c r="B10" s="1017"/>
      <c r="C10" s="1017"/>
      <c r="D10" s="355"/>
      <c r="E10" s="953"/>
      <c r="F10" s="1017"/>
      <c r="G10" s="1017"/>
      <c r="H10" s="353"/>
      <c r="I10" s="353"/>
      <c r="J10" s="355"/>
      <c r="K10" s="379"/>
    </row>
    <row r="11" spans="1:11" s="552" customFormat="1" ht="12.75" customHeight="1" x14ac:dyDescent="0.3">
      <c r="A11" s="1017"/>
      <c r="B11" s="1017"/>
      <c r="C11" s="1017"/>
      <c r="D11" s="1017"/>
      <c r="E11" s="1017"/>
      <c r="F11" s="1017"/>
      <c r="G11" s="1017"/>
      <c r="H11" s="1017"/>
      <c r="I11" s="1017"/>
      <c r="J11" s="1017"/>
      <c r="K11" s="1017"/>
    </row>
    <row r="12" spans="1:11" s="552" customFormat="1" ht="12.75" customHeight="1" x14ac:dyDescent="0.3">
      <c r="A12" s="1017"/>
      <c r="B12" s="1017"/>
      <c r="C12" s="1017"/>
      <c r="D12" s="1017"/>
      <c r="E12" s="1017"/>
      <c r="F12" s="1017"/>
      <c r="G12" s="1017"/>
      <c r="H12" s="1017"/>
      <c r="I12" s="1017"/>
      <c r="J12" s="1017"/>
      <c r="K12" s="1017"/>
    </row>
    <row r="13" spans="1:11" s="552" customFormat="1" ht="12.75" customHeight="1" x14ac:dyDescent="0.3">
      <c r="A13" s="1017"/>
      <c r="B13" s="1017"/>
      <c r="C13" s="1017"/>
      <c r="D13" s="1017"/>
      <c r="E13" s="1017"/>
      <c r="F13" s="1017"/>
      <c r="G13" s="1017"/>
      <c r="H13" s="1017"/>
      <c r="I13" s="1017"/>
      <c r="J13" s="1017"/>
      <c r="K13" s="1017"/>
    </row>
    <row r="14" spans="1:11" s="552" customFormat="1" ht="12.75" customHeight="1" x14ac:dyDescent="0.3">
      <c r="A14" s="1017"/>
      <c r="B14" s="1017"/>
      <c r="C14" s="1017"/>
      <c r="D14" s="1017"/>
      <c r="E14" s="1017"/>
      <c r="F14" s="1017"/>
      <c r="G14" s="1017"/>
      <c r="H14" s="1017"/>
      <c r="I14" s="1017"/>
      <c r="J14" s="1017"/>
      <c r="K14" s="1017"/>
    </row>
    <row r="15" spans="1:11" s="552" customFormat="1" ht="12.75" customHeight="1" x14ac:dyDescent="0.3">
      <c r="A15" s="1017"/>
      <c r="B15" s="1017"/>
      <c r="C15" s="1017"/>
      <c r="D15" s="1017"/>
      <c r="E15" s="1017"/>
      <c r="F15" s="1017"/>
      <c r="G15" s="1017"/>
      <c r="H15" s="1017"/>
      <c r="I15" s="1017"/>
      <c r="J15" s="1017"/>
      <c r="K15" s="1017"/>
    </row>
    <row r="16" spans="1:11" s="552" customFormat="1" ht="12.75" customHeight="1" x14ac:dyDescent="0.3">
      <c r="A16" s="357"/>
      <c r="B16" s="1017"/>
      <c r="C16" s="1017"/>
      <c r="D16" s="355"/>
      <c r="E16" s="953"/>
      <c r="F16" s="1017"/>
      <c r="G16" s="1017"/>
      <c r="H16" s="353"/>
      <c r="I16" s="353"/>
      <c r="J16" s="355"/>
      <c r="K16" s="379"/>
    </row>
    <row r="17" spans="1:15" s="552" customFormat="1" ht="12.75" customHeight="1" x14ac:dyDescent="0.3">
      <c r="A17" s="1017"/>
      <c r="B17" s="1017"/>
      <c r="C17" s="1017"/>
      <c r="D17" s="1017"/>
      <c r="E17" s="1017"/>
      <c r="F17" s="1017"/>
      <c r="G17" s="1017"/>
      <c r="H17" s="1017"/>
      <c r="I17" s="1017"/>
      <c r="J17" s="1017"/>
      <c r="K17" s="1017"/>
    </row>
    <row r="18" spans="1:15" s="552" customFormat="1" ht="12.75" customHeight="1" x14ac:dyDescent="0.3">
      <c r="A18" s="1017"/>
      <c r="B18" s="1017"/>
      <c r="C18" s="1017"/>
      <c r="D18" s="1017"/>
      <c r="E18" s="1017"/>
      <c r="F18" s="1017"/>
      <c r="G18" s="1017"/>
      <c r="H18" s="1017"/>
      <c r="I18" s="1017"/>
      <c r="J18" s="1017"/>
      <c r="K18" s="1017"/>
    </row>
    <row r="19" spans="1:15" s="552" customFormat="1" ht="12.75" customHeight="1" x14ac:dyDescent="0.3">
      <c r="A19" s="1017"/>
      <c r="B19" s="1017"/>
      <c r="C19" s="1017"/>
      <c r="D19" s="1017"/>
      <c r="E19" s="1017"/>
      <c r="F19" s="1017"/>
      <c r="G19" s="1017"/>
      <c r="H19" s="1017"/>
      <c r="I19" s="1017"/>
      <c r="J19" s="1017"/>
      <c r="K19" s="1017"/>
    </row>
    <row r="20" spans="1:15" s="552" customFormat="1" ht="12.75" customHeight="1" x14ac:dyDescent="0.3">
      <c r="A20" s="1017"/>
      <c r="B20" s="1017"/>
      <c r="C20" s="1017"/>
      <c r="D20" s="1017"/>
      <c r="E20" s="1017"/>
      <c r="F20" s="1017"/>
      <c r="G20" s="1017"/>
      <c r="H20" s="1017"/>
      <c r="I20" s="1017"/>
      <c r="J20" s="1017"/>
      <c r="K20" s="1017"/>
    </row>
    <row r="21" spans="1:15" s="552" customFormat="1" ht="16.5" customHeight="1" x14ac:dyDescent="0.3">
      <c r="A21" s="1017"/>
      <c r="B21" s="1017"/>
      <c r="C21" s="1017"/>
      <c r="D21" s="1017"/>
      <c r="E21" s="1017"/>
      <c r="F21" s="1017"/>
      <c r="G21" s="1017"/>
      <c r="H21" s="1017"/>
      <c r="I21" s="1017"/>
      <c r="J21" s="1017"/>
      <c r="K21" s="1017"/>
    </row>
    <row r="22" spans="1:15" s="552" customFormat="1" ht="36.6" customHeight="1" x14ac:dyDescent="0.3">
      <c r="A22" s="1061" t="s">
        <v>1956</v>
      </c>
      <c r="B22" s="1062"/>
      <c r="C22" s="1062"/>
      <c r="D22" s="1062"/>
      <c r="E22" s="1062"/>
      <c r="F22" s="1062"/>
      <c r="G22" s="1062"/>
      <c r="H22" s="1062"/>
      <c r="I22" s="1062"/>
      <c r="J22" s="1062"/>
      <c r="K22" s="1062"/>
      <c r="L22" s="961"/>
      <c r="M22" s="961"/>
      <c r="N22" s="1022"/>
      <c r="O22" s="236"/>
    </row>
    <row r="23" spans="1:15" s="552" customFormat="1" ht="23.4" customHeight="1" x14ac:dyDescent="0.3">
      <c r="A23" s="1170" t="s">
        <v>1397</v>
      </c>
      <c r="B23" s="1170"/>
      <c r="C23" s="1170"/>
      <c r="D23" s="1170"/>
      <c r="E23" s="1170"/>
      <c r="F23" s="1170"/>
      <c r="G23" s="1170"/>
      <c r="H23" s="1170"/>
      <c r="I23" s="1170"/>
      <c r="J23" s="1170"/>
      <c r="K23" s="1170"/>
    </row>
    <row r="24" spans="1:15" s="552" customFormat="1" ht="18" customHeight="1" x14ac:dyDescent="0.3">
      <c r="A24" s="1171"/>
      <c r="B24" s="1171"/>
      <c r="C24" s="1171"/>
      <c r="D24" s="1171"/>
      <c r="E24" s="1171"/>
      <c r="F24" s="1171"/>
      <c r="G24" s="1171"/>
      <c r="H24" s="1171"/>
      <c r="I24" s="1171"/>
      <c r="J24" s="1171"/>
      <c r="K24" s="1171"/>
    </row>
    <row r="25" spans="1:15" s="552" customFormat="1" ht="22.5" customHeight="1" x14ac:dyDescent="0.3">
      <c r="A25" s="1168"/>
      <c r="B25" s="1168"/>
      <c r="C25" s="1168"/>
      <c r="D25" s="1168"/>
      <c r="E25" s="1168"/>
      <c r="F25" s="1168"/>
      <c r="G25" s="1168"/>
      <c r="H25" s="1168"/>
      <c r="I25" s="1168"/>
      <c r="J25" s="1168"/>
      <c r="K25" s="1168"/>
    </row>
    <row r="26" spans="1:15" s="552" customFormat="1" ht="12.75" customHeight="1" x14ac:dyDescent="0.3">
      <c r="A26" s="357"/>
      <c r="B26" s="1017"/>
      <c r="C26" s="1017"/>
      <c r="D26" s="355"/>
      <c r="E26" s="953"/>
      <c r="F26" s="1017"/>
      <c r="G26" s="1017"/>
      <c r="H26" s="353"/>
      <c r="I26" s="353"/>
      <c r="J26" s="355"/>
      <c r="K26" s="379"/>
    </row>
    <row r="27" spans="1:15" s="552" customFormat="1" ht="12.75" customHeight="1" x14ac:dyDescent="0.3">
      <c r="A27" s="357"/>
      <c r="B27" s="1017"/>
      <c r="C27" s="1017"/>
      <c r="D27" s="355"/>
      <c r="E27" s="953"/>
      <c r="F27" s="1017"/>
      <c r="G27" s="1017"/>
      <c r="H27" s="353"/>
      <c r="I27" s="353"/>
      <c r="J27" s="355"/>
      <c r="K27" s="379"/>
    </row>
    <row r="28" spans="1:15" s="552" customFormat="1" ht="12.75" customHeight="1" x14ac:dyDescent="0.3">
      <c r="A28" s="357"/>
      <c r="B28" s="1017"/>
      <c r="C28" s="1017"/>
      <c r="D28" s="355"/>
      <c r="E28" s="953"/>
      <c r="F28" s="1017"/>
      <c r="G28" s="1017"/>
      <c r="H28" s="353"/>
      <c r="I28" s="353"/>
      <c r="J28" s="355"/>
      <c r="K28" s="379"/>
    </row>
    <row r="29" spans="1:15" s="552" customFormat="1" ht="12.75" customHeight="1" x14ac:dyDescent="0.3">
      <c r="A29" s="357"/>
      <c r="B29" s="1017"/>
      <c r="C29" s="1017"/>
      <c r="D29" s="355"/>
      <c r="E29" s="953"/>
      <c r="F29" s="1017"/>
      <c r="G29" s="1017"/>
      <c r="H29" s="353"/>
      <c r="I29" s="353"/>
      <c r="J29" s="355"/>
      <c r="K29" s="379"/>
    </row>
    <row r="30" spans="1:15" s="552" customFormat="1" ht="12.75" customHeight="1" x14ac:dyDescent="0.3">
      <c r="A30" s="357"/>
      <c r="B30" s="1017"/>
      <c r="C30" s="1017"/>
      <c r="D30" s="355"/>
      <c r="E30" s="953"/>
      <c r="F30" s="1017"/>
      <c r="G30" s="1017"/>
      <c r="H30" s="353"/>
      <c r="I30" s="353"/>
      <c r="J30" s="355"/>
      <c r="K30" s="379"/>
    </row>
    <row r="31" spans="1:15" s="552" customFormat="1" ht="12.75" customHeight="1" x14ac:dyDescent="0.3">
      <c r="A31" s="357"/>
      <c r="B31" s="1017"/>
      <c r="C31" s="1017"/>
      <c r="D31" s="355"/>
      <c r="E31" s="953"/>
      <c r="F31" s="1017"/>
      <c r="G31" s="1017"/>
      <c r="H31" s="353"/>
      <c r="I31" s="353"/>
      <c r="J31" s="355"/>
      <c r="K31" s="379"/>
    </row>
    <row r="32" spans="1:15" s="552" customFormat="1" ht="16.5" customHeight="1" x14ac:dyDescent="0.3">
      <c r="A32" s="357"/>
      <c r="B32" s="1017"/>
      <c r="C32" s="1017"/>
      <c r="D32" s="355"/>
      <c r="E32" s="953"/>
      <c r="F32" s="1017"/>
      <c r="G32" s="1017"/>
      <c r="H32" s="353"/>
      <c r="I32" s="353"/>
      <c r="J32" s="355"/>
      <c r="K32" s="379"/>
    </row>
    <row r="33" spans="1:13" s="552" customFormat="1" ht="16.5" customHeight="1" x14ac:dyDescent="0.3">
      <c r="A33" s="357"/>
      <c r="B33" s="1017"/>
      <c r="C33" s="1017"/>
      <c r="D33" s="355"/>
      <c r="E33" s="953"/>
      <c r="F33" s="1017"/>
      <c r="G33" s="1017"/>
      <c r="H33" s="353"/>
      <c r="I33" s="353"/>
      <c r="J33" s="355"/>
      <c r="K33" s="379"/>
    </row>
    <row r="34" spans="1:13" s="552" customFormat="1" ht="16.5" customHeight="1" x14ac:dyDescent="0.3">
      <c r="A34" s="357"/>
      <c r="B34" s="1017"/>
      <c r="C34" s="1017"/>
      <c r="D34" s="355"/>
      <c r="E34" s="953"/>
      <c r="F34" s="1017"/>
      <c r="G34" s="1017"/>
      <c r="H34" s="353"/>
      <c r="I34" s="353"/>
      <c r="J34" s="355"/>
      <c r="K34" s="379"/>
    </row>
    <row r="35" spans="1:13" s="552" customFormat="1" ht="12.75" customHeight="1" x14ac:dyDescent="0.3">
      <c r="A35" s="357"/>
      <c r="B35" s="1017"/>
      <c r="C35" s="1017"/>
      <c r="D35" s="355"/>
      <c r="E35" s="953"/>
      <c r="F35" s="1017"/>
      <c r="G35" s="1017"/>
      <c r="H35" s="353"/>
      <c r="I35" s="353"/>
      <c r="J35" s="355"/>
      <c r="K35" s="379"/>
    </row>
    <row r="36" spans="1:13" s="552" customFormat="1" ht="12.75" customHeight="1" x14ac:dyDescent="0.3">
      <c r="A36" s="357"/>
      <c r="B36" s="1017"/>
      <c r="C36" s="1017"/>
      <c r="D36" s="355"/>
      <c r="E36" s="953"/>
      <c r="F36" s="1017"/>
      <c r="G36" s="1017"/>
      <c r="H36" s="353"/>
      <c r="I36" s="353"/>
      <c r="J36" s="355"/>
      <c r="K36" s="379"/>
    </row>
    <row r="37" spans="1:13" s="552" customFormat="1" ht="12.75" customHeight="1" x14ac:dyDescent="0.3">
      <c r="A37" s="357"/>
      <c r="B37" s="1017"/>
      <c r="C37" s="1017"/>
      <c r="D37" s="355"/>
      <c r="E37" s="953"/>
      <c r="F37" s="1017"/>
      <c r="G37" s="1017"/>
      <c r="H37" s="353"/>
      <c r="I37" s="353"/>
      <c r="J37" s="355"/>
      <c r="K37" s="379"/>
    </row>
    <row r="38" spans="1:13" s="552" customFormat="1" ht="12.75" customHeight="1" x14ac:dyDescent="0.3">
      <c r="A38" s="357"/>
      <c r="B38" s="1017"/>
      <c r="C38" s="1017"/>
      <c r="D38" s="355"/>
      <c r="E38" s="953"/>
      <c r="F38" s="1017"/>
      <c r="G38" s="1017"/>
      <c r="H38" s="353"/>
      <c r="I38" s="353"/>
      <c r="J38" s="355"/>
      <c r="K38" s="379"/>
    </row>
    <row r="39" spans="1:13" s="552" customFormat="1" ht="12.75" customHeight="1" x14ac:dyDescent="0.3">
      <c r="A39" s="357"/>
      <c r="B39" s="1017"/>
      <c r="C39" s="1017"/>
      <c r="D39" s="355"/>
      <c r="E39" s="953"/>
      <c r="F39" s="1017"/>
      <c r="G39" s="1017"/>
      <c r="H39" s="353"/>
      <c r="I39" s="353"/>
      <c r="J39" s="355"/>
      <c r="K39" s="379"/>
    </row>
    <row r="40" spans="1:13" s="552" customFormat="1" ht="12.75" customHeight="1" x14ac:dyDescent="0.3">
      <c r="A40" s="357"/>
      <c r="B40" s="1017"/>
      <c r="C40" s="1017"/>
      <c r="D40" s="355"/>
      <c r="E40" s="953"/>
      <c r="F40" s="1017"/>
      <c r="G40" s="1017"/>
      <c r="H40" s="353"/>
      <c r="I40" s="353"/>
      <c r="J40" s="355"/>
      <c r="K40" s="379"/>
    </row>
    <row r="41" spans="1:13" s="552" customFormat="1" ht="12.75" customHeight="1" x14ac:dyDescent="0.3">
      <c r="A41" s="357"/>
      <c r="B41" s="1017"/>
      <c r="C41" s="1017"/>
      <c r="D41" s="355"/>
      <c r="E41" s="953"/>
      <c r="F41" s="1017"/>
      <c r="G41" s="1017"/>
      <c r="H41" s="353"/>
      <c r="I41" s="353"/>
      <c r="J41" s="355"/>
      <c r="K41" s="379"/>
    </row>
    <row r="42" spans="1:13" s="552" customFormat="1" ht="12.75" customHeight="1" x14ac:dyDescent="0.3">
      <c r="A42" s="357"/>
      <c r="B42" s="1017"/>
      <c r="C42" s="1017"/>
      <c r="D42" s="355"/>
      <c r="E42" s="953"/>
      <c r="F42" s="1017"/>
      <c r="G42" s="1017"/>
      <c r="H42" s="353"/>
      <c r="I42" s="353"/>
      <c r="J42" s="355"/>
      <c r="K42" s="379"/>
    </row>
    <row r="43" spans="1:13" s="552" customFormat="1" ht="12.75" customHeight="1" x14ac:dyDescent="0.3">
      <c r="A43" s="357"/>
      <c r="B43" s="1017"/>
      <c r="C43" s="1017"/>
      <c r="D43" s="355"/>
      <c r="E43" s="953"/>
      <c r="F43" s="1017"/>
      <c r="G43" s="1017"/>
      <c r="H43" s="353"/>
      <c r="I43" s="353"/>
      <c r="J43" s="355"/>
      <c r="K43" s="379"/>
    </row>
    <row r="44" spans="1:13" s="552" customFormat="1" ht="12.75" customHeight="1" x14ac:dyDescent="0.3">
      <c r="A44" s="137"/>
      <c r="B44" s="138"/>
      <c r="C44" s="139"/>
      <c r="D44" s="139"/>
      <c r="E44" s="139"/>
      <c r="F44" s="139"/>
      <c r="G44" s="139"/>
      <c r="H44" s="141"/>
      <c r="I44" s="138"/>
      <c r="J44" s="140"/>
    </row>
    <row r="45" spans="1:13" s="552" customFormat="1" ht="12.75" customHeight="1" x14ac:dyDescent="0.3">
      <c r="A45" s="137"/>
      <c r="B45" s="138"/>
      <c r="C45" s="139"/>
      <c r="D45" s="139"/>
      <c r="E45" s="139"/>
      <c r="F45" s="139"/>
      <c r="G45" s="139"/>
      <c r="H45" s="141"/>
      <c r="I45" s="138"/>
      <c r="J45" s="140"/>
    </row>
    <row r="46" spans="1:13" s="552" customFormat="1" ht="12.75" customHeight="1" x14ac:dyDescent="0.3">
      <c r="A46" s="137"/>
      <c r="B46" s="138"/>
      <c r="C46" s="139"/>
      <c r="D46" s="139"/>
      <c r="E46" s="139"/>
      <c r="F46" s="139"/>
      <c r="G46" s="139"/>
      <c r="H46" s="141"/>
      <c r="I46" s="138"/>
      <c r="J46" s="140"/>
    </row>
    <row r="47" spans="1:13" s="552" customFormat="1" ht="12.75" customHeight="1" x14ac:dyDescent="0.3">
      <c r="A47" s="357"/>
      <c r="B47" s="1017"/>
      <c r="C47" s="1178" t="s">
        <v>1953</v>
      </c>
      <c r="D47" s="1178"/>
      <c r="E47" s="1178"/>
      <c r="F47" s="1178"/>
      <c r="G47" s="1178"/>
      <c r="H47" s="1178"/>
      <c r="I47" s="1018"/>
      <c r="J47" s="1018"/>
      <c r="K47" s="553"/>
      <c r="L47" s="553"/>
      <c r="M47" s="553"/>
    </row>
    <row r="48" spans="1:13" s="552" customFormat="1" ht="12.75" customHeight="1" x14ac:dyDescent="0.3">
      <c r="A48" s="357"/>
      <c r="B48" s="1017"/>
      <c r="C48" s="1178"/>
      <c r="D48" s="1178"/>
      <c r="E48" s="1178"/>
      <c r="F48" s="1178"/>
      <c r="G48" s="1178"/>
      <c r="H48" s="1178"/>
      <c r="I48" s="1019"/>
      <c r="J48" s="1019"/>
      <c r="K48" s="1019"/>
      <c r="L48" s="1019"/>
      <c r="M48" s="1019"/>
    </row>
    <row r="49" spans="1:11" s="552" customFormat="1" ht="12.75" customHeight="1" x14ac:dyDescent="0.3">
      <c r="A49" s="357"/>
      <c r="B49" s="1017"/>
      <c r="C49" s="1017"/>
      <c r="D49" s="355"/>
      <c r="E49" s="953"/>
      <c r="F49" s="1017"/>
      <c r="G49" s="1017"/>
      <c r="H49" s="353"/>
      <c r="I49" s="353"/>
      <c r="J49" s="355"/>
      <c r="K49" s="379"/>
    </row>
    <row r="50" spans="1:11" ht="19.2" customHeight="1" x14ac:dyDescent="0.3">
      <c r="A50" s="1169" t="s">
        <v>1951</v>
      </c>
      <c r="B50" s="1169"/>
      <c r="C50" s="1169"/>
      <c r="D50" s="1169"/>
      <c r="E50" s="1169"/>
      <c r="F50" s="1169"/>
      <c r="G50" s="1169"/>
      <c r="H50" s="1169"/>
      <c r="I50" s="1169"/>
      <c r="J50" s="1169"/>
      <c r="K50" s="1169"/>
    </row>
    <row r="51" spans="1:11" ht="25.2" customHeight="1" x14ac:dyDescent="0.3">
      <c r="A51" s="1061" t="s">
        <v>1954</v>
      </c>
      <c r="B51" s="1062"/>
      <c r="C51" s="1062"/>
      <c r="D51" s="1062"/>
      <c r="E51" s="1062"/>
      <c r="F51" s="1062"/>
      <c r="G51" s="1062"/>
      <c r="H51" s="1062"/>
      <c r="I51" s="1062"/>
      <c r="J51" s="1062"/>
      <c r="K51" s="1062"/>
    </row>
    <row r="52" spans="1:11" ht="23.4" customHeight="1" x14ac:dyDescent="0.3">
      <c r="A52" s="1170" t="s">
        <v>1397</v>
      </c>
      <c r="B52" s="1170"/>
      <c r="C52" s="1170"/>
      <c r="D52" s="1170"/>
      <c r="E52" s="1170"/>
      <c r="F52" s="1170"/>
      <c r="G52" s="1170"/>
      <c r="H52" s="1170"/>
      <c r="I52" s="1170"/>
      <c r="J52" s="1170"/>
      <c r="K52" s="1170"/>
    </row>
    <row r="53" spans="1:11" ht="29.25" customHeight="1" x14ac:dyDescent="0.3">
      <c r="A53" s="1179" t="s">
        <v>1589</v>
      </c>
      <c r="B53" s="1179"/>
      <c r="C53" s="1179"/>
      <c r="D53" s="89"/>
      <c r="E53" s="85"/>
      <c r="F53" s="1180" t="s">
        <v>1398</v>
      </c>
      <c r="G53" s="1180"/>
      <c r="H53" s="1180"/>
      <c r="I53" s="1180"/>
      <c r="J53" s="1180"/>
      <c r="K53" s="1021"/>
    </row>
    <row r="54" spans="1:11" ht="20.25" customHeight="1" x14ac:dyDescent="0.3">
      <c r="A54" s="1181" t="s">
        <v>0</v>
      </c>
      <c r="B54" s="1181"/>
      <c r="C54" s="1181"/>
      <c r="D54" s="1181"/>
      <c r="E54" s="1181"/>
      <c r="F54" s="1181"/>
      <c r="G54" s="1181"/>
      <c r="H54" s="1181"/>
      <c r="I54" s="1181"/>
      <c r="J54" s="1181"/>
      <c r="K54" s="1181"/>
    </row>
    <row r="55" spans="1:11" ht="27" customHeight="1" x14ac:dyDescent="0.3">
      <c r="A55" s="10" t="s">
        <v>1</v>
      </c>
      <c r="B55" s="1172" t="s">
        <v>2</v>
      </c>
      <c r="C55" s="1172"/>
      <c r="D55" s="1173"/>
      <c r="E55" s="1174" t="s">
        <v>3</v>
      </c>
      <c r="F55" s="1172"/>
      <c r="G55" s="1172"/>
      <c r="H55" s="11" t="s">
        <v>4</v>
      </c>
      <c r="I55" s="1175" t="s">
        <v>5</v>
      </c>
      <c r="J55" s="1176"/>
      <c r="K55" s="1176"/>
    </row>
    <row r="56" spans="1:11" ht="9" customHeight="1" x14ac:dyDescent="0.3">
      <c r="A56" s="12"/>
      <c r="B56" s="12"/>
      <c r="C56" s="949"/>
      <c r="D56" s="949"/>
      <c r="E56" s="949"/>
      <c r="F56" s="12"/>
      <c r="G56" s="949"/>
      <c r="H56" s="949"/>
      <c r="I56" s="14"/>
      <c r="J56" s="949"/>
      <c r="K56" s="15"/>
    </row>
    <row r="57" spans="1:11" ht="15" customHeight="1" x14ac:dyDescent="0.3">
      <c r="A57" s="952">
        <v>1</v>
      </c>
      <c r="B57" s="955" t="s">
        <v>7</v>
      </c>
      <c r="C57" s="1039"/>
      <c r="D57" s="1039"/>
      <c r="E57" s="1177" t="s">
        <v>1952</v>
      </c>
      <c r="F57" s="1177"/>
      <c r="G57" s="956"/>
      <c r="H57" s="1040" t="s">
        <v>1042</v>
      </c>
      <c r="I57" s="1056" t="s">
        <v>1587</v>
      </c>
      <c r="J57" s="952"/>
      <c r="K57" s="952"/>
    </row>
    <row r="58" spans="1:11" ht="15" customHeight="1" x14ac:dyDescent="0.3">
      <c r="A58" s="952">
        <v>2</v>
      </c>
      <c r="B58" s="955" t="s">
        <v>8</v>
      </c>
      <c r="C58" s="952"/>
      <c r="D58" s="952"/>
      <c r="E58" s="1056" t="s">
        <v>1287</v>
      </c>
      <c r="F58" s="952"/>
      <c r="G58" s="957"/>
      <c r="H58" s="1040" t="s">
        <v>1041</v>
      </c>
      <c r="I58" s="1056" t="s">
        <v>926</v>
      </c>
      <c r="J58" s="952"/>
      <c r="K58" s="952"/>
    </row>
    <row r="59" spans="1:11" ht="14.4" customHeight="1" x14ac:dyDescent="0.3">
      <c r="A59" s="952">
        <v>3</v>
      </c>
      <c r="B59" s="1167" t="s">
        <v>1306</v>
      </c>
      <c r="C59" s="1167"/>
      <c r="D59" s="1167"/>
      <c r="E59" s="1056" t="s">
        <v>1957</v>
      </c>
      <c r="F59" s="957"/>
      <c r="G59" s="952"/>
      <c r="H59" s="1040"/>
      <c r="I59" s="1056" t="s">
        <v>1587</v>
      </c>
      <c r="J59" s="952"/>
      <c r="K59" s="952"/>
    </row>
    <row r="60" spans="1:11" ht="14.4" customHeight="1" x14ac:dyDescent="0.3">
      <c r="A60" s="952">
        <v>4</v>
      </c>
      <c r="B60" s="955" t="s">
        <v>10</v>
      </c>
      <c r="C60" s="952"/>
      <c r="D60" s="952"/>
      <c r="E60" s="1056" t="s">
        <v>1958</v>
      </c>
      <c r="F60" s="952"/>
      <c r="G60" s="957"/>
      <c r="H60" s="1040" t="s">
        <v>1042</v>
      </c>
      <c r="I60" s="1056" t="s">
        <v>926</v>
      </c>
      <c r="J60" s="952"/>
      <c r="K60" s="952"/>
    </row>
    <row r="61" spans="1:11" ht="15" customHeight="1" x14ac:dyDescent="0.3">
      <c r="A61" s="952">
        <v>5</v>
      </c>
      <c r="B61" s="955" t="s">
        <v>11</v>
      </c>
      <c r="C61" s="952"/>
      <c r="D61" s="952"/>
      <c r="E61" s="946" t="s">
        <v>1959</v>
      </c>
      <c r="F61" s="957"/>
      <c r="G61" s="952"/>
      <c r="H61" s="1040" t="s">
        <v>1960</v>
      </c>
      <c r="I61" s="1056" t="s">
        <v>926</v>
      </c>
      <c r="J61" s="952"/>
      <c r="K61" s="952"/>
    </row>
    <row r="62" spans="1:11" ht="15" customHeight="1" x14ac:dyDescent="0.3">
      <c r="A62" s="952">
        <v>6</v>
      </c>
      <c r="B62" s="955" t="s">
        <v>9</v>
      </c>
      <c r="C62" s="952"/>
      <c r="D62" s="947"/>
      <c r="E62" s="1056" t="s">
        <v>1963</v>
      </c>
      <c r="F62" s="956"/>
      <c r="G62" s="957"/>
      <c r="H62" s="1040" t="s">
        <v>1042</v>
      </c>
      <c r="I62" s="1056" t="s">
        <v>926</v>
      </c>
      <c r="J62" s="952"/>
      <c r="K62" s="952"/>
    </row>
    <row r="63" spans="1:11" ht="15" customHeight="1" x14ac:dyDescent="0.3">
      <c r="A63" s="952">
        <v>7</v>
      </c>
      <c r="B63" s="955" t="s">
        <v>14</v>
      </c>
      <c r="C63" s="952"/>
      <c r="D63" s="952"/>
      <c r="E63" s="1056" t="s">
        <v>1964</v>
      </c>
      <c r="F63" s="952"/>
      <c r="G63" s="957"/>
      <c r="H63" s="1040" t="s">
        <v>1042</v>
      </c>
      <c r="I63" s="1056" t="s">
        <v>926</v>
      </c>
      <c r="J63" s="952"/>
      <c r="K63" s="952"/>
    </row>
    <row r="64" spans="1:11" ht="15" customHeight="1" x14ac:dyDescent="0.3">
      <c r="A64" s="952">
        <v>8</v>
      </c>
      <c r="B64" s="955" t="s">
        <v>12</v>
      </c>
      <c r="C64" s="952"/>
      <c r="D64" s="952"/>
      <c r="E64" s="946" t="s">
        <v>1965</v>
      </c>
      <c r="F64" s="957"/>
      <c r="G64" s="1030"/>
      <c r="H64" s="1040" t="s">
        <v>1042</v>
      </c>
      <c r="I64" s="1056" t="s">
        <v>1966</v>
      </c>
      <c r="J64" s="952"/>
      <c r="K64" s="952"/>
    </row>
    <row r="65" spans="1:11" ht="15" customHeight="1" x14ac:dyDescent="0.3">
      <c r="A65" s="952">
        <v>9</v>
      </c>
      <c r="B65" s="955" t="s">
        <v>13</v>
      </c>
      <c r="C65" s="952"/>
      <c r="D65" s="952"/>
      <c r="E65" s="946" t="s">
        <v>1967</v>
      </c>
      <c r="F65" s="957"/>
      <c r="G65" s="957"/>
      <c r="H65" s="1040" t="s">
        <v>1968</v>
      </c>
      <c r="I65" s="1056" t="s">
        <v>926</v>
      </c>
      <c r="J65" s="952"/>
      <c r="K65" s="952"/>
    </row>
    <row r="66" spans="1:11" ht="15" customHeight="1" x14ac:dyDescent="0.3">
      <c r="A66" s="952">
        <v>10</v>
      </c>
      <c r="B66" s="943" t="s">
        <v>1288</v>
      </c>
      <c r="C66" s="1041"/>
      <c r="D66" s="1041"/>
      <c r="E66" s="946" t="s">
        <v>1969</v>
      </c>
      <c r="F66" s="1041"/>
      <c r="G66" s="957"/>
      <c r="H66" s="1040" t="s">
        <v>1042</v>
      </c>
      <c r="I66" s="1056" t="s">
        <v>926</v>
      </c>
      <c r="J66" s="952"/>
      <c r="K66" s="952"/>
    </row>
    <row r="67" spans="1:11" ht="15" customHeight="1" x14ac:dyDescent="0.3">
      <c r="A67" s="952">
        <v>11</v>
      </c>
      <c r="B67" s="943" t="s">
        <v>1307</v>
      </c>
      <c r="C67" s="952"/>
      <c r="D67" s="952"/>
      <c r="E67" s="946" t="s">
        <v>1961</v>
      </c>
      <c r="F67" s="957"/>
      <c r="G67" s="957"/>
      <c r="H67" s="1040" t="s">
        <v>1962</v>
      </c>
      <c r="I67" s="1056" t="s">
        <v>926</v>
      </c>
      <c r="J67" s="952"/>
      <c r="K67" s="952"/>
    </row>
    <row r="68" spans="1:11" ht="15" customHeight="1" x14ac:dyDescent="0.3">
      <c r="A68" s="952">
        <v>12</v>
      </c>
      <c r="B68" s="955" t="s">
        <v>15</v>
      </c>
      <c r="C68" s="952"/>
      <c r="D68" s="952"/>
      <c r="E68" s="946" t="s">
        <v>1970</v>
      </c>
      <c r="F68" s="957"/>
      <c r="G68" s="952"/>
      <c r="H68" s="1040" t="s">
        <v>1968</v>
      </c>
      <c r="I68" s="1056" t="s">
        <v>1587</v>
      </c>
      <c r="J68" s="952"/>
      <c r="K68" s="952"/>
    </row>
    <row r="69" spans="1:11" ht="15" customHeight="1" x14ac:dyDescent="0.3">
      <c r="A69" s="952">
        <v>13</v>
      </c>
      <c r="B69" s="955" t="s">
        <v>15</v>
      </c>
      <c r="C69" s="952"/>
      <c r="D69" s="952"/>
      <c r="E69" s="946" t="s">
        <v>1971</v>
      </c>
      <c r="F69" s="957"/>
      <c r="G69" s="957"/>
      <c r="H69" s="1040" t="s">
        <v>1960</v>
      </c>
      <c r="I69" s="1056" t="s">
        <v>1974</v>
      </c>
      <c r="J69" s="952"/>
      <c r="K69" s="952"/>
    </row>
    <row r="70" spans="1:11" ht="15" customHeight="1" x14ac:dyDescent="0.3">
      <c r="A70" s="952">
        <v>14</v>
      </c>
      <c r="B70" s="955" t="s">
        <v>15</v>
      </c>
      <c r="C70" s="952"/>
      <c r="D70" s="952"/>
      <c r="E70" s="946" t="s">
        <v>1972</v>
      </c>
      <c r="F70" s="957"/>
      <c r="G70" s="952"/>
      <c r="H70" s="1040" t="s">
        <v>1968</v>
      </c>
      <c r="I70" s="1056" t="s">
        <v>1587</v>
      </c>
      <c r="J70" s="952"/>
      <c r="K70" s="952"/>
    </row>
    <row r="71" spans="1:11" ht="15" customHeight="1" x14ac:dyDescent="0.3">
      <c r="A71" s="952">
        <v>15</v>
      </c>
      <c r="B71" s="955" t="s">
        <v>15</v>
      </c>
      <c r="C71" s="952"/>
      <c r="D71" s="952"/>
      <c r="E71" s="1056" t="s">
        <v>1973</v>
      </c>
      <c r="F71" s="952"/>
      <c r="G71" s="952"/>
      <c r="H71" s="1040" t="s">
        <v>1962</v>
      </c>
      <c r="I71" s="1056" t="s">
        <v>1966</v>
      </c>
      <c r="J71" s="952"/>
      <c r="K71" s="952"/>
    </row>
    <row r="72" spans="1:11" ht="15" customHeight="1" x14ac:dyDescent="0.3">
      <c r="A72" s="952">
        <v>16</v>
      </c>
      <c r="B72" s="955" t="s">
        <v>15</v>
      </c>
      <c r="C72" s="952"/>
      <c r="D72" s="952"/>
      <c r="E72" s="946" t="s">
        <v>1975</v>
      </c>
      <c r="F72" s="957"/>
      <c r="G72" s="947"/>
      <c r="H72" s="1040" t="s">
        <v>1968</v>
      </c>
      <c r="I72" s="1056" t="s">
        <v>1587</v>
      </c>
      <c r="J72" s="952"/>
      <c r="K72" s="952"/>
    </row>
    <row r="73" spans="1:11" ht="15" customHeight="1" x14ac:dyDescent="0.3">
      <c r="A73" s="952">
        <v>17</v>
      </c>
      <c r="B73" s="955" t="s">
        <v>15</v>
      </c>
      <c r="C73" s="952"/>
      <c r="D73" s="952"/>
      <c r="E73" s="946" t="s">
        <v>1976</v>
      </c>
      <c r="F73" s="952"/>
      <c r="G73" s="76"/>
      <c r="H73" s="1040" t="s">
        <v>1968</v>
      </c>
      <c r="I73" s="1056" t="s">
        <v>1587</v>
      </c>
      <c r="J73" s="952"/>
      <c r="K73" s="952"/>
    </row>
    <row r="74" spans="1:11" ht="15" customHeight="1" x14ac:dyDescent="0.3">
      <c r="A74" s="952">
        <v>18</v>
      </c>
      <c r="B74" s="955" t="s">
        <v>1588</v>
      </c>
      <c r="C74" s="952"/>
      <c r="D74" s="952"/>
      <c r="E74" s="946" t="s">
        <v>1977</v>
      </c>
      <c r="F74" s="1029"/>
      <c r="G74" s="76"/>
      <c r="H74" s="1040" t="s">
        <v>1968</v>
      </c>
      <c r="I74" s="1056" t="s">
        <v>926</v>
      </c>
      <c r="J74" s="76"/>
      <c r="K74" s="952"/>
    </row>
    <row r="75" spans="1:11" ht="15" customHeight="1" x14ac:dyDescent="0.3">
      <c r="A75" s="952">
        <v>19</v>
      </c>
      <c r="B75" s="955" t="s">
        <v>1588</v>
      </c>
      <c r="C75" s="952"/>
      <c r="D75" s="952"/>
      <c r="E75" s="1056" t="s">
        <v>1978</v>
      </c>
      <c r="F75" s="947"/>
      <c r="G75" s="946"/>
      <c r="H75" s="1040" t="s">
        <v>1968</v>
      </c>
      <c r="I75" s="1056" t="s">
        <v>1587</v>
      </c>
      <c r="J75" s="952"/>
      <c r="K75" s="5"/>
    </row>
    <row r="76" spans="1:11" ht="15" customHeight="1" x14ac:dyDescent="0.3">
      <c r="A76" s="952">
        <v>20</v>
      </c>
      <c r="B76" s="955" t="s">
        <v>1979</v>
      </c>
      <c r="C76" s="951"/>
      <c r="D76" s="1059"/>
      <c r="E76" s="1056" t="s">
        <v>1980</v>
      </c>
      <c r="F76" s="944"/>
      <c r="G76" s="951"/>
      <c r="H76" s="1040" t="s">
        <v>1968</v>
      </c>
      <c r="I76" s="1056" t="s">
        <v>1587</v>
      </c>
      <c r="J76" s="951"/>
      <c r="K76" s="952"/>
    </row>
    <row r="77" spans="1:11" ht="12.75" customHeight="1" x14ac:dyDescent="0.3">
      <c r="A77" s="952">
        <v>21</v>
      </c>
      <c r="B77" s="955" t="s">
        <v>1979</v>
      </c>
      <c r="C77" s="944"/>
      <c r="D77" s="938"/>
      <c r="E77" s="1056" t="s">
        <v>1981</v>
      </c>
      <c r="F77" s="944"/>
      <c r="G77" s="927"/>
      <c r="H77" s="1040" t="s">
        <v>1968</v>
      </c>
      <c r="I77" s="1056" t="s">
        <v>1587</v>
      </c>
      <c r="J77" s="951"/>
      <c r="K77" s="951"/>
    </row>
    <row r="78" spans="1:11" ht="15" customHeight="1" x14ac:dyDescent="0.3">
      <c r="A78" s="952">
        <v>22</v>
      </c>
      <c r="B78" s="955" t="s">
        <v>1982</v>
      </c>
      <c r="C78" s="951"/>
      <c r="D78" s="1059"/>
      <c r="E78" s="1056" t="s">
        <v>2065</v>
      </c>
      <c r="F78" s="952"/>
      <c r="G78" s="951"/>
      <c r="H78" s="1040" t="s">
        <v>1968</v>
      </c>
      <c r="I78" s="1065" t="s">
        <v>1587</v>
      </c>
      <c r="J78" s="951"/>
      <c r="K78" s="951"/>
    </row>
    <row r="79" spans="1:11" ht="15" customHeight="1" x14ac:dyDescent="0.3">
      <c r="A79" s="952">
        <v>23</v>
      </c>
      <c r="B79" s="955" t="s">
        <v>1983</v>
      </c>
      <c r="C79" s="951"/>
      <c r="D79" s="1059"/>
      <c r="E79" s="1056" t="s">
        <v>1984</v>
      </c>
      <c r="F79" s="957"/>
      <c r="G79" s="1057"/>
      <c r="H79" s="1040" t="s">
        <v>1968</v>
      </c>
      <c r="I79" s="1056" t="s">
        <v>1587</v>
      </c>
      <c r="J79" s="951"/>
      <c r="K79" s="951"/>
    </row>
    <row r="80" spans="1:11" ht="15" customHeight="1" x14ac:dyDescent="0.3">
      <c r="A80" s="952">
        <v>24</v>
      </c>
      <c r="B80" s="955" t="s">
        <v>1985</v>
      </c>
      <c r="C80" s="951"/>
      <c r="D80" s="1059"/>
      <c r="E80" s="946" t="s">
        <v>1986</v>
      </c>
      <c r="F80" s="957"/>
      <c r="G80" s="1057"/>
      <c r="H80" s="1040" t="s">
        <v>1968</v>
      </c>
      <c r="I80" s="1056" t="s">
        <v>1587</v>
      </c>
      <c r="J80" s="951"/>
      <c r="K80" s="951"/>
    </row>
    <row r="81" spans="1:11" ht="15" customHeight="1" x14ac:dyDescent="0.3">
      <c r="A81" s="952">
        <v>25</v>
      </c>
      <c r="B81" s="955" t="s">
        <v>1987</v>
      </c>
      <c r="C81" s="951"/>
      <c r="D81" s="1059"/>
      <c r="E81" s="1056" t="s">
        <v>1958</v>
      </c>
      <c r="F81" s="952"/>
      <c r="G81" s="951"/>
      <c r="H81" s="950" t="s">
        <v>1962</v>
      </c>
      <c r="I81" s="1056" t="s">
        <v>926</v>
      </c>
      <c r="J81" s="951"/>
      <c r="K81" s="951"/>
    </row>
    <row r="82" spans="1:11" ht="15" customHeight="1" x14ac:dyDescent="0.3">
      <c r="A82" s="951"/>
      <c r="B82" s="955"/>
      <c r="C82" s="951"/>
      <c r="D82" s="953"/>
      <c r="E82" s="946"/>
      <c r="F82" s="957"/>
      <c r="G82" s="1017"/>
      <c r="H82" s="950"/>
      <c r="I82" s="1016"/>
      <c r="J82" s="951"/>
      <c r="K82" s="951"/>
    </row>
    <row r="83" spans="1:11" ht="15" customHeight="1" x14ac:dyDescent="0.3">
      <c r="A83" s="951"/>
      <c r="B83" s="955"/>
      <c r="C83" s="951"/>
      <c r="D83" s="1066"/>
      <c r="E83" s="946"/>
      <c r="F83" s="957"/>
      <c r="G83" s="1068"/>
      <c r="H83" s="950"/>
      <c r="I83" s="1065"/>
      <c r="J83" s="951"/>
      <c r="K83" s="951"/>
    </row>
    <row r="84" spans="1:11" ht="15" customHeight="1" x14ac:dyDescent="0.3">
      <c r="A84" s="951"/>
      <c r="B84" s="955"/>
      <c r="C84" s="951"/>
      <c r="D84" s="1066"/>
      <c r="E84" s="946"/>
      <c r="F84" s="957"/>
      <c r="G84" s="1068"/>
      <c r="H84" s="950"/>
      <c r="I84" s="1065"/>
      <c r="J84" s="951"/>
      <c r="K84" s="951"/>
    </row>
    <row r="85" spans="1:11" ht="15" customHeight="1" x14ac:dyDescent="0.3">
      <c r="A85" s="951"/>
      <c r="B85" s="955"/>
      <c r="C85" s="951"/>
      <c r="D85" s="1066"/>
      <c r="E85" s="946"/>
      <c r="F85" s="957"/>
      <c r="G85" s="1068"/>
      <c r="H85" s="950"/>
      <c r="I85" s="1065"/>
      <c r="J85" s="951"/>
      <c r="K85" s="951"/>
    </row>
    <row r="86" spans="1:11" ht="15" customHeight="1" x14ac:dyDescent="0.3">
      <c r="A86" s="951"/>
      <c r="B86" s="955"/>
      <c r="C86" s="951"/>
      <c r="D86" s="1066"/>
      <c r="E86" s="946"/>
      <c r="F86" s="957"/>
      <c r="G86" s="1068"/>
      <c r="H86" s="950"/>
      <c r="I86" s="1065"/>
      <c r="J86" s="951"/>
      <c r="K86" s="951"/>
    </row>
    <row r="87" spans="1:11" ht="15" customHeight="1" x14ac:dyDescent="0.3">
      <c r="A87" s="951"/>
      <c r="B87" s="955"/>
      <c r="C87" s="951"/>
      <c r="D87" s="1066"/>
      <c r="E87" s="946"/>
      <c r="F87" s="957"/>
      <c r="G87" s="1068"/>
      <c r="H87" s="950"/>
      <c r="I87" s="1065"/>
      <c r="J87" s="951"/>
      <c r="K87" s="951"/>
    </row>
    <row r="88" spans="1:11" ht="15" customHeight="1" x14ac:dyDescent="0.3">
      <c r="A88" s="951"/>
      <c r="B88" s="955"/>
      <c r="C88" s="951"/>
      <c r="D88" s="1066"/>
      <c r="E88" s="946"/>
      <c r="F88" s="957"/>
      <c r="G88" s="1068"/>
      <c r="H88" s="950"/>
      <c r="I88" s="1065"/>
      <c r="J88" s="951"/>
      <c r="K88" s="951"/>
    </row>
    <row r="89" spans="1:11" ht="15" customHeight="1" x14ac:dyDescent="0.3">
      <c r="A89" s="951"/>
      <c r="B89" s="955"/>
      <c r="C89" s="951"/>
      <c r="D89" s="1066"/>
      <c r="E89" s="946"/>
      <c r="F89" s="957"/>
      <c r="G89" s="1068"/>
      <c r="H89" s="950"/>
      <c r="I89" s="1065"/>
      <c r="J89" s="951"/>
      <c r="K89" s="951"/>
    </row>
    <row r="90" spans="1:11" ht="15" customHeight="1" x14ac:dyDescent="0.3">
      <c r="A90" s="951"/>
      <c r="B90" s="955"/>
      <c r="C90" s="951"/>
      <c r="D90" s="1066"/>
      <c r="E90" s="946"/>
      <c r="F90" s="957"/>
      <c r="G90" s="1068"/>
      <c r="H90" s="950"/>
      <c r="I90" s="1065"/>
      <c r="J90" s="951"/>
      <c r="K90" s="951"/>
    </row>
    <row r="91" spans="1:11" ht="15" customHeight="1" x14ac:dyDescent="0.3">
      <c r="A91" s="951"/>
      <c r="B91" s="955"/>
      <c r="C91" s="951"/>
      <c r="D91" s="1066"/>
      <c r="E91" s="946"/>
      <c r="F91" s="957"/>
      <c r="G91" s="1068"/>
      <c r="H91" s="950"/>
      <c r="I91" s="1065"/>
      <c r="J91" s="951"/>
      <c r="K91" s="951"/>
    </row>
    <row r="92" spans="1:11" ht="15" customHeight="1" x14ac:dyDescent="0.3">
      <c r="A92" s="951"/>
      <c r="B92" s="955"/>
      <c r="C92" s="951"/>
      <c r="D92" s="1066"/>
      <c r="E92" s="946"/>
      <c r="F92" s="957"/>
      <c r="G92" s="1068"/>
      <c r="H92" s="950"/>
      <c r="I92" s="1065"/>
      <c r="J92" s="951"/>
      <c r="K92" s="951"/>
    </row>
    <row r="93" spans="1:11" ht="15" customHeight="1" x14ac:dyDescent="0.3">
      <c r="A93" s="951"/>
      <c r="B93" s="955"/>
      <c r="C93" s="951"/>
      <c r="D93" s="1066"/>
      <c r="E93" s="946"/>
      <c r="F93" s="957"/>
      <c r="G93" s="1068"/>
      <c r="H93" s="950"/>
      <c r="I93" s="1065"/>
      <c r="J93" s="951"/>
      <c r="K93" s="951"/>
    </row>
    <row r="94" spans="1:11" ht="15" customHeight="1" x14ac:dyDescent="0.3">
      <c r="A94" s="951"/>
      <c r="B94" s="955"/>
      <c r="C94" s="951"/>
      <c r="D94" s="1066"/>
      <c r="E94" s="946"/>
      <c r="F94" s="957"/>
      <c r="G94" s="1068"/>
      <c r="H94" s="950"/>
      <c r="I94" s="1065"/>
      <c r="J94" s="951"/>
      <c r="K94" s="951"/>
    </row>
    <row r="95" spans="1:11" ht="15" customHeight="1" x14ac:dyDescent="0.3">
      <c r="A95" s="951"/>
      <c r="B95" s="955"/>
      <c r="C95" s="951"/>
      <c r="D95" s="1066"/>
      <c r="E95" s="946"/>
      <c r="F95" s="957"/>
      <c r="G95" s="1068"/>
      <c r="H95" s="950"/>
      <c r="I95" s="1065"/>
      <c r="J95" s="951"/>
      <c r="K95" s="951"/>
    </row>
    <row r="96" spans="1:11" ht="15" customHeight="1" x14ac:dyDescent="0.3">
      <c r="A96" s="1169" t="s">
        <v>1951</v>
      </c>
      <c r="B96" s="1169"/>
      <c r="C96" s="1169"/>
      <c r="D96" s="1169"/>
      <c r="E96" s="1169"/>
      <c r="F96" s="1169"/>
      <c r="G96" s="1169"/>
      <c r="H96" s="1169"/>
      <c r="I96" s="1169"/>
      <c r="J96" s="1169"/>
      <c r="K96" s="1169"/>
    </row>
    <row r="97" spans="1:11" ht="24" customHeight="1" x14ac:dyDescent="0.3">
      <c r="A97" s="1061" t="s">
        <v>1954</v>
      </c>
      <c r="B97" s="1062"/>
      <c r="C97" s="1062"/>
      <c r="D97" s="1062"/>
      <c r="E97" s="1062"/>
      <c r="F97" s="1062"/>
      <c r="G97" s="1062"/>
      <c r="H97" s="1062"/>
      <c r="I97" s="1062"/>
      <c r="J97" s="1062"/>
      <c r="K97" s="1062"/>
    </row>
    <row r="98" spans="1:11" ht="19.8" customHeight="1" x14ac:dyDescent="0.3">
      <c r="A98" s="1170" t="s">
        <v>1397</v>
      </c>
      <c r="B98" s="1170"/>
      <c r="C98" s="1170"/>
      <c r="D98" s="1170"/>
      <c r="E98" s="1170"/>
      <c r="F98" s="1170"/>
      <c r="G98" s="1170"/>
      <c r="H98" s="1170"/>
      <c r="I98" s="1170"/>
      <c r="J98" s="1170"/>
      <c r="K98" s="1170"/>
    </row>
    <row r="99" spans="1:11" ht="15" customHeight="1" x14ac:dyDescent="0.3">
      <c r="A99" s="1200" t="s">
        <v>1589</v>
      </c>
      <c r="B99" s="1200"/>
      <c r="C99" s="1200"/>
      <c r="D99" s="1090"/>
      <c r="E99" s="1090"/>
      <c r="F99" s="1088"/>
      <c r="G99" s="1201" t="s">
        <v>1996</v>
      </c>
      <c r="H99" s="1201"/>
      <c r="I99" s="1201"/>
      <c r="J99" s="1201"/>
      <c r="K99" s="951"/>
    </row>
    <row r="100" spans="1:11" ht="22.8" customHeight="1" x14ac:dyDescent="0.3">
      <c r="A100" s="1198" t="s">
        <v>1997</v>
      </c>
      <c r="B100" s="1198"/>
      <c r="C100" s="1198"/>
      <c r="D100" s="1198"/>
      <c r="E100" s="1198"/>
      <c r="F100" s="1198"/>
      <c r="G100" s="1198"/>
      <c r="H100" s="1198"/>
      <c r="I100" s="1198"/>
      <c r="J100" s="1198"/>
      <c r="K100" s="951"/>
    </row>
    <row r="101" spans="1:11" ht="29.4" customHeight="1" x14ac:dyDescent="0.3">
      <c r="A101" s="1091" t="s">
        <v>1</v>
      </c>
      <c r="B101" s="1092" t="s">
        <v>16</v>
      </c>
      <c r="C101" s="1195" t="s">
        <v>1999</v>
      </c>
      <c r="D101" s="1196"/>
      <c r="E101" s="1092" t="s">
        <v>1998</v>
      </c>
      <c r="F101" s="1195" t="s">
        <v>17</v>
      </c>
      <c r="G101" s="1197"/>
      <c r="H101" s="1195" t="s">
        <v>18</v>
      </c>
      <c r="I101" s="1197"/>
      <c r="J101" s="1197"/>
      <c r="K101" s="951"/>
    </row>
    <row r="102" spans="1:11" ht="15" customHeight="1" x14ac:dyDescent="0.3">
      <c r="A102" s="951"/>
      <c r="B102" s="955"/>
      <c r="C102" s="951"/>
      <c r="D102" s="1066"/>
      <c r="E102" s="946"/>
      <c r="F102" s="957"/>
      <c r="G102" s="1068"/>
      <c r="H102" s="950"/>
      <c r="I102" s="1065"/>
      <c r="J102" s="951"/>
      <c r="K102" s="951"/>
    </row>
    <row r="103" spans="1:11" ht="15" customHeight="1" x14ac:dyDescent="0.3">
      <c r="A103" s="24"/>
      <c r="B103" s="1148"/>
      <c r="C103" s="22"/>
      <c r="D103" s="891"/>
      <c r="E103" s="7"/>
      <c r="F103" s="24"/>
      <c r="G103" s="22"/>
      <c r="H103" s="1082"/>
      <c r="I103" s="7"/>
      <c r="J103" s="22"/>
      <c r="K103" s="951"/>
    </row>
    <row r="104" spans="1:11" ht="15" customHeight="1" x14ac:dyDescent="0.35">
      <c r="A104" s="24"/>
      <c r="B104" s="1148"/>
      <c r="C104" s="22"/>
      <c r="D104" s="891"/>
      <c r="E104" s="7"/>
      <c r="F104" s="1155" t="s">
        <v>2005</v>
      </c>
      <c r="G104" s="1100"/>
      <c r="H104" s="1101"/>
      <c r="I104" s="1096"/>
      <c r="J104" s="22"/>
      <c r="K104" s="951"/>
    </row>
    <row r="105" spans="1:11" ht="15" customHeight="1" x14ac:dyDescent="0.3">
      <c r="A105" s="1028">
        <v>1</v>
      </c>
      <c r="B105" s="550" t="s">
        <v>25</v>
      </c>
      <c r="C105" s="550" t="s">
        <v>1773</v>
      </c>
      <c r="D105" s="551" t="s">
        <v>1760</v>
      </c>
      <c r="E105" s="1042">
        <v>42044</v>
      </c>
      <c r="F105" s="550" t="s">
        <v>1628</v>
      </c>
      <c r="G105" s="22"/>
      <c r="H105" s="1107" t="s">
        <v>2006</v>
      </c>
      <c r="I105" s="7"/>
      <c r="J105" s="22"/>
      <c r="K105" s="951"/>
    </row>
    <row r="106" spans="1:11" ht="15" customHeight="1" x14ac:dyDescent="0.3">
      <c r="A106" s="1028">
        <v>2</v>
      </c>
      <c r="B106" s="550" t="s">
        <v>25</v>
      </c>
      <c r="C106" s="551" t="s">
        <v>1626</v>
      </c>
      <c r="D106" s="890" t="s">
        <v>1627</v>
      </c>
      <c r="E106" s="1042">
        <v>42091</v>
      </c>
      <c r="F106" s="550" t="s">
        <v>1628</v>
      </c>
      <c r="G106" s="22"/>
      <c r="H106" s="1107" t="s">
        <v>2006</v>
      </c>
      <c r="I106" s="7"/>
      <c r="J106" s="22"/>
      <c r="K106" s="951"/>
    </row>
    <row r="107" spans="1:11" ht="15" customHeight="1" x14ac:dyDescent="0.3">
      <c r="A107" s="1028">
        <v>3</v>
      </c>
      <c r="B107" s="550" t="s">
        <v>25</v>
      </c>
      <c r="C107" s="550" t="s">
        <v>1761</v>
      </c>
      <c r="D107" s="551" t="s">
        <v>1725</v>
      </c>
      <c r="E107" s="1042">
        <v>42184</v>
      </c>
      <c r="F107" s="550" t="s">
        <v>1628</v>
      </c>
      <c r="G107" s="22"/>
      <c r="H107" s="1107" t="s">
        <v>2006</v>
      </c>
      <c r="I107" s="7"/>
      <c r="J107" s="22"/>
      <c r="K107" s="951"/>
    </row>
    <row r="108" spans="1:11" ht="15" customHeight="1" x14ac:dyDescent="0.3">
      <c r="A108" s="1028">
        <v>4</v>
      </c>
      <c r="B108" s="550" t="s">
        <v>25</v>
      </c>
      <c r="C108" s="550" t="s">
        <v>1765</v>
      </c>
      <c r="D108" s="551" t="s">
        <v>1766</v>
      </c>
      <c r="E108" s="1042">
        <v>42185</v>
      </c>
      <c r="F108" s="550" t="s">
        <v>1628</v>
      </c>
      <c r="G108" s="22"/>
      <c r="H108" s="1107" t="s">
        <v>2006</v>
      </c>
      <c r="I108" s="7"/>
      <c r="J108" s="22"/>
      <c r="K108" s="951"/>
    </row>
    <row r="109" spans="1:11" ht="15" customHeight="1" x14ac:dyDescent="0.3">
      <c r="A109" s="1028">
        <v>5</v>
      </c>
      <c r="B109" s="550" t="s">
        <v>25</v>
      </c>
      <c r="C109" s="551" t="s">
        <v>1631</v>
      </c>
      <c r="D109" s="890" t="s">
        <v>1613</v>
      </c>
      <c r="E109" s="1042">
        <v>42237</v>
      </c>
      <c r="F109" s="550" t="s">
        <v>1628</v>
      </c>
      <c r="G109" s="22"/>
      <c r="H109" s="1107" t="s">
        <v>2006</v>
      </c>
      <c r="I109" s="7"/>
      <c r="J109" s="22"/>
      <c r="K109" s="951"/>
    </row>
    <row r="110" spans="1:11" ht="15" customHeight="1" x14ac:dyDescent="0.3">
      <c r="A110" s="1028">
        <v>6</v>
      </c>
      <c r="B110" s="550" t="s">
        <v>25</v>
      </c>
      <c r="C110" s="551" t="s">
        <v>1635</v>
      </c>
      <c r="D110" s="890" t="s">
        <v>1636</v>
      </c>
      <c r="E110" s="1042">
        <v>42314</v>
      </c>
      <c r="F110" s="550" t="s">
        <v>1628</v>
      </c>
      <c r="G110" s="22"/>
      <c r="H110" s="1107" t="s">
        <v>2006</v>
      </c>
      <c r="I110" s="7"/>
      <c r="J110" s="22"/>
      <c r="K110" s="951"/>
    </row>
    <row r="111" spans="1:11" ht="15" customHeight="1" x14ac:dyDescent="0.3">
      <c r="A111" s="1028">
        <v>7</v>
      </c>
      <c r="B111" s="550" t="s">
        <v>25</v>
      </c>
      <c r="C111" s="550" t="s">
        <v>1738</v>
      </c>
      <c r="D111" s="551" t="s">
        <v>1739</v>
      </c>
      <c r="E111" s="1042">
        <v>42697</v>
      </c>
      <c r="F111" s="550" t="s">
        <v>1628</v>
      </c>
      <c r="G111" s="22"/>
      <c r="H111" s="1107" t="s">
        <v>2006</v>
      </c>
      <c r="I111" s="7"/>
      <c r="J111" s="22"/>
      <c r="K111" s="951"/>
    </row>
    <row r="112" spans="1:11" ht="15" customHeight="1" x14ac:dyDescent="0.3">
      <c r="A112" s="24"/>
      <c r="B112" s="1148"/>
      <c r="C112" s="22"/>
      <c r="D112" s="1100" t="s">
        <v>62</v>
      </c>
      <c r="E112" s="1088"/>
      <c r="F112" s="1087"/>
      <c r="G112" s="1100" t="s">
        <v>1958</v>
      </c>
      <c r="H112" s="1101"/>
      <c r="I112" s="1096"/>
      <c r="J112" s="300"/>
      <c r="K112" s="951"/>
    </row>
    <row r="113" spans="1:11" ht="15" customHeight="1" x14ac:dyDescent="0.3">
      <c r="A113" s="24"/>
      <c r="B113" s="1148"/>
      <c r="C113" s="22"/>
      <c r="D113" s="1100" t="s">
        <v>62</v>
      </c>
      <c r="E113" s="1100"/>
      <c r="F113" s="1102"/>
      <c r="G113" s="1100" t="s">
        <v>1961</v>
      </c>
      <c r="H113" s="1103"/>
      <c r="I113" s="1104"/>
      <c r="J113" s="300"/>
      <c r="K113" s="951"/>
    </row>
    <row r="114" spans="1:11" ht="15" customHeight="1" x14ac:dyDescent="0.3">
      <c r="A114" s="24"/>
      <c r="B114" s="1148"/>
      <c r="C114" s="22"/>
      <c r="D114" s="891"/>
      <c r="E114" s="7"/>
      <c r="F114" s="1105" t="s">
        <v>2008</v>
      </c>
      <c r="G114" s="1149"/>
      <c r="H114" s="1108"/>
      <c r="I114" s="7"/>
      <c r="J114" s="22"/>
      <c r="K114" s="951"/>
    </row>
    <row r="115" spans="1:11" ht="15" customHeight="1" x14ac:dyDescent="0.3">
      <c r="A115" s="24">
        <v>8</v>
      </c>
      <c r="B115" s="24" t="s">
        <v>25</v>
      </c>
      <c r="C115" s="550" t="s">
        <v>1637</v>
      </c>
      <c r="D115" s="7" t="s">
        <v>1649</v>
      </c>
      <c r="E115" s="1043">
        <v>42172</v>
      </c>
      <c r="F115" s="550" t="s">
        <v>1430</v>
      </c>
      <c r="G115" s="22"/>
      <c r="H115" s="1107" t="s">
        <v>2010</v>
      </c>
      <c r="I115" s="7"/>
      <c r="J115" s="22"/>
      <c r="K115" s="951"/>
    </row>
    <row r="116" spans="1:11" ht="15" customHeight="1" x14ac:dyDescent="0.3">
      <c r="A116" s="24">
        <v>9</v>
      </c>
      <c r="B116" s="550" t="s">
        <v>20</v>
      </c>
      <c r="C116" s="550" t="s">
        <v>1795</v>
      </c>
      <c r="D116" s="551" t="s">
        <v>1737</v>
      </c>
      <c r="E116" s="1042">
        <v>41686</v>
      </c>
      <c r="F116" s="550" t="s">
        <v>1430</v>
      </c>
      <c r="G116" s="22"/>
      <c r="H116" s="1107" t="s">
        <v>2010</v>
      </c>
      <c r="I116" s="7"/>
      <c r="J116" s="22"/>
      <c r="K116" s="951"/>
    </row>
    <row r="117" spans="1:11" ht="15" customHeight="1" x14ac:dyDescent="0.3">
      <c r="A117" s="24">
        <v>10</v>
      </c>
      <c r="B117" s="550" t="s">
        <v>35</v>
      </c>
      <c r="C117" s="550" t="s">
        <v>1800</v>
      </c>
      <c r="D117" s="551" t="s">
        <v>1792</v>
      </c>
      <c r="E117" s="1042">
        <v>41692</v>
      </c>
      <c r="F117" s="550" t="s">
        <v>1430</v>
      </c>
      <c r="G117" s="22"/>
      <c r="H117" s="1107" t="s">
        <v>2010</v>
      </c>
      <c r="I117" s="7"/>
      <c r="J117" s="22"/>
      <c r="K117" s="951"/>
    </row>
    <row r="118" spans="1:11" ht="15" customHeight="1" x14ac:dyDescent="0.3">
      <c r="A118" s="24">
        <v>11</v>
      </c>
      <c r="B118" s="24" t="s">
        <v>35</v>
      </c>
      <c r="C118" s="551" t="s">
        <v>1655</v>
      </c>
      <c r="D118" s="890" t="s">
        <v>1618</v>
      </c>
      <c r="E118" s="1043">
        <v>41777</v>
      </c>
      <c r="F118" s="550" t="s">
        <v>1430</v>
      </c>
      <c r="G118" s="22"/>
      <c r="H118" s="1107" t="s">
        <v>2010</v>
      </c>
      <c r="I118" s="7"/>
      <c r="J118" s="22"/>
      <c r="K118" s="951"/>
    </row>
    <row r="119" spans="1:11" ht="15" customHeight="1" x14ac:dyDescent="0.3">
      <c r="A119" s="24">
        <v>12</v>
      </c>
      <c r="B119" s="24" t="s">
        <v>35</v>
      </c>
      <c r="C119" s="551" t="s">
        <v>1647</v>
      </c>
      <c r="D119" s="890" t="s">
        <v>1595</v>
      </c>
      <c r="E119" s="1043">
        <v>41815</v>
      </c>
      <c r="F119" s="550" t="s">
        <v>1430</v>
      </c>
      <c r="G119" s="22"/>
      <c r="H119" s="1107" t="s">
        <v>2010</v>
      </c>
      <c r="I119" s="7"/>
      <c r="J119" s="22"/>
      <c r="K119" s="951"/>
    </row>
    <row r="120" spans="1:11" ht="15" customHeight="1" x14ac:dyDescent="0.3">
      <c r="A120" s="24">
        <v>13</v>
      </c>
      <c r="B120" s="550" t="s">
        <v>24</v>
      </c>
      <c r="C120" s="551" t="s">
        <v>1660</v>
      </c>
      <c r="D120" s="890" t="s">
        <v>1595</v>
      </c>
      <c r="E120" s="1043">
        <v>41845</v>
      </c>
      <c r="F120" s="550" t="s">
        <v>1430</v>
      </c>
      <c r="G120" s="22"/>
      <c r="H120" s="1107" t="s">
        <v>2010</v>
      </c>
      <c r="I120" s="7"/>
      <c r="J120" s="22"/>
      <c r="K120" s="951"/>
    </row>
    <row r="121" spans="1:11" ht="15" customHeight="1" x14ac:dyDescent="0.3">
      <c r="A121" s="24">
        <v>14</v>
      </c>
      <c r="B121" s="550" t="s">
        <v>25</v>
      </c>
      <c r="C121" s="550" t="s">
        <v>1741</v>
      </c>
      <c r="D121" s="551" t="s">
        <v>1742</v>
      </c>
      <c r="E121" s="1042">
        <v>42568</v>
      </c>
      <c r="F121" s="550" t="s">
        <v>1430</v>
      </c>
      <c r="G121" s="22"/>
      <c r="H121" s="1107" t="s">
        <v>2010</v>
      </c>
      <c r="I121" s="7"/>
      <c r="J121" s="22"/>
      <c r="K121" s="951"/>
    </row>
    <row r="122" spans="1:11" ht="15" customHeight="1" x14ac:dyDescent="0.3">
      <c r="A122" s="24">
        <v>15</v>
      </c>
      <c r="B122" s="550" t="s">
        <v>25</v>
      </c>
      <c r="C122" s="550" t="s">
        <v>1736</v>
      </c>
      <c r="D122" s="551" t="s">
        <v>1737</v>
      </c>
      <c r="E122" s="1042">
        <v>42590</v>
      </c>
      <c r="F122" s="550" t="s">
        <v>1430</v>
      </c>
      <c r="G122" s="22"/>
      <c r="H122" s="1107" t="s">
        <v>2010</v>
      </c>
      <c r="I122" s="7"/>
      <c r="J122" s="22"/>
      <c r="K122" s="951"/>
    </row>
    <row r="123" spans="1:11" ht="15" customHeight="1" x14ac:dyDescent="0.3">
      <c r="A123" s="24">
        <v>16</v>
      </c>
      <c r="B123" s="550" t="s">
        <v>20</v>
      </c>
      <c r="C123" s="550" t="s">
        <v>1756</v>
      </c>
      <c r="D123" s="551" t="s">
        <v>1757</v>
      </c>
      <c r="E123" s="1042">
        <v>42609</v>
      </c>
      <c r="F123" s="550" t="s">
        <v>1430</v>
      </c>
      <c r="G123" s="22"/>
      <c r="H123" s="1107" t="s">
        <v>2010</v>
      </c>
      <c r="I123" s="7"/>
      <c r="J123" s="22"/>
      <c r="K123" s="951"/>
    </row>
    <row r="124" spans="1:11" ht="15" customHeight="1" x14ac:dyDescent="0.3">
      <c r="A124" s="24">
        <v>17</v>
      </c>
      <c r="B124" s="550" t="s">
        <v>25</v>
      </c>
      <c r="C124" s="551" t="s">
        <v>1607</v>
      </c>
      <c r="D124" s="890" t="s">
        <v>1606</v>
      </c>
      <c r="E124" s="1043">
        <v>42641</v>
      </c>
      <c r="F124" s="550" t="s">
        <v>1430</v>
      </c>
      <c r="G124" s="22"/>
      <c r="H124" s="1107" t="s">
        <v>2010</v>
      </c>
      <c r="I124" s="7"/>
      <c r="J124" s="22"/>
      <c r="K124" s="951"/>
    </row>
    <row r="125" spans="1:11" ht="15" customHeight="1" x14ac:dyDescent="0.3">
      <c r="A125" s="24">
        <v>18</v>
      </c>
      <c r="B125" s="550" t="s">
        <v>25</v>
      </c>
      <c r="C125" s="550" t="s">
        <v>1726</v>
      </c>
      <c r="D125" s="551" t="s">
        <v>1727</v>
      </c>
      <c r="E125" s="1042">
        <v>42705</v>
      </c>
      <c r="F125" s="550" t="s">
        <v>1430</v>
      </c>
      <c r="G125" s="22"/>
      <c r="H125" s="1107" t="s">
        <v>2010</v>
      </c>
      <c r="I125" s="7"/>
      <c r="J125" s="22"/>
      <c r="K125" s="951"/>
    </row>
    <row r="126" spans="1:11" ht="15" customHeight="1" x14ac:dyDescent="0.3">
      <c r="A126" s="24">
        <v>19</v>
      </c>
      <c r="B126" s="550" t="s">
        <v>25</v>
      </c>
      <c r="C126" s="550" t="s">
        <v>1728</v>
      </c>
      <c r="D126" s="551" t="s">
        <v>1729</v>
      </c>
      <c r="E126" s="1042">
        <v>42889</v>
      </c>
      <c r="F126" s="550" t="s">
        <v>1430</v>
      </c>
      <c r="G126" s="22"/>
      <c r="H126" s="1107" t="s">
        <v>2010</v>
      </c>
      <c r="I126" s="7"/>
      <c r="J126" s="22"/>
      <c r="K126" s="951"/>
    </row>
    <row r="127" spans="1:11" ht="15" customHeight="1" x14ac:dyDescent="0.3">
      <c r="A127" s="24">
        <v>20</v>
      </c>
      <c r="B127" s="550" t="s">
        <v>25</v>
      </c>
      <c r="C127" s="550" t="s">
        <v>1753</v>
      </c>
      <c r="D127" s="551" t="s">
        <v>1746</v>
      </c>
      <c r="E127" s="1042">
        <v>42919</v>
      </c>
      <c r="F127" s="550" t="s">
        <v>1430</v>
      </c>
      <c r="G127" s="22"/>
      <c r="H127" s="1107" t="s">
        <v>2010</v>
      </c>
      <c r="I127" s="7"/>
      <c r="J127" s="22"/>
      <c r="K127" s="951"/>
    </row>
    <row r="128" spans="1:11" ht="15" customHeight="1" x14ac:dyDescent="0.3">
      <c r="A128" s="24">
        <v>21</v>
      </c>
      <c r="B128" s="550" t="s">
        <v>25</v>
      </c>
      <c r="C128" s="550" t="s">
        <v>1730</v>
      </c>
      <c r="D128" s="551" t="s">
        <v>1731</v>
      </c>
      <c r="E128" s="1042">
        <v>43045</v>
      </c>
      <c r="F128" s="550" t="s">
        <v>1430</v>
      </c>
      <c r="G128" s="22"/>
      <c r="H128" s="1107" t="s">
        <v>2010</v>
      </c>
      <c r="I128" s="7"/>
      <c r="J128" s="22"/>
      <c r="K128" s="951"/>
    </row>
    <row r="129" spans="1:11" ht="15" customHeight="1" x14ac:dyDescent="0.3">
      <c r="A129" s="24">
        <v>22</v>
      </c>
      <c r="B129" s="550" t="s">
        <v>25</v>
      </c>
      <c r="C129" s="550" t="s">
        <v>1751</v>
      </c>
      <c r="D129" s="551" t="s">
        <v>1752</v>
      </c>
      <c r="E129" s="1042">
        <v>43315</v>
      </c>
      <c r="F129" s="550" t="s">
        <v>1430</v>
      </c>
      <c r="G129" s="22"/>
      <c r="H129" s="1107" t="s">
        <v>2010</v>
      </c>
      <c r="I129" s="7"/>
      <c r="J129" s="22"/>
      <c r="K129" s="951"/>
    </row>
    <row r="130" spans="1:11" ht="15" customHeight="1" x14ac:dyDescent="0.3">
      <c r="A130" s="24">
        <v>23</v>
      </c>
      <c r="B130" s="550" t="s">
        <v>25</v>
      </c>
      <c r="C130" s="551" t="s">
        <v>1602</v>
      </c>
      <c r="D130" s="890" t="s">
        <v>1603</v>
      </c>
      <c r="E130" s="1043" t="s">
        <v>1604</v>
      </c>
      <c r="F130" s="550" t="s">
        <v>1430</v>
      </c>
      <c r="G130" s="22"/>
      <c r="H130" s="1107" t="s">
        <v>2010</v>
      </c>
      <c r="I130" s="7"/>
      <c r="J130" s="22"/>
      <c r="K130" s="951"/>
    </row>
    <row r="131" spans="1:11" ht="15" customHeight="1" x14ac:dyDescent="0.3">
      <c r="A131" s="24"/>
      <c r="B131" s="1148"/>
      <c r="C131" s="22"/>
      <c r="D131" s="1100" t="s">
        <v>62</v>
      </c>
      <c r="E131" s="1088"/>
      <c r="F131" s="1087"/>
      <c r="G131" s="1100" t="s">
        <v>1965</v>
      </c>
      <c r="H131" s="1101"/>
      <c r="I131" s="1096"/>
      <c r="J131" s="22"/>
      <c r="K131" s="951"/>
    </row>
    <row r="132" spans="1:11" ht="15" customHeight="1" x14ac:dyDescent="0.3">
      <c r="A132" s="24"/>
      <c r="B132" s="1148"/>
      <c r="C132" s="22"/>
      <c r="D132" s="891"/>
      <c r="E132" s="7"/>
      <c r="F132" s="24"/>
      <c r="G132" s="22"/>
      <c r="H132" s="1082"/>
      <c r="I132" s="7"/>
      <c r="J132" s="22"/>
      <c r="K132" s="951"/>
    </row>
    <row r="133" spans="1:11" ht="15" customHeight="1" x14ac:dyDescent="0.3">
      <c r="A133" s="24"/>
      <c r="B133" s="1148"/>
      <c r="C133" s="22"/>
      <c r="D133" s="891"/>
      <c r="E133" s="7"/>
      <c r="F133" s="1157" t="s">
        <v>2011</v>
      </c>
      <c r="G133" s="1108"/>
      <c r="H133" s="1150"/>
      <c r="I133" s="1151"/>
      <c r="J133" s="22"/>
      <c r="K133" s="951"/>
    </row>
    <row r="134" spans="1:11" ht="15" customHeight="1" x14ac:dyDescent="0.3">
      <c r="A134" s="24">
        <v>24</v>
      </c>
      <c r="B134" s="550" t="s">
        <v>24</v>
      </c>
      <c r="C134" s="551" t="s">
        <v>1911</v>
      </c>
      <c r="D134" s="890" t="s">
        <v>1603</v>
      </c>
      <c r="E134" s="1042">
        <v>41733</v>
      </c>
      <c r="F134" s="550" t="s">
        <v>1634</v>
      </c>
      <c r="G134" s="22"/>
      <c r="H134" s="1107" t="s">
        <v>2012</v>
      </c>
      <c r="I134" s="7"/>
      <c r="J134" s="22"/>
      <c r="K134" s="951"/>
    </row>
    <row r="135" spans="1:11" ht="15" customHeight="1" x14ac:dyDescent="0.3">
      <c r="A135" s="24">
        <v>25</v>
      </c>
      <c r="B135" s="550" t="s">
        <v>20</v>
      </c>
      <c r="C135" s="551" t="s">
        <v>1643</v>
      </c>
      <c r="D135" s="890" t="s">
        <v>1644</v>
      </c>
      <c r="E135" s="1042">
        <v>41824</v>
      </c>
      <c r="F135" s="550" t="s">
        <v>1634</v>
      </c>
      <c r="G135" s="22"/>
      <c r="H135" s="1107" t="s">
        <v>2012</v>
      </c>
      <c r="I135" s="7"/>
      <c r="J135" s="22"/>
      <c r="K135" s="951"/>
    </row>
    <row r="136" spans="1:11" ht="15" customHeight="1" x14ac:dyDescent="0.3">
      <c r="A136" s="24">
        <v>26</v>
      </c>
      <c r="B136" s="550" t="s">
        <v>35</v>
      </c>
      <c r="C136" s="550" t="s">
        <v>1938</v>
      </c>
      <c r="D136" s="551" t="s">
        <v>1737</v>
      </c>
      <c r="E136" s="1042">
        <v>42060</v>
      </c>
      <c r="F136" s="550" t="s">
        <v>1634</v>
      </c>
      <c r="G136" s="22"/>
      <c r="H136" s="1107" t="s">
        <v>2012</v>
      </c>
      <c r="I136" s="7"/>
      <c r="J136" s="22"/>
      <c r="K136" s="951"/>
    </row>
    <row r="137" spans="1:11" ht="15" customHeight="1" x14ac:dyDescent="0.3">
      <c r="A137" s="24">
        <v>27</v>
      </c>
      <c r="B137" s="550" t="s">
        <v>20</v>
      </c>
      <c r="C137" s="550" t="s">
        <v>1937</v>
      </c>
      <c r="D137" s="551" t="s">
        <v>1862</v>
      </c>
      <c r="E137" s="1042">
        <v>42068</v>
      </c>
      <c r="F137" s="550" t="s">
        <v>1634</v>
      </c>
      <c r="G137" s="22"/>
      <c r="H137" s="1107" t="s">
        <v>2012</v>
      </c>
      <c r="I137" s="7"/>
      <c r="J137" s="22"/>
      <c r="K137" s="951"/>
    </row>
    <row r="138" spans="1:11" ht="15" customHeight="1" x14ac:dyDescent="0.3">
      <c r="A138" s="24">
        <v>28</v>
      </c>
      <c r="B138" s="550" t="s">
        <v>20</v>
      </c>
      <c r="C138" s="550" t="s">
        <v>1790</v>
      </c>
      <c r="D138" s="551" t="s">
        <v>1739</v>
      </c>
      <c r="E138" s="1042">
        <v>42075</v>
      </c>
      <c r="F138" s="550" t="s">
        <v>1634</v>
      </c>
      <c r="G138" s="22"/>
      <c r="H138" s="1107" t="s">
        <v>2012</v>
      </c>
      <c r="I138" s="7"/>
      <c r="J138" s="22"/>
      <c r="K138" s="951"/>
    </row>
    <row r="139" spans="1:11" ht="15" customHeight="1" x14ac:dyDescent="0.3">
      <c r="A139" s="24">
        <v>29</v>
      </c>
      <c r="B139" s="550" t="s">
        <v>25</v>
      </c>
      <c r="C139" s="551" t="s">
        <v>1633</v>
      </c>
      <c r="D139" s="890" t="s">
        <v>1603</v>
      </c>
      <c r="E139" s="1042">
        <v>42078</v>
      </c>
      <c r="F139" s="550" t="s">
        <v>1634</v>
      </c>
      <c r="G139" s="22"/>
      <c r="H139" s="1107" t="s">
        <v>2012</v>
      </c>
      <c r="I139" s="7"/>
      <c r="J139" s="22"/>
      <c r="K139" s="951"/>
    </row>
    <row r="140" spans="1:11" ht="15" customHeight="1" x14ac:dyDescent="0.3">
      <c r="A140" s="24">
        <v>30</v>
      </c>
      <c r="B140" s="550" t="s">
        <v>35</v>
      </c>
      <c r="C140" s="550" t="s">
        <v>1922</v>
      </c>
      <c r="D140" s="551" t="s">
        <v>1729</v>
      </c>
      <c r="E140" s="1042">
        <v>42206</v>
      </c>
      <c r="F140" s="550" t="s">
        <v>1634</v>
      </c>
      <c r="G140" s="22"/>
      <c r="H140" s="1107" t="s">
        <v>2012</v>
      </c>
      <c r="I140" s="7"/>
      <c r="J140" s="22"/>
      <c r="K140" s="951"/>
    </row>
    <row r="141" spans="1:11" ht="15" customHeight="1" x14ac:dyDescent="0.3">
      <c r="A141" s="24">
        <v>31</v>
      </c>
      <c r="B141" s="550" t="s">
        <v>25</v>
      </c>
      <c r="C141" s="550" t="s">
        <v>1763</v>
      </c>
      <c r="D141" s="551" t="s">
        <v>1764</v>
      </c>
      <c r="E141" s="1042">
        <v>42299</v>
      </c>
      <c r="F141" s="550" t="s">
        <v>1634</v>
      </c>
      <c r="G141" s="22"/>
      <c r="H141" s="1107" t="s">
        <v>2012</v>
      </c>
      <c r="I141" s="7"/>
      <c r="J141" s="22"/>
      <c r="K141" s="951"/>
    </row>
    <row r="142" spans="1:11" ht="15" customHeight="1" x14ac:dyDescent="0.3">
      <c r="A142" s="24">
        <v>32</v>
      </c>
      <c r="B142" s="550" t="s">
        <v>25</v>
      </c>
      <c r="C142" s="550" t="s">
        <v>1722</v>
      </c>
      <c r="D142" s="551" t="s">
        <v>1723</v>
      </c>
      <c r="E142" s="1042">
        <v>42619</v>
      </c>
      <c r="F142" s="550" t="s">
        <v>1634</v>
      </c>
      <c r="G142" s="22"/>
      <c r="H142" s="1107" t="s">
        <v>2012</v>
      </c>
      <c r="I142" s="7"/>
      <c r="J142" s="22"/>
      <c r="K142" s="951"/>
    </row>
    <row r="143" spans="1:11" ht="15" customHeight="1" x14ac:dyDescent="0.3">
      <c r="A143" s="24">
        <v>33</v>
      </c>
      <c r="B143" s="550" t="s">
        <v>25</v>
      </c>
      <c r="C143" s="550" t="s">
        <v>1745</v>
      </c>
      <c r="D143" s="551" t="s">
        <v>1746</v>
      </c>
      <c r="E143" s="1042">
        <v>42717</v>
      </c>
      <c r="F143" s="550" t="s">
        <v>1634</v>
      </c>
      <c r="G143" s="22"/>
      <c r="H143" s="1107" t="s">
        <v>2012</v>
      </c>
      <c r="I143" s="7"/>
      <c r="J143" s="22"/>
      <c r="K143" s="951"/>
    </row>
    <row r="144" spans="1:11" ht="15" customHeight="1" x14ac:dyDescent="0.3">
      <c r="A144" s="24"/>
      <c r="B144" s="1148"/>
      <c r="C144" s="22"/>
      <c r="D144" s="891"/>
      <c r="E144" s="1100" t="s">
        <v>62</v>
      </c>
      <c r="F144" s="1088"/>
      <c r="G144" s="1087"/>
      <c r="H144" s="1100" t="s">
        <v>1952</v>
      </c>
      <c r="I144" s="1101"/>
      <c r="J144" s="1096"/>
      <c r="K144" s="951"/>
    </row>
    <row r="145" spans="1:11" ht="15" customHeight="1" x14ac:dyDescent="0.3">
      <c r="A145" s="24"/>
      <c r="B145" s="1148"/>
      <c r="C145" s="22"/>
      <c r="D145" s="891"/>
      <c r="E145" s="7"/>
      <c r="F145" s="24"/>
      <c r="G145" s="22"/>
      <c r="H145" s="1082"/>
      <c r="I145" s="7"/>
      <c r="J145" s="22"/>
      <c r="K145" s="951"/>
    </row>
    <row r="146" spans="1:11" ht="15" customHeight="1" x14ac:dyDescent="0.3">
      <c r="A146" s="24"/>
      <c r="B146" s="1148"/>
      <c r="C146" s="22"/>
      <c r="D146" s="891"/>
      <c r="E146" s="7"/>
      <c r="F146" s="1157" t="s">
        <v>2013</v>
      </c>
      <c r="G146" s="1165"/>
      <c r="H146" s="1166"/>
      <c r="I146" s="7"/>
      <c r="J146" s="22"/>
      <c r="K146" s="951"/>
    </row>
    <row r="147" spans="1:11" ht="15" customHeight="1" x14ac:dyDescent="0.3">
      <c r="A147" s="24">
        <v>34</v>
      </c>
      <c r="B147" s="550" t="s">
        <v>35</v>
      </c>
      <c r="C147" s="551" t="s">
        <v>1650</v>
      </c>
      <c r="D147" s="890" t="s">
        <v>1630</v>
      </c>
      <c r="E147" s="1042">
        <v>41679</v>
      </c>
      <c r="F147" s="550" t="s">
        <v>1596</v>
      </c>
      <c r="G147" s="22"/>
      <c r="H147" s="1107" t="s">
        <v>2014</v>
      </c>
      <c r="I147" s="7"/>
      <c r="J147" s="22"/>
      <c r="K147" s="951"/>
    </row>
    <row r="148" spans="1:11" ht="15" customHeight="1" x14ac:dyDescent="0.3">
      <c r="A148" s="24">
        <v>35</v>
      </c>
      <c r="B148" s="550" t="s">
        <v>21</v>
      </c>
      <c r="C148" s="550" t="s">
        <v>1788</v>
      </c>
      <c r="D148" s="551" t="s">
        <v>1789</v>
      </c>
      <c r="E148" s="1042">
        <v>41722</v>
      </c>
      <c r="F148" s="550" t="s">
        <v>1596</v>
      </c>
      <c r="G148" s="22"/>
      <c r="H148" s="1107" t="s">
        <v>2014</v>
      </c>
      <c r="I148" s="7"/>
      <c r="J148" s="22"/>
      <c r="K148" s="951"/>
    </row>
    <row r="149" spans="1:11" ht="15" customHeight="1" x14ac:dyDescent="0.3">
      <c r="A149" s="24">
        <v>36</v>
      </c>
      <c r="B149" s="550" t="s">
        <v>35</v>
      </c>
      <c r="C149" s="550" t="s">
        <v>1801</v>
      </c>
      <c r="D149" s="551" t="s">
        <v>1764</v>
      </c>
      <c r="E149" s="1042">
        <v>41797</v>
      </c>
      <c r="F149" s="550" t="s">
        <v>1596</v>
      </c>
      <c r="G149" s="22"/>
      <c r="H149" s="1107" t="s">
        <v>2014</v>
      </c>
      <c r="I149" s="7"/>
      <c r="J149" s="22"/>
      <c r="K149" s="951"/>
    </row>
    <row r="150" spans="1:11" ht="15" customHeight="1" x14ac:dyDescent="0.3">
      <c r="A150" s="24">
        <v>37</v>
      </c>
      <c r="B150" s="550" t="s">
        <v>23</v>
      </c>
      <c r="C150" s="551" t="s">
        <v>1662</v>
      </c>
      <c r="D150" s="890" t="s">
        <v>1657</v>
      </c>
      <c r="E150" s="1042">
        <v>41841</v>
      </c>
      <c r="F150" s="550" t="s">
        <v>1596</v>
      </c>
      <c r="G150" s="22"/>
      <c r="H150" s="1107" t="s">
        <v>2014</v>
      </c>
      <c r="I150" s="7"/>
      <c r="J150" s="22"/>
      <c r="K150" s="951"/>
    </row>
    <row r="151" spans="1:11" ht="15" customHeight="1" x14ac:dyDescent="0.3">
      <c r="A151" s="24">
        <v>38</v>
      </c>
      <c r="B151" s="550" t="s">
        <v>35</v>
      </c>
      <c r="C151" s="551" t="s">
        <v>1646</v>
      </c>
      <c r="D151" s="890" t="s">
        <v>1613</v>
      </c>
      <c r="E151" s="1042">
        <v>41925</v>
      </c>
      <c r="F151" s="550" t="s">
        <v>1596</v>
      </c>
      <c r="G151" s="22"/>
      <c r="H151" s="1107" t="s">
        <v>2014</v>
      </c>
      <c r="I151" s="7"/>
      <c r="J151" s="22"/>
      <c r="K151" s="951"/>
    </row>
    <row r="152" spans="1:11" ht="15" customHeight="1" x14ac:dyDescent="0.3">
      <c r="A152" s="24">
        <v>39</v>
      </c>
      <c r="B152" s="550" t="s">
        <v>25</v>
      </c>
      <c r="C152" s="551" t="s">
        <v>1629</v>
      </c>
      <c r="D152" s="890" t="s">
        <v>1630</v>
      </c>
      <c r="E152" s="1042">
        <v>41954</v>
      </c>
      <c r="F152" s="550" t="s">
        <v>1596</v>
      </c>
      <c r="G152" s="22"/>
      <c r="H152" s="1107" t="s">
        <v>2014</v>
      </c>
      <c r="I152" s="7"/>
      <c r="J152" s="22"/>
      <c r="K152" s="951"/>
    </row>
    <row r="153" spans="1:11" ht="15" customHeight="1" x14ac:dyDescent="0.3">
      <c r="A153" s="24">
        <v>40</v>
      </c>
      <c r="B153" s="550" t="s">
        <v>25</v>
      </c>
      <c r="C153" s="550" t="s">
        <v>1759</v>
      </c>
      <c r="D153" s="551" t="s">
        <v>1760</v>
      </c>
      <c r="E153" s="1042">
        <v>41994</v>
      </c>
      <c r="F153" s="550" t="s">
        <v>1596</v>
      </c>
      <c r="G153" s="22"/>
      <c r="H153" s="1107" t="s">
        <v>2014</v>
      </c>
      <c r="I153" s="7"/>
      <c r="J153" s="22"/>
      <c r="K153" s="951"/>
    </row>
    <row r="154" spans="1:11" ht="15" customHeight="1" x14ac:dyDescent="0.3">
      <c r="A154" s="24">
        <v>41</v>
      </c>
      <c r="B154" s="550" t="s">
        <v>25</v>
      </c>
      <c r="C154" s="550" t="s">
        <v>1769</v>
      </c>
      <c r="D154" s="551" t="s">
        <v>1752</v>
      </c>
      <c r="E154" s="1042">
        <v>42021</v>
      </c>
      <c r="F154" s="550" t="s">
        <v>1596</v>
      </c>
      <c r="G154" s="22"/>
      <c r="H154" s="1107" t="s">
        <v>2014</v>
      </c>
      <c r="I154" s="7"/>
      <c r="J154" s="22"/>
      <c r="K154" s="951"/>
    </row>
    <row r="155" spans="1:11" ht="15" customHeight="1" x14ac:dyDescent="0.3">
      <c r="A155" s="24">
        <v>42</v>
      </c>
      <c r="B155" s="550" t="s">
        <v>25</v>
      </c>
      <c r="C155" s="550" t="s">
        <v>1770</v>
      </c>
      <c r="D155" s="551" t="s">
        <v>1742</v>
      </c>
      <c r="E155" s="1042">
        <v>42065</v>
      </c>
      <c r="F155" s="550" t="s">
        <v>1596</v>
      </c>
      <c r="G155" s="22"/>
      <c r="H155" s="1107" t="s">
        <v>2014</v>
      </c>
      <c r="I155" s="7"/>
      <c r="J155" s="22"/>
      <c r="K155" s="951"/>
    </row>
    <row r="156" spans="1:11" ht="15" customHeight="1" x14ac:dyDescent="0.3">
      <c r="A156" s="24">
        <v>43</v>
      </c>
      <c r="B156" s="550" t="s">
        <v>35</v>
      </c>
      <c r="C156" s="551" t="s">
        <v>1645</v>
      </c>
      <c r="D156" s="890" t="s">
        <v>1612</v>
      </c>
      <c r="E156" s="1042">
        <v>42175</v>
      </c>
      <c r="F156" s="550" t="s">
        <v>1596</v>
      </c>
      <c r="G156" s="22"/>
      <c r="H156" s="1107" t="s">
        <v>2014</v>
      </c>
      <c r="I156" s="7"/>
      <c r="J156" s="22"/>
      <c r="K156" s="951"/>
    </row>
    <row r="157" spans="1:11" ht="15" customHeight="1" x14ac:dyDescent="0.3">
      <c r="A157" s="24">
        <v>44</v>
      </c>
      <c r="B157" s="550" t="s">
        <v>21</v>
      </c>
      <c r="C157" s="550" t="s">
        <v>1774</v>
      </c>
      <c r="D157" s="551" t="s">
        <v>1775</v>
      </c>
      <c r="E157" s="1042">
        <v>42218</v>
      </c>
      <c r="F157" s="550" t="s">
        <v>1596</v>
      </c>
      <c r="G157" s="22"/>
      <c r="H157" s="1107" t="s">
        <v>2014</v>
      </c>
      <c r="I157" s="7"/>
      <c r="J157" s="22"/>
      <c r="K157" s="951"/>
    </row>
    <row r="158" spans="1:11" ht="15" customHeight="1" x14ac:dyDescent="0.3">
      <c r="A158" s="24">
        <v>45</v>
      </c>
      <c r="B158" s="550" t="s">
        <v>20</v>
      </c>
      <c r="C158" s="551" t="s">
        <v>1641</v>
      </c>
      <c r="D158" s="890" t="s">
        <v>1642</v>
      </c>
      <c r="E158" s="1042">
        <v>42224</v>
      </c>
      <c r="F158" s="550" t="s">
        <v>1596</v>
      </c>
      <c r="G158" s="22"/>
      <c r="H158" s="1107" t="s">
        <v>2014</v>
      </c>
      <c r="I158" s="7"/>
      <c r="J158" s="22"/>
      <c r="K158" s="951"/>
    </row>
    <row r="159" spans="1:11" ht="15" customHeight="1" x14ac:dyDescent="0.3">
      <c r="A159" s="24">
        <v>46</v>
      </c>
      <c r="B159" s="550" t="s">
        <v>25</v>
      </c>
      <c r="C159" s="550" t="s">
        <v>1762</v>
      </c>
      <c r="D159" s="551" t="s">
        <v>1737</v>
      </c>
      <c r="E159" s="1042">
        <v>42312</v>
      </c>
      <c r="F159" s="550" t="s">
        <v>1596</v>
      </c>
      <c r="G159" s="22"/>
      <c r="H159" s="1107" t="s">
        <v>2014</v>
      </c>
      <c r="I159" s="7"/>
      <c r="J159" s="22"/>
      <c r="K159" s="951"/>
    </row>
    <row r="160" spans="1:11" ht="15" customHeight="1" x14ac:dyDescent="0.3">
      <c r="A160" s="24">
        <v>47</v>
      </c>
      <c r="B160" s="550" t="s">
        <v>21</v>
      </c>
      <c r="C160" s="550" t="s">
        <v>1772</v>
      </c>
      <c r="D160" s="551" t="s">
        <v>1764</v>
      </c>
      <c r="E160" s="1042">
        <v>42315</v>
      </c>
      <c r="F160" s="550" t="s">
        <v>1596</v>
      </c>
      <c r="G160" s="22"/>
      <c r="H160" s="1107" t="s">
        <v>2014</v>
      </c>
      <c r="I160" s="7"/>
      <c r="J160" s="22"/>
      <c r="K160" s="951"/>
    </row>
    <row r="161" spans="1:11" ht="15" customHeight="1" x14ac:dyDescent="0.3">
      <c r="A161" s="24">
        <v>48</v>
      </c>
      <c r="B161" s="550" t="s">
        <v>25</v>
      </c>
      <c r="C161" s="550" t="s">
        <v>1758</v>
      </c>
      <c r="D161" s="551" t="s">
        <v>1750</v>
      </c>
      <c r="E161" s="1042">
        <v>42355</v>
      </c>
      <c r="F161" s="550" t="s">
        <v>1596</v>
      </c>
      <c r="G161" s="22"/>
      <c r="H161" s="1107" t="s">
        <v>2014</v>
      </c>
      <c r="I161" s="7"/>
      <c r="J161" s="22"/>
      <c r="K161" s="951"/>
    </row>
    <row r="162" spans="1:11" ht="15" customHeight="1" x14ac:dyDescent="0.3">
      <c r="A162" s="24">
        <v>49</v>
      </c>
      <c r="B162" s="550" t="s">
        <v>25</v>
      </c>
      <c r="C162" s="551" t="s">
        <v>1594</v>
      </c>
      <c r="D162" s="890" t="s">
        <v>1595</v>
      </c>
      <c r="E162" s="1042">
        <v>42372</v>
      </c>
      <c r="F162" s="550" t="s">
        <v>1596</v>
      </c>
      <c r="G162" s="22"/>
      <c r="H162" s="1107" t="s">
        <v>2014</v>
      </c>
      <c r="I162" s="7"/>
      <c r="J162" s="22"/>
      <c r="K162" s="951"/>
    </row>
    <row r="163" spans="1:11" ht="15" customHeight="1" x14ac:dyDescent="0.3">
      <c r="A163" s="24">
        <v>50</v>
      </c>
      <c r="B163" s="550" t="s">
        <v>20</v>
      </c>
      <c r="C163" s="551" t="s">
        <v>1619</v>
      </c>
      <c r="D163" s="890" t="s">
        <v>1620</v>
      </c>
      <c r="E163" s="1042">
        <v>42390</v>
      </c>
      <c r="F163" s="550" t="s">
        <v>1596</v>
      </c>
      <c r="G163" s="22"/>
      <c r="H163" s="1107" t="s">
        <v>2014</v>
      </c>
      <c r="I163" s="7"/>
      <c r="J163" s="22"/>
      <c r="K163" s="951"/>
    </row>
    <row r="164" spans="1:11" ht="15" customHeight="1" x14ac:dyDescent="0.3">
      <c r="A164" s="24">
        <v>51</v>
      </c>
      <c r="B164" s="550" t="s">
        <v>25</v>
      </c>
      <c r="C164" s="550" t="s">
        <v>1734</v>
      </c>
      <c r="D164" s="551" t="s">
        <v>1735</v>
      </c>
      <c r="E164" s="1042">
        <v>42446</v>
      </c>
      <c r="F164" s="550" t="s">
        <v>1596</v>
      </c>
      <c r="G164" s="22"/>
      <c r="H164" s="1107" t="s">
        <v>2014</v>
      </c>
      <c r="I164" s="7"/>
      <c r="J164" s="22"/>
      <c r="K164" s="951"/>
    </row>
    <row r="165" spans="1:11" ht="15" customHeight="1" x14ac:dyDescent="0.3">
      <c r="A165" s="24">
        <v>52</v>
      </c>
      <c r="B165" s="550" t="s">
        <v>25</v>
      </c>
      <c r="C165" s="551" t="s">
        <v>1600</v>
      </c>
      <c r="D165" s="890" t="s">
        <v>1601</v>
      </c>
      <c r="E165" s="1042">
        <v>42452</v>
      </c>
      <c r="F165" s="550" t="s">
        <v>1596</v>
      </c>
      <c r="G165" s="22"/>
      <c r="H165" s="1107" t="s">
        <v>2014</v>
      </c>
      <c r="I165" s="7"/>
      <c r="J165" s="22"/>
      <c r="K165" s="951"/>
    </row>
    <row r="166" spans="1:11" ht="15" customHeight="1" x14ac:dyDescent="0.3">
      <c r="A166" s="24">
        <v>53</v>
      </c>
      <c r="B166" s="550" t="s">
        <v>25</v>
      </c>
      <c r="C166" s="550" t="s">
        <v>1724</v>
      </c>
      <c r="D166" s="551" t="s">
        <v>1725</v>
      </c>
      <c r="E166" s="1042">
        <v>42453</v>
      </c>
      <c r="F166" s="550" t="s">
        <v>1596</v>
      </c>
      <c r="G166" s="22"/>
      <c r="H166" s="1107" t="s">
        <v>2014</v>
      </c>
      <c r="I166" s="7"/>
      <c r="J166" s="22"/>
      <c r="K166" s="951"/>
    </row>
    <row r="167" spans="1:11" ht="15" customHeight="1" x14ac:dyDescent="0.3">
      <c r="A167" s="24">
        <v>54</v>
      </c>
      <c r="B167" s="550" t="s">
        <v>35</v>
      </c>
      <c r="C167" s="551" t="s">
        <v>1624</v>
      </c>
      <c r="D167" s="890" t="s">
        <v>1625</v>
      </c>
      <c r="E167" s="1042">
        <v>42586</v>
      </c>
      <c r="F167" s="550" t="s">
        <v>1596</v>
      </c>
      <c r="G167" s="22"/>
      <c r="H167" s="1107" t="s">
        <v>2014</v>
      </c>
      <c r="I167" s="7"/>
      <c r="J167" s="22"/>
      <c r="K167" s="951"/>
    </row>
    <row r="168" spans="1:11" ht="15" customHeight="1" x14ac:dyDescent="0.3">
      <c r="A168" s="24">
        <v>55</v>
      </c>
      <c r="B168" s="550" t="s">
        <v>25</v>
      </c>
      <c r="C168" s="550" t="s">
        <v>1732</v>
      </c>
      <c r="D168" s="551" t="s">
        <v>1733</v>
      </c>
      <c r="E168" s="1042">
        <v>42774</v>
      </c>
      <c r="F168" s="550" t="s">
        <v>1596</v>
      </c>
      <c r="G168" s="22"/>
      <c r="H168" s="1107" t="s">
        <v>2014</v>
      </c>
      <c r="I168" s="7"/>
      <c r="J168" s="22"/>
      <c r="K168" s="951"/>
    </row>
    <row r="169" spans="1:11" ht="15" customHeight="1" x14ac:dyDescent="0.3">
      <c r="A169" s="24">
        <v>56</v>
      </c>
      <c r="B169" s="550" t="s">
        <v>21</v>
      </c>
      <c r="C169" s="551" t="s">
        <v>1608</v>
      </c>
      <c r="D169" s="890" t="s">
        <v>1609</v>
      </c>
      <c r="E169" s="1042">
        <v>42815</v>
      </c>
      <c r="F169" s="550" t="s">
        <v>1596</v>
      </c>
      <c r="G169" s="22"/>
      <c r="H169" s="1107" t="s">
        <v>2014</v>
      </c>
      <c r="I169" s="7"/>
      <c r="J169" s="22"/>
      <c r="K169" s="951"/>
    </row>
    <row r="170" spans="1:11" ht="15" customHeight="1" x14ac:dyDescent="0.3">
      <c r="A170" s="24">
        <v>57</v>
      </c>
      <c r="B170" s="550" t="s">
        <v>25</v>
      </c>
      <c r="C170" s="551" t="s">
        <v>1605</v>
      </c>
      <c r="D170" s="890" t="s">
        <v>1606</v>
      </c>
      <c r="E170" s="1042">
        <v>42872</v>
      </c>
      <c r="F170" s="550" t="s">
        <v>1596</v>
      </c>
      <c r="G170" s="22"/>
      <c r="H170" s="1107" t="s">
        <v>2014</v>
      </c>
      <c r="I170" s="7"/>
      <c r="J170" s="22"/>
      <c r="K170" s="951"/>
    </row>
    <row r="171" spans="1:11" ht="15" customHeight="1" x14ac:dyDescent="0.3">
      <c r="A171" s="24"/>
      <c r="B171" s="550"/>
      <c r="C171" s="550"/>
      <c r="D171" s="551"/>
      <c r="E171" s="1100" t="s">
        <v>62</v>
      </c>
      <c r="F171" s="1088"/>
      <c r="G171" s="1087"/>
      <c r="H171" s="1100" t="s">
        <v>2015</v>
      </c>
      <c r="I171" s="1101"/>
      <c r="J171" s="1096"/>
      <c r="K171" s="951"/>
    </row>
    <row r="172" spans="1:11" ht="15" customHeight="1" x14ac:dyDescent="0.3">
      <c r="A172" s="24"/>
      <c r="B172" s="550"/>
      <c r="C172" s="550"/>
      <c r="D172" s="551"/>
      <c r="E172" s="1100"/>
      <c r="F172" s="1088"/>
      <c r="G172" s="1087"/>
      <c r="H172" s="1100"/>
      <c r="I172" s="1101"/>
      <c r="J172" s="1096"/>
      <c r="K172" s="951"/>
    </row>
    <row r="173" spans="1:11" ht="15" customHeight="1" x14ac:dyDescent="0.3">
      <c r="A173" s="24"/>
      <c r="B173" s="550"/>
      <c r="C173" s="550"/>
      <c r="D173" s="551"/>
      <c r="E173" s="1100"/>
      <c r="F173" s="1157" t="s">
        <v>2016</v>
      </c>
      <c r="G173" s="1108"/>
      <c r="H173" s="1152"/>
      <c r="I173" s="1153"/>
      <c r="J173" s="1096"/>
      <c r="K173" s="951"/>
    </row>
    <row r="174" spans="1:11" ht="15" customHeight="1" x14ac:dyDescent="0.3">
      <c r="A174" s="24">
        <v>58</v>
      </c>
      <c r="B174" s="550" t="s">
        <v>1796</v>
      </c>
      <c r="C174" s="550" t="s">
        <v>1799</v>
      </c>
      <c r="D174" s="551" t="s">
        <v>1768</v>
      </c>
      <c r="E174" s="1042">
        <v>41713</v>
      </c>
      <c r="F174" s="550" t="s">
        <v>1640</v>
      </c>
      <c r="G174" s="1087"/>
      <c r="H174" s="1088" t="s">
        <v>2017</v>
      </c>
      <c r="I174" s="1101"/>
      <c r="J174" s="1096"/>
      <c r="K174" s="951"/>
    </row>
    <row r="175" spans="1:11" ht="15" customHeight="1" x14ac:dyDescent="0.3">
      <c r="A175" s="24">
        <v>59</v>
      </c>
      <c r="B175" s="550" t="s">
        <v>1796</v>
      </c>
      <c r="C175" s="550" t="s">
        <v>1797</v>
      </c>
      <c r="D175" s="551" t="s">
        <v>1798</v>
      </c>
      <c r="E175" s="1042">
        <v>41889</v>
      </c>
      <c r="F175" s="550" t="s">
        <v>1640</v>
      </c>
      <c r="G175" s="1087"/>
      <c r="H175" s="1088" t="s">
        <v>2017</v>
      </c>
      <c r="I175" s="1101"/>
      <c r="J175" s="1096"/>
      <c r="K175" s="951"/>
    </row>
    <row r="176" spans="1:11" ht="15" customHeight="1" x14ac:dyDescent="0.3">
      <c r="A176" s="24">
        <v>60</v>
      </c>
      <c r="B176" s="550" t="s">
        <v>21</v>
      </c>
      <c r="C176" s="550" t="s">
        <v>1776</v>
      </c>
      <c r="D176" s="551" t="s">
        <v>1768</v>
      </c>
      <c r="E176" s="1042">
        <v>41911</v>
      </c>
      <c r="F176" s="550" t="s">
        <v>1640</v>
      </c>
      <c r="G176" s="1087"/>
      <c r="H176" s="1088" t="s">
        <v>2017</v>
      </c>
      <c r="I176" s="1101"/>
      <c r="J176" s="1096"/>
      <c r="K176" s="951"/>
    </row>
    <row r="177" spans="1:11" ht="15" customHeight="1" x14ac:dyDescent="0.3">
      <c r="A177" s="24">
        <v>61</v>
      </c>
      <c r="B177" s="550" t="s">
        <v>1638</v>
      </c>
      <c r="C177" s="551" t="s">
        <v>1639</v>
      </c>
      <c r="D177" s="890" t="s">
        <v>1618</v>
      </c>
      <c r="E177" s="1042">
        <v>42111</v>
      </c>
      <c r="F177" s="550" t="s">
        <v>1640</v>
      </c>
      <c r="G177" s="1087"/>
      <c r="H177" s="1088" t="s">
        <v>2017</v>
      </c>
      <c r="I177" s="1101"/>
      <c r="J177" s="1096"/>
      <c r="K177" s="951"/>
    </row>
    <row r="178" spans="1:11" ht="15" customHeight="1" x14ac:dyDescent="0.3">
      <c r="A178" s="24">
        <v>62</v>
      </c>
      <c r="B178" s="550" t="s">
        <v>1638</v>
      </c>
      <c r="C178" s="550" t="s">
        <v>1784</v>
      </c>
      <c r="D178" s="551" t="s">
        <v>1785</v>
      </c>
      <c r="E178" s="1042">
        <v>42343</v>
      </c>
      <c r="F178" s="550" t="s">
        <v>1640</v>
      </c>
      <c r="G178" s="1087"/>
      <c r="H178" s="1088" t="s">
        <v>2017</v>
      </c>
      <c r="I178" s="1101"/>
      <c r="J178" s="1096"/>
      <c r="K178" s="951"/>
    </row>
    <row r="179" spans="1:11" ht="15" customHeight="1" x14ac:dyDescent="0.3">
      <c r="A179" s="24">
        <v>63</v>
      </c>
      <c r="B179" s="550" t="s">
        <v>25</v>
      </c>
      <c r="C179" s="550" t="s">
        <v>1754</v>
      </c>
      <c r="D179" s="551" t="s">
        <v>1755</v>
      </c>
      <c r="E179" s="1042">
        <v>42486</v>
      </c>
      <c r="F179" s="550" t="s">
        <v>1640</v>
      </c>
      <c r="G179" s="1087"/>
      <c r="H179" s="1088" t="s">
        <v>2017</v>
      </c>
      <c r="I179" s="1101"/>
      <c r="J179" s="1096"/>
      <c r="K179" s="951"/>
    </row>
    <row r="180" spans="1:11" ht="15" customHeight="1" x14ac:dyDescent="0.3">
      <c r="A180" s="24">
        <v>64</v>
      </c>
      <c r="B180" s="550" t="s">
        <v>25</v>
      </c>
      <c r="C180" s="550" t="s">
        <v>1749</v>
      </c>
      <c r="D180" s="551" t="s">
        <v>1750</v>
      </c>
      <c r="E180" s="1042">
        <v>42627</v>
      </c>
      <c r="F180" s="550" t="s">
        <v>1640</v>
      </c>
      <c r="G180" s="1087"/>
      <c r="H180" s="1088" t="s">
        <v>2017</v>
      </c>
      <c r="I180" s="1101"/>
      <c r="J180" s="1096"/>
      <c r="K180" s="951"/>
    </row>
    <row r="181" spans="1:11" ht="15" customHeight="1" x14ac:dyDescent="0.3">
      <c r="A181" s="24"/>
      <c r="B181" s="550"/>
      <c r="C181" s="550"/>
      <c r="D181" s="551"/>
      <c r="E181" s="1100" t="s">
        <v>62</v>
      </c>
      <c r="F181" s="1088"/>
      <c r="G181" s="1087"/>
      <c r="H181" s="1100" t="s">
        <v>2018</v>
      </c>
      <c r="I181" s="1101"/>
      <c r="J181" s="1096"/>
      <c r="K181" s="951"/>
    </row>
    <row r="182" spans="1:11" ht="15" customHeight="1" x14ac:dyDescent="0.3">
      <c r="A182" s="24"/>
      <c r="B182" s="550"/>
      <c r="C182" s="550"/>
      <c r="D182" s="551"/>
      <c r="E182" s="1100"/>
      <c r="F182" s="1088"/>
      <c r="G182" s="1087"/>
      <c r="H182" s="1100"/>
      <c r="I182" s="1101"/>
      <c r="J182" s="1096"/>
      <c r="K182" s="951"/>
    </row>
    <row r="183" spans="1:11" ht="15" customHeight="1" x14ac:dyDescent="0.3">
      <c r="A183" s="24"/>
      <c r="B183" s="550"/>
      <c r="C183" s="550"/>
      <c r="D183" s="551"/>
      <c r="E183" s="1100"/>
      <c r="F183" s="1156" t="s">
        <v>2019</v>
      </c>
      <c r="G183" s="1154"/>
      <c r="H183" s="1100"/>
      <c r="I183" s="1101"/>
      <c r="J183" s="1096"/>
      <c r="K183" s="951"/>
    </row>
    <row r="184" spans="1:11" ht="15" customHeight="1" x14ac:dyDescent="0.3">
      <c r="A184" s="24">
        <v>65</v>
      </c>
      <c r="B184" s="550" t="s">
        <v>21</v>
      </c>
      <c r="C184" s="550" t="s">
        <v>1777</v>
      </c>
      <c r="D184" s="551" t="s">
        <v>1778</v>
      </c>
      <c r="E184" s="1042">
        <v>41784</v>
      </c>
      <c r="F184" s="550" t="s">
        <v>1452</v>
      </c>
      <c r="G184" s="895"/>
      <c r="H184" s="550" t="s">
        <v>2024</v>
      </c>
      <c r="I184" s="1101"/>
      <c r="J184" s="1096"/>
      <c r="K184" s="951"/>
    </row>
    <row r="185" spans="1:11" ht="15" customHeight="1" x14ac:dyDescent="0.3">
      <c r="A185" s="24">
        <v>66</v>
      </c>
      <c r="B185" s="550">
        <v>3</v>
      </c>
      <c r="C185" s="551" t="s">
        <v>1658</v>
      </c>
      <c r="D185" s="890" t="s">
        <v>1649</v>
      </c>
      <c r="E185" s="1042">
        <v>41793</v>
      </c>
      <c r="F185" s="550" t="s">
        <v>1452</v>
      </c>
      <c r="G185" s="895"/>
      <c r="H185" s="550" t="s">
        <v>2022</v>
      </c>
      <c r="I185" s="1101"/>
      <c r="J185" s="1096"/>
      <c r="K185" s="951"/>
    </row>
    <row r="186" spans="1:11" ht="15" customHeight="1" x14ac:dyDescent="0.3">
      <c r="A186" s="24">
        <v>67</v>
      </c>
      <c r="B186" s="550" t="s">
        <v>21</v>
      </c>
      <c r="C186" s="550" t="s">
        <v>1779</v>
      </c>
      <c r="D186" s="551" t="s">
        <v>1733</v>
      </c>
      <c r="E186" s="1042">
        <v>41856</v>
      </c>
      <c r="F186" s="550" t="s">
        <v>1452</v>
      </c>
      <c r="G186" s="895"/>
      <c r="H186" s="550" t="s">
        <v>2024</v>
      </c>
      <c r="I186" s="1101"/>
      <c r="J186" s="1096"/>
      <c r="K186" s="951"/>
    </row>
    <row r="187" spans="1:11" ht="15" customHeight="1" x14ac:dyDescent="0.3">
      <c r="A187" s="24">
        <v>68</v>
      </c>
      <c r="B187" s="550" t="s">
        <v>21</v>
      </c>
      <c r="C187" s="550" t="s">
        <v>1786</v>
      </c>
      <c r="D187" s="551" t="s">
        <v>1787</v>
      </c>
      <c r="E187" s="1042">
        <v>41912</v>
      </c>
      <c r="F187" s="550" t="s">
        <v>1452</v>
      </c>
      <c r="G187" s="895"/>
      <c r="H187" s="550" t="s">
        <v>2024</v>
      </c>
      <c r="I187" s="1101"/>
      <c r="J187" s="1096"/>
      <c r="K187" s="951"/>
    </row>
    <row r="188" spans="1:11" ht="15" customHeight="1" x14ac:dyDescent="0.3">
      <c r="A188" s="24">
        <v>69</v>
      </c>
      <c r="B188" s="550" t="s">
        <v>35</v>
      </c>
      <c r="C188" s="550" t="s">
        <v>1342</v>
      </c>
      <c r="D188" s="551" t="s">
        <v>2021</v>
      </c>
      <c r="E188" s="1042">
        <v>41920</v>
      </c>
      <c r="F188" s="550" t="s">
        <v>1452</v>
      </c>
      <c r="G188" s="895"/>
      <c r="H188" s="550" t="s">
        <v>2020</v>
      </c>
      <c r="I188" s="1101"/>
      <c r="J188" s="1096"/>
      <c r="K188" s="951"/>
    </row>
    <row r="189" spans="1:11" ht="15" customHeight="1" x14ac:dyDescent="0.3">
      <c r="A189" s="24">
        <v>70</v>
      </c>
      <c r="B189" s="550" t="s">
        <v>35</v>
      </c>
      <c r="C189" s="550" t="s">
        <v>1921</v>
      </c>
      <c r="D189" s="551" t="s">
        <v>1744</v>
      </c>
      <c r="E189" s="1042">
        <v>41920</v>
      </c>
      <c r="F189" s="550" t="s">
        <v>1452</v>
      </c>
      <c r="G189" s="895"/>
      <c r="H189" s="550" t="s">
        <v>2020</v>
      </c>
      <c r="I189" s="1101"/>
      <c r="J189" s="1096"/>
      <c r="K189" s="951"/>
    </row>
    <row r="190" spans="1:11" ht="15" customHeight="1" x14ac:dyDescent="0.3">
      <c r="A190" s="24">
        <v>71</v>
      </c>
      <c r="B190" s="550" t="s">
        <v>21</v>
      </c>
      <c r="C190" s="550" t="s">
        <v>1340</v>
      </c>
      <c r="D190" s="551" t="s">
        <v>1739</v>
      </c>
      <c r="E190" s="1042">
        <v>41939</v>
      </c>
      <c r="F190" s="550" t="s">
        <v>1452</v>
      </c>
      <c r="G190" s="895"/>
      <c r="H190" s="550" t="s">
        <v>2020</v>
      </c>
      <c r="I190" s="1101"/>
      <c r="J190" s="1096"/>
      <c r="K190" s="951"/>
    </row>
    <row r="191" spans="1:11" ht="15" customHeight="1" x14ac:dyDescent="0.3">
      <c r="A191" s="24">
        <v>72</v>
      </c>
      <c r="B191" s="550" t="s">
        <v>24</v>
      </c>
      <c r="C191" s="551" t="s">
        <v>1435</v>
      </c>
      <c r="D191" s="890" t="s">
        <v>1657</v>
      </c>
      <c r="E191" s="1042">
        <v>41951</v>
      </c>
      <c r="F191" s="550" t="s">
        <v>1452</v>
      </c>
      <c r="G191" s="895"/>
      <c r="H191" s="550" t="s">
        <v>2020</v>
      </c>
      <c r="I191" s="1101"/>
      <c r="J191" s="1096"/>
      <c r="K191" s="951"/>
    </row>
    <row r="192" spans="1:11" ht="15" customHeight="1" x14ac:dyDescent="0.3">
      <c r="A192" s="24">
        <v>73</v>
      </c>
      <c r="B192" s="550" t="s">
        <v>24</v>
      </c>
      <c r="C192" s="551" t="s">
        <v>1659</v>
      </c>
      <c r="D192" s="890" t="s">
        <v>1620</v>
      </c>
      <c r="E192" s="1042">
        <v>41965</v>
      </c>
      <c r="F192" s="550" t="s">
        <v>1452</v>
      </c>
      <c r="G192" s="895"/>
      <c r="H192" s="550" t="s">
        <v>2020</v>
      </c>
      <c r="I192" s="1101"/>
      <c r="J192" s="1096"/>
      <c r="K192" s="951"/>
    </row>
    <row r="193" spans="1:11" ht="15" customHeight="1" x14ac:dyDescent="0.3">
      <c r="A193" s="24">
        <v>74</v>
      </c>
      <c r="B193" s="550">
        <v>3</v>
      </c>
      <c r="C193" s="551" t="s">
        <v>1661</v>
      </c>
      <c r="D193" s="890" t="s">
        <v>1620</v>
      </c>
      <c r="E193" s="1042">
        <v>41969</v>
      </c>
      <c r="F193" s="550" t="s">
        <v>1452</v>
      </c>
      <c r="G193" s="895"/>
      <c r="H193" s="550" t="s">
        <v>2022</v>
      </c>
      <c r="I193" s="1101"/>
      <c r="J193" s="1096"/>
      <c r="K193" s="951"/>
    </row>
    <row r="194" spans="1:11" ht="15" customHeight="1" x14ac:dyDescent="0.3">
      <c r="A194" s="24">
        <v>75</v>
      </c>
      <c r="B194" s="550" t="s">
        <v>25</v>
      </c>
      <c r="C194" s="550" t="s">
        <v>1793</v>
      </c>
      <c r="D194" s="551" t="s">
        <v>1794</v>
      </c>
      <c r="E194" s="1042">
        <v>41986</v>
      </c>
      <c r="F194" s="550" t="s">
        <v>1452</v>
      </c>
      <c r="G194" s="895"/>
      <c r="H194" s="550" t="s">
        <v>2020</v>
      </c>
      <c r="I194" s="1101"/>
      <c r="J194" s="1096"/>
      <c r="K194" s="951"/>
    </row>
    <row r="195" spans="1:11" ht="15" customHeight="1" x14ac:dyDescent="0.3">
      <c r="A195" s="24">
        <v>76</v>
      </c>
      <c r="B195" s="550" t="s">
        <v>20</v>
      </c>
      <c r="C195" s="551" t="s">
        <v>1651</v>
      </c>
      <c r="D195" s="890" t="s">
        <v>1652</v>
      </c>
      <c r="E195" s="1042">
        <v>42012</v>
      </c>
      <c r="F195" s="550" t="s">
        <v>1452</v>
      </c>
      <c r="G195" s="895"/>
      <c r="H195" s="550" t="s">
        <v>2020</v>
      </c>
      <c r="I195" s="1101"/>
      <c r="J195" s="1096"/>
      <c r="K195" s="951"/>
    </row>
    <row r="196" spans="1:11" ht="15" customHeight="1" x14ac:dyDescent="0.3">
      <c r="A196" s="24">
        <v>77</v>
      </c>
      <c r="B196" s="550" t="s">
        <v>35</v>
      </c>
      <c r="C196" s="551" t="s">
        <v>1656</v>
      </c>
      <c r="D196" s="890" t="s">
        <v>1618</v>
      </c>
      <c r="E196" s="1042">
        <v>42036</v>
      </c>
      <c r="F196" s="550" t="s">
        <v>1452</v>
      </c>
      <c r="G196" s="895"/>
      <c r="H196" s="550" t="s">
        <v>2020</v>
      </c>
      <c r="I196" s="1101"/>
      <c r="J196" s="1096"/>
      <c r="K196" s="951"/>
    </row>
    <row r="197" spans="1:11" ht="15" customHeight="1" x14ac:dyDescent="0.3">
      <c r="A197" s="24">
        <v>78</v>
      </c>
      <c r="B197" s="550" t="s">
        <v>25</v>
      </c>
      <c r="C197" s="551" t="s">
        <v>1648</v>
      </c>
      <c r="D197" s="890" t="s">
        <v>1649</v>
      </c>
      <c r="E197" s="1042">
        <v>42155</v>
      </c>
      <c r="F197" s="550" t="s">
        <v>1452</v>
      </c>
      <c r="G197" s="895"/>
      <c r="H197" s="550" t="s">
        <v>2020</v>
      </c>
      <c r="I197" s="1101"/>
      <c r="J197" s="1096"/>
      <c r="K197" s="951"/>
    </row>
    <row r="198" spans="1:11" ht="15" customHeight="1" x14ac:dyDescent="0.3">
      <c r="A198" s="24">
        <v>79</v>
      </c>
      <c r="B198" s="550" t="s">
        <v>21</v>
      </c>
      <c r="C198" s="550" t="s">
        <v>1782</v>
      </c>
      <c r="D198" s="551" t="s">
        <v>1768</v>
      </c>
      <c r="E198" s="1042">
        <v>42177</v>
      </c>
      <c r="F198" s="550" t="s">
        <v>1452</v>
      </c>
      <c r="G198" s="895"/>
      <c r="H198" s="550" t="s">
        <v>2020</v>
      </c>
      <c r="I198" s="1101"/>
      <c r="J198" s="1096"/>
      <c r="K198" s="951"/>
    </row>
    <row r="199" spans="1:11" ht="15" customHeight="1" x14ac:dyDescent="0.3">
      <c r="A199" s="24">
        <v>80</v>
      </c>
      <c r="B199" s="550" t="s">
        <v>21</v>
      </c>
      <c r="C199" s="550" t="s">
        <v>1783</v>
      </c>
      <c r="D199" s="551" t="s">
        <v>1733</v>
      </c>
      <c r="E199" s="1042">
        <v>42219</v>
      </c>
      <c r="F199" s="550" t="s">
        <v>1452</v>
      </c>
      <c r="G199" s="895"/>
      <c r="H199" s="550" t="s">
        <v>2020</v>
      </c>
      <c r="I199" s="1101"/>
      <c r="J199" s="1096"/>
      <c r="K199" s="951"/>
    </row>
    <row r="200" spans="1:11" ht="15" customHeight="1" x14ac:dyDescent="0.3">
      <c r="A200" s="24">
        <v>81</v>
      </c>
      <c r="B200" s="550" t="s">
        <v>25</v>
      </c>
      <c r="C200" s="551" t="s">
        <v>1617</v>
      </c>
      <c r="D200" s="890" t="s">
        <v>1618</v>
      </c>
      <c r="E200" s="1042">
        <v>42486</v>
      </c>
      <c r="F200" s="550" t="s">
        <v>1452</v>
      </c>
      <c r="G200" s="895"/>
      <c r="H200" s="550" t="s">
        <v>2024</v>
      </c>
      <c r="I200" s="1101"/>
      <c r="J200" s="1096"/>
      <c r="K200" s="951"/>
    </row>
    <row r="201" spans="1:11" ht="15" customHeight="1" x14ac:dyDescent="0.3">
      <c r="A201" s="24">
        <v>82</v>
      </c>
      <c r="B201" s="550" t="s">
        <v>21</v>
      </c>
      <c r="C201" s="551" t="s">
        <v>1622</v>
      </c>
      <c r="D201" s="890" t="s">
        <v>1623</v>
      </c>
      <c r="E201" s="1042">
        <v>42656</v>
      </c>
      <c r="F201" s="550" t="s">
        <v>1452</v>
      </c>
      <c r="G201" s="895"/>
      <c r="H201" s="550" t="s">
        <v>2020</v>
      </c>
      <c r="I201" s="1101"/>
      <c r="J201" s="1096"/>
      <c r="K201" s="951"/>
    </row>
    <row r="202" spans="1:11" ht="15" customHeight="1" x14ac:dyDescent="0.3">
      <c r="A202" s="24">
        <v>83</v>
      </c>
      <c r="B202" s="550" t="s">
        <v>25</v>
      </c>
      <c r="C202" s="551" t="s">
        <v>1614</v>
      </c>
      <c r="D202" s="890" t="s">
        <v>1613</v>
      </c>
      <c r="E202" s="1042">
        <v>42794</v>
      </c>
      <c r="F202" s="550" t="s">
        <v>1452</v>
      </c>
      <c r="G202" s="895"/>
      <c r="H202" s="550" t="s">
        <v>2024</v>
      </c>
      <c r="I202" s="1101"/>
      <c r="J202" s="1096"/>
      <c r="K202" s="951"/>
    </row>
    <row r="203" spans="1:11" ht="15" customHeight="1" x14ac:dyDescent="0.3">
      <c r="A203" s="24">
        <v>84</v>
      </c>
      <c r="B203" s="550" t="s">
        <v>21</v>
      </c>
      <c r="C203" s="551" t="s">
        <v>1621</v>
      </c>
      <c r="D203" s="890" t="s">
        <v>1595</v>
      </c>
      <c r="E203" s="1042">
        <v>42811</v>
      </c>
      <c r="F203" s="550" t="s">
        <v>1452</v>
      </c>
      <c r="G203" s="895"/>
      <c r="H203" s="550" t="s">
        <v>2024</v>
      </c>
      <c r="I203" s="1101"/>
      <c r="J203" s="1096"/>
      <c r="K203" s="951"/>
    </row>
    <row r="204" spans="1:11" ht="15" customHeight="1" x14ac:dyDescent="0.3">
      <c r="A204" s="24">
        <v>85</v>
      </c>
      <c r="B204" s="550" t="s">
        <v>25</v>
      </c>
      <c r="C204" s="551" t="s">
        <v>1615</v>
      </c>
      <c r="D204" s="890" t="s">
        <v>1616</v>
      </c>
      <c r="E204" s="1042">
        <v>42818</v>
      </c>
      <c r="F204" s="550" t="s">
        <v>1452</v>
      </c>
      <c r="G204" s="895"/>
      <c r="H204" s="550" t="s">
        <v>2024</v>
      </c>
      <c r="I204" s="1101"/>
      <c r="J204" s="1096"/>
      <c r="K204" s="951"/>
    </row>
    <row r="205" spans="1:11" ht="15" customHeight="1" x14ac:dyDescent="0.3">
      <c r="A205" s="24">
        <v>86</v>
      </c>
      <c r="B205" s="550" t="s">
        <v>25</v>
      </c>
      <c r="C205" s="550" t="s">
        <v>1743</v>
      </c>
      <c r="D205" s="551" t="s">
        <v>1744</v>
      </c>
      <c r="E205" s="1042">
        <v>42919</v>
      </c>
      <c r="F205" s="550" t="s">
        <v>1452</v>
      </c>
      <c r="G205" s="895"/>
      <c r="H205" s="550" t="s">
        <v>2024</v>
      </c>
      <c r="I205" s="1101"/>
      <c r="J205" s="1096"/>
      <c r="K205" s="951"/>
    </row>
    <row r="206" spans="1:11" ht="15" customHeight="1" x14ac:dyDescent="0.3">
      <c r="K206" s="951"/>
    </row>
    <row r="207" spans="1:11" ht="15" customHeight="1" x14ac:dyDescent="0.3">
      <c r="A207" s="24"/>
      <c r="B207" s="550"/>
      <c r="C207" s="550"/>
      <c r="D207" s="551"/>
      <c r="E207" s="1100" t="s">
        <v>62</v>
      </c>
      <c r="F207" s="1088"/>
      <c r="G207" s="1087"/>
      <c r="H207" s="1100" t="s">
        <v>2025</v>
      </c>
      <c r="I207" s="1101"/>
      <c r="J207" s="1096"/>
      <c r="K207" s="951"/>
    </row>
    <row r="208" spans="1:11" ht="15" customHeight="1" x14ac:dyDescent="0.3">
      <c r="A208" s="24"/>
      <c r="B208" s="550"/>
      <c r="C208" s="550"/>
      <c r="D208" s="551"/>
      <c r="E208" s="1100" t="s">
        <v>62</v>
      </c>
      <c r="F208" s="1088"/>
      <c r="G208" s="1087"/>
      <c r="H208" s="1100" t="s">
        <v>1963</v>
      </c>
      <c r="I208" s="1101"/>
      <c r="J208" s="1096"/>
      <c r="K208" s="951"/>
    </row>
    <row r="209" spans="1:11" ht="15" customHeight="1" x14ac:dyDescent="0.3">
      <c r="A209" s="24"/>
      <c r="B209" s="550"/>
      <c r="C209" s="550"/>
      <c r="D209" s="551"/>
      <c r="E209" s="1100" t="s">
        <v>62</v>
      </c>
      <c r="F209" s="1088"/>
      <c r="G209" s="1087"/>
      <c r="H209" s="1100" t="s">
        <v>1964</v>
      </c>
      <c r="I209" s="1101"/>
      <c r="J209" s="1096"/>
      <c r="K209" s="951"/>
    </row>
    <row r="210" spans="1:11" ht="15" customHeight="1" x14ac:dyDescent="0.3">
      <c r="A210" s="24"/>
      <c r="B210" s="550"/>
      <c r="C210" s="550"/>
      <c r="D210" s="551"/>
      <c r="E210" s="1100"/>
      <c r="F210" s="1088"/>
      <c r="G210" s="1087"/>
      <c r="H210" s="1100"/>
      <c r="I210" s="1101"/>
      <c r="J210" s="1096"/>
      <c r="K210" s="951"/>
    </row>
    <row r="211" spans="1:11" ht="15" customHeight="1" x14ac:dyDescent="0.3">
      <c r="A211" s="24"/>
      <c r="B211" s="550"/>
      <c r="C211" s="550"/>
      <c r="D211" s="551"/>
      <c r="E211" s="1100"/>
      <c r="F211" s="1156" t="s">
        <v>2026</v>
      </c>
      <c r="G211" s="1087"/>
      <c r="H211" s="1100"/>
      <c r="I211" s="1101"/>
      <c r="J211" s="1096"/>
      <c r="K211" s="951"/>
    </row>
    <row r="212" spans="1:11" ht="15" customHeight="1" x14ac:dyDescent="0.3">
      <c r="A212" s="24">
        <v>87</v>
      </c>
      <c r="B212" s="24" t="s">
        <v>21</v>
      </c>
      <c r="C212" s="551" t="s">
        <v>1791</v>
      </c>
      <c r="D212" s="890" t="s">
        <v>1792</v>
      </c>
      <c r="E212" s="1042">
        <v>41935</v>
      </c>
      <c r="F212" s="24" t="str">
        <f>'[1]Техническая один зачет'!$E$16</f>
        <v>КСШ г. Ачинск</v>
      </c>
      <c r="G212" s="895"/>
      <c r="H212" s="550" t="s">
        <v>2027</v>
      </c>
      <c r="I212" s="7"/>
      <c r="J212" s="22"/>
      <c r="K212" s="951"/>
    </row>
    <row r="213" spans="1:11" ht="15" customHeight="1" x14ac:dyDescent="0.3">
      <c r="A213" s="24">
        <v>88</v>
      </c>
      <c r="B213" s="550" t="s">
        <v>23</v>
      </c>
      <c r="C213" s="551" t="s">
        <v>1780</v>
      </c>
      <c r="D213" s="890" t="s">
        <v>1781</v>
      </c>
      <c r="E213" s="1042">
        <v>42053</v>
      </c>
      <c r="F213" s="550" t="str">
        <f>'[1]Техническая один зачет'!$E$16</f>
        <v>КСШ г. Ачинск</v>
      </c>
      <c r="G213" s="895"/>
      <c r="H213" s="550" t="s">
        <v>2027</v>
      </c>
      <c r="I213" s="7"/>
      <c r="J213" s="22"/>
      <c r="K213" s="951"/>
    </row>
    <row r="214" spans="1:11" ht="15" customHeight="1" x14ac:dyDescent="0.3">
      <c r="A214" s="24">
        <v>89</v>
      </c>
      <c r="B214" s="550" t="s">
        <v>35</v>
      </c>
      <c r="C214" s="551" t="s">
        <v>1653</v>
      </c>
      <c r="D214" s="890" t="s">
        <v>1618</v>
      </c>
      <c r="E214" s="1042">
        <v>41889</v>
      </c>
      <c r="F214" s="550" t="s">
        <v>1654</v>
      </c>
      <c r="G214" s="895"/>
      <c r="H214" s="550" t="s">
        <v>2027</v>
      </c>
      <c r="I214" s="7"/>
      <c r="J214" s="22"/>
      <c r="K214" s="951"/>
    </row>
    <row r="215" spans="1:11" ht="15" customHeight="1" x14ac:dyDescent="0.3">
      <c r="A215" s="24"/>
      <c r="B215" s="550"/>
      <c r="C215" s="550"/>
      <c r="D215" s="551"/>
      <c r="E215" s="1100" t="s">
        <v>62</v>
      </c>
      <c r="F215" s="1088"/>
      <c r="G215" s="1087"/>
      <c r="H215" s="1100" t="s">
        <v>1971</v>
      </c>
      <c r="I215" s="1101"/>
      <c r="J215" s="1096"/>
      <c r="K215" s="951"/>
    </row>
    <row r="216" spans="1:11" ht="15" customHeight="1" x14ac:dyDescent="0.3">
      <c r="A216" s="24"/>
      <c r="B216" s="550"/>
      <c r="C216" s="550"/>
      <c r="D216" s="551"/>
      <c r="E216" s="1100"/>
      <c r="F216" s="1088"/>
      <c r="G216" s="1087"/>
      <c r="H216" s="1100"/>
      <c r="I216" s="1101"/>
      <c r="J216" s="1096"/>
      <c r="K216" s="951"/>
    </row>
    <row r="217" spans="1:11" ht="15" customHeight="1" x14ac:dyDescent="0.35">
      <c r="A217" s="24"/>
      <c r="B217" s="550"/>
      <c r="C217" s="550"/>
      <c r="D217" s="551"/>
      <c r="E217" s="1042"/>
      <c r="F217" s="1155" t="s">
        <v>2028</v>
      </c>
      <c r="G217" s="1117"/>
      <c r="H217" s="1118"/>
      <c r="I217" s="1119"/>
      <c r="J217" s="100"/>
      <c r="K217" s="951"/>
    </row>
    <row r="218" spans="1:11" ht="15" customHeight="1" x14ac:dyDescent="0.3">
      <c r="A218" s="24">
        <v>90</v>
      </c>
      <c r="B218" s="550" t="s">
        <v>24</v>
      </c>
      <c r="C218" s="550" t="s">
        <v>1341</v>
      </c>
      <c r="D218" s="551" t="s">
        <v>1723</v>
      </c>
      <c r="E218" s="1042">
        <v>41737</v>
      </c>
      <c r="F218" s="550" t="s">
        <v>1598</v>
      </c>
      <c r="G218" s="895"/>
      <c r="H218" s="550" t="s">
        <v>2030</v>
      </c>
      <c r="I218" s="1119"/>
      <c r="J218" s="100"/>
      <c r="K218" s="951"/>
    </row>
    <row r="219" spans="1:11" ht="15" customHeight="1" x14ac:dyDescent="0.3">
      <c r="A219" s="24">
        <v>91</v>
      </c>
      <c r="B219" s="550" t="s">
        <v>25</v>
      </c>
      <c r="C219" s="550" t="s">
        <v>1771</v>
      </c>
      <c r="D219" s="551" t="s">
        <v>1752</v>
      </c>
      <c r="E219" s="1042">
        <v>41850</v>
      </c>
      <c r="F219" s="550" t="s">
        <v>1598</v>
      </c>
      <c r="G219" s="895"/>
      <c r="H219" s="550" t="s">
        <v>2030</v>
      </c>
      <c r="I219" s="1119"/>
      <c r="J219" s="100"/>
      <c r="K219" s="951"/>
    </row>
    <row r="220" spans="1:11" ht="15" customHeight="1" x14ac:dyDescent="0.3">
      <c r="A220" s="24">
        <v>92</v>
      </c>
      <c r="B220" s="550" t="s">
        <v>21</v>
      </c>
      <c r="C220" s="551" t="s">
        <v>1910</v>
      </c>
      <c r="D220" s="890" t="s">
        <v>1620</v>
      </c>
      <c r="E220" s="1042">
        <v>42179</v>
      </c>
      <c r="F220" s="550" t="s">
        <v>1598</v>
      </c>
      <c r="G220" s="895"/>
      <c r="H220" s="550" t="s">
        <v>2030</v>
      </c>
      <c r="I220" s="1119"/>
      <c r="J220" s="100"/>
      <c r="K220" s="951"/>
    </row>
    <row r="221" spans="1:11" ht="15" customHeight="1" x14ac:dyDescent="0.3">
      <c r="A221" s="24">
        <v>93</v>
      </c>
      <c r="B221" s="550" t="s">
        <v>21</v>
      </c>
      <c r="C221" s="551" t="s">
        <v>1909</v>
      </c>
      <c r="D221" s="890" t="s">
        <v>1595</v>
      </c>
      <c r="E221" s="1042">
        <v>42357</v>
      </c>
      <c r="F221" s="550" t="s">
        <v>1598</v>
      </c>
      <c r="G221" s="895"/>
      <c r="H221" s="550" t="s">
        <v>2030</v>
      </c>
      <c r="I221" s="1119"/>
      <c r="J221" s="100"/>
      <c r="K221" s="951"/>
    </row>
    <row r="222" spans="1:11" ht="15" customHeight="1" x14ac:dyDescent="0.3">
      <c r="A222" s="24">
        <v>94</v>
      </c>
      <c r="B222" s="550" t="s">
        <v>25</v>
      </c>
      <c r="C222" s="550" t="s">
        <v>1767</v>
      </c>
      <c r="D222" s="551" t="s">
        <v>1768</v>
      </c>
      <c r="E222" s="1042">
        <v>42357</v>
      </c>
      <c r="F222" s="550" t="s">
        <v>1598</v>
      </c>
      <c r="G222" s="895"/>
      <c r="H222" s="550" t="s">
        <v>2030</v>
      </c>
      <c r="I222" s="1119"/>
      <c r="J222" s="100"/>
      <c r="K222" s="951"/>
    </row>
    <row r="223" spans="1:11" ht="15" customHeight="1" x14ac:dyDescent="0.3">
      <c r="A223" s="24">
        <v>95</v>
      </c>
      <c r="B223" s="550" t="s">
        <v>21</v>
      </c>
      <c r="C223" s="550" t="s">
        <v>1920</v>
      </c>
      <c r="D223" s="551" t="s">
        <v>1737</v>
      </c>
      <c r="E223" s="1042">
        <v>42364</v>
      </c>
      <c r="F223" s="550" t="s">
        <v>1598</v>
      </c>
      <c r="G223" s="895"/>
      <c r="H223" s="550" t="s">
        <v>2030</v>
      </c>
      <c r="I223" s="1119"/>
      <c r="J223" s="100"/>
      <c r="K223" s="951"/>
    </row>
    <row r="224" spans="1:11" ht="15" customHeight="1" x14ac:dyDescent="0.3">
      <c r="A224" s="24">
        <v>96</v>
      </c>
      <c r="B224" s="550" t="s">
        <v>21</v>
      </c>
      <c r="C224" s="550" t="s">
        <v>1918</v>
      </c>
      <c r="D224" s="551" t="s">
        <v>1789</v>
      </c>
      <c r="E224" s="1042">
        <v>42412</v>
      </c>
      <c r="F224" s="550" t="s">
        <v>1598</v>
      </c>
      <c r="G224" s="895"/>
      <c r="H224" s="550" t="s">
        <v>2030</v>
      </c>
      <c r="I224" s="1119"/>
      <c r="J224" s="100"/>
      <c r="K224" s="951"/>
    </row>
    <row r="225" spans="1:11" ht="15" customHeight="1" x14ac:dyDescent="0.3">
      <c r="A225" s="24">
        <v>97</v>
      </c>
      <c r="B225" s="550" t="s">
        <v>25</v>
      </c>
      <c r="C225" s="550" t="s">
        <v>1747</v>
      </c>
      <c r="D225" s="551" t="s">
        <v>1748</v>
      </c>
      <c r="E225" s="1042">
        <v>42447</v>
      </c>
      <c r="F225" s="550" t="s">
        <v>1598</v>
      </c>
      <c r="G225" s="895"/>
      <c r="H225" s="550" t="s">
        <v>2030</v>
      </c>
      <c r="I225" s="7"/>
      <c r="J225" s="22"/>
      <c r="K225" s="951"/>
    </row>
    <row r="226" spans="1:11" ht="15" customHeight="1" x14ac:dyDescent="0.3">
      <c r="A226" s="24">
        <v>98</v>
      </c>
      <c r="B226" s="550" t="s">
        <v>25</v>
      </c>
      <c r="C226" s="551" t="s">
        <v>1907</v>
      </c>
      <c r="D226" s="890" t="s">
        <v>1595</v>
      </c>
      <c r="E226" s="1042">
        <v>42864</v>
      </c>
      <c r="F226" s="550" t="s">
        <v>1598</v>
      </c>
      <c r="G226" s="895"/>
      <c r="H226" s="550" t="s">
        <v>2030</v>
      </c>
      <c r="I226" s="1119"/>
      <c r="J226" s="100"/>
      <c r="K226" s="951"/>
    </row>
    <row r="227" spans="1:11" ht="15" customHeight="1" x14ac:dyDescent="0.3">
      <c r="A227" s="24">
        <v>99</v>
      </c>
      <c r="B227" s="550" t="s">
        <v>25</v>
      </c>
      <c r="C227" s="551" t="s">
        <v>2031</v>
      </c>
      <c r="D227" s="890" t="s">
        <v>2032</v>
      </c>
      <c r="E227" s="1042">
        <v>43234</v>
      </c>
      <c r="F227" s="550" t="s">
        <v>1598</v>
      </c>
      <c r="G227" s="895"/>
      <c r="H227" s="550" t="s">
        <v>2030</v>
      </c>
      <c r="I227" s="1119"/>
      <c r="J227" s="100"/>
      <c r="K227" s="951"/>
    </row>
    <row r="228" spans="1:11" ht="15" customHeight="1" x14ac:dyDescent="0.3">
      <c r="A228" s="24">
        <v>100</v>
      </c>
      <c r="B228" s="550" t="s">
        <v>25</v>
      </c>
      <c r="C228" s="551" t="s">
        <v>1610</v>
      </c>
      <c r="D228" s="890" t="s">
        <v>1611</v>
      </c>
      <c r="E228" s="1042">
        <v>43410</v>
      </c>
      <c r="F228" s="550" t="s">
        <v>1598</v>
      </c>
      <c r="G228" s="895"/>
      <c r="H228" s="550" t="s">
        <v>2030</v>
      </c>
      <c r="I228" s="1119"/>
      <c r="J228" s="100"/>
      <c r="K228" s="951"/>
    </row>
    <row r="229" spans="1:11" ht="15" customHeight="1" x14ac:dyDescent="0.3">
      <c r="A229" s="24">
        <v>101</v>
      </c>
      <c r="B229" s="550" t="s">
        <v>25</v>
      </c>
      <c r="C229" s="551" t="s">
        <v>1597</v>
      </c>
      <c r="D229" s="890" t="s">
        <v>1595</v>
      </c>
      <c r="E229" s="1042">
        <v>43557</v>
      </c>
      <c r="F229" s="550" t="s">
        <v>1598</v>
      </c>
      <c r="G229" s="895"/>
      <c r="H229" s="550" t="s">
        <v>2030</v>
      </c>
      <c r="I229" s="1119"/>
      <c r="J229" s="100"/>
      <c r="K229" s="951"/>
    </row>
    <row r="230" spans="1:11" ht="15" customHeight="1" x14ac:dyDescent="0.3">
      <c r="A230" s="24"/>
      <c r="B230" s="550"/>
      <c r="C230" s="551"/>
      <c r="D230" s="890"/>
      <c r="E230" s="1100" t="s">
        <v>62</v>
      </c>
      <c r="F230" s="1088"/>
      <c r="G230" s="1087"/>
      <c r="H230" s="1100" t="s">
        <v>1287</v>
      </c>
      <c r="I230" s="1101"/>
      <c r="J230" s="1096"/>
      <c r="K230" s="951"/>
    </row>
    <row r="231" spans="1:11" ht="15" customHeight="1" x14ac:dyDescent="0.3">
      <c r="A231" s="24"/>
      <c r="B231" s="550"/>
      <c r="C231" s="551"/>
      <c r="D231" s="890"/>
      <c r="E231" s="1100"/>
      <c r="F231" s="1088"/>
      <c r="G231" s="1087"/>
      <c r="H231" s="1100"/>
      <c r="I231" s="1101"/>
      <c r="J231" s="1096"/>
      <c r="K231" s="951"/>
    </row>
    <row r="232" spans="1:11" ht="15" customHeight="1" x14ac:dyDescent="0.3">
      <c r="A232" s="24"/>
      <c r="B232" s="550"/>
      <c r="C232" s="551"/>
      <c r="D232" s="890"/>
      <c r="E232" s="1100"/>
      <c r="F232" s="1088"/>
      <c r="G232" s="1087"/>
      <c r="H232" s="1100"/>
      <c r="I232" s="1101"/>
      <c r="J232" s="1096"/>
      <c r="K232" s="951"/>
    </row>
    <row r="233" spans="1:11" ht="15" customHeight="1" x14ac:dyDescent="0.3">
      <c r="A233" s="24"/>
      <c r="B233" s="550"/>
      <c r="C233" s="551"/>
      <c r="D233" s="890"/>
      <c r="E233" s="1100"/>
      <c r="F233" s="1088"/>
      <c r="G233" s="1087"/>
      <c r="H233" s="1100"/>
      <c r="I233" s="1101"/>
      <c r="J233" s="1096"/>
      <c r="K233" s="951"/>
    </row>
    <row r="234" spans="1:11" ht="15" customHeight="1" x14ac:dyDescent="0.3">
      <c r="A234" s="24"/>
      <c r="B234" s="550"/>
      <c r="C234" s="551"/>
      <c r="D234" s="890"/>
      <c r="E234" s="1100"/>
      <c r="F234" s="1088"/>
      <c r="G234" s="1087"/>
      <c r="H234" s="1100"/>
      <c r="I234" s="1101"/>
      <c r="J234" s="1096"/>
      <c r="K234" s="951"/>
    </row>
    <row r="235" spans="1:11" ht="15" customHeight="1" x14ac:dyDescent="0.3">
      <c r="A235" s="24"/>
      <c r="B235" s="550"/>
      <c r="C235" s="551"/>
      <c r="D235" s="890"/>
      <c r="E235" s="1100"/>
      <c r="F235" s="1088"/>
      <c r="G235" s="1087"/>
      <c r="H235" s="1100"/>
      <c r="I235" s="1101"/>
      <c r="J235" s="1096"/>
      <c r="K235" s="951"/>
    </row>
    <row r="236" spans="1:11" ht="15" customHeight="1" x14ac:dyDescent="0.3">
      <c r="A236" s="24"/>
      <c r="B236" s="550"/>
      <c r="C236" s="551"/>
      <c r="D236" s="890"/>
      <c r="E236" s="1042"/>
      <c r="F236" s="550"/>
      <c r="G236" s="895"/>
      <c r="H236" s="550"/>
      <c r="I236" s="1119"/>
      <c r="J236" s="100"/>
      <c r="K236" s="951"/>
    </row>
    <row r="237" spans="1:11" ht="15" customHeight="1" x14ac:dyDescent="0.3">
      <c r="A237" s="24"/>
      <c r="B237" s="550"/>
      <c r="C237" s="551"/>
      <c r="D237" s="890"/>
      <c r="E237" s="1042"/>
      <c r="F237" s="550"/>
      <c r="G237" s="895"/>
      <c r="H237" s="550"/>
      <c r="I237" s="1119"/>
      <c r="J237" s="100"/>
      <c r="K237" s="951"/>
    </row>
    <row r="238" spans="1:11" ht="15" customHeight="1" x14ac:dyDescent="0.3">
      <c r="A238" s="24"/>
      <c r="B238" s="550"/>
      <c r="C238" s="550"/>
      <c r="D238" s="551"/>
      <c r="K238" s="951"/>
    </row>
    <row r="239" spans="1:11" ht="15" customHeight="1" x14ac:dyDescent="0.3">
      <c r="A239" s="24"/>
      <c r="B239" s="550"/>
      <c r="C239" s="550"/>
      <c r="D239" s="551"/>
      <c r="K239" s="951"/>
    </row>
    <row r="240" spans="1:11" ht="15" customHeight="1" x14ac:dyDescent="0.3">
      <c r="A240" s="1169" t="s">
        <v>1951</v>
      </c>
      <c r="B240" s="1169"/>
      <c r="C240" s="1169"/>
      <c r="D240" s="1169"/>
      <c r="E240" s="1169"/>
      <c r="F240" s="1169"/>
      <c r="G240" s="1169"/>
      <c r="H240" s="1169"/>
      <c r="I240" s="1169"/>
      <c r="J240" s="1169"/>
      <c r="K240" s="1169"/>
    </row>
    <row r="241" spans="1:11" ht="27" customHeight="1" x14ac:dyDescent="0.3">
      <c r="A241" s="1061" t="s">
        <v>1954</v>
      </c>
      <c r="B241" s="1062"/>
      <c r="C241" s="1062"/>
      <c r="D241" s="1062"/>
      <c r="E241" s="1062"/>
      <c r="F241" s="1062"/>
      <c r="G241" s="1062"/>
      <c r="H241" s="1062"/>
      <c r="I241" s="1062"/>
      <c r="J241" s="1062"/>
      <c r="K241" s="1062"/>
    </row>
    <row r="242" spans="1:11" ht="24" customHeight="1" x14ac:dyDescent="0.3">
      <c r="A242" s="1202" t="s">
        <v>1955</v>
      </c>
      <c r="B242" s="1202"/>
      <c r="C242" s="1202"/>
      <c r="D242" s="1202"/>
      <c r="E242" s="1202"/>
      <c r="F242" s="1202"/>
      <c r="G242" s="1202"/>
      <c r="H242" s="1202"/>
      <c r="I242" s="1202"/>
      <c r="J242" s="1202"/>
      <c r="K242" s="1202"/>
    </row>
    <row r="243" spans="1:11" ht="24" customHeight="1" x14ac:dyDescent="0.3">
      <c r="A243" s="7" t="s">
        <v>1589</v>
      </c>
      <c r="B243" s="889"/>
      <c r="C243" s="6"/>
      <c r="D243" s="145"/>
      <c r="E243" s="557"/>
      <c r="F243" s="145"/>
      <c r="G243" s="1199" t="s">
        <v>1996</v>
      </c>
      <c r="H243" s="1199"/>
      <c r="I243" s="1199"/>
      <c r="J243" s="1199"/>
      <c r="K243" s="1199"/>
    </row>
    <row r="244" spans="1:11" ht="21" customHeight="1" x14ac:dyDescent="0.3">
      <c r="A244" s="1198" t="s">
        <v>1422</v>
      </c>
      <c r="B244" s="1198"/>
      <c r="C244" s="1198"/>
      <c r="D244" s="1198"/>
      <c r="E244" s="1198"/>
      <c r="F244" s="1198"/>
      <c r="G244" s="1198"/>
      <c r="H244" s="1198"/>
      <c r="I244" s="1198"/>
      <c r="J244" s="1198"/>
      <c r="K244" s="1198"/>
    </row>
    <row r="245" spans="1:11" ht="25.5" customHeight="1" x14ac:dyDescent="0.3">
      <c r="A245" s="1183" t="s">
        <v>26</v>
      </c>
      <c r="B245" s="1185" t="s">
        <v>16</v>
      </c>
      <c r="C245" s="1187" t="s">
        <v>3</v>
      </c>
      <c r="D245" s="1188"/>
      <c r="E245" s="1185" t="s">
        <v>1948</v>
      </c>
      <c r="F245" s="1187" t="s">
        <v>17</v>
      </c>
      <c r="G245" s="1188"/>
      <c r="H245" s="1191" t="s">
        <v>27</v>
      </c>
      <c r="I245" s="1192"/>
      <c r="J245" s="1193" t="s">
        <v>1379</v>
      </c>
      <c r="K245" s="1182"/>
    </row>
    <row r="246" spans="1:11" ht="17.399999999999999" customHeight="1" x14ac:dyDescent="0.3">
      <c r="A246" s="1184"/>
      <c r="B246" s="1186"/>
      <c r="C246" s="1189"/>
      <c r="D246" s="1190"/>
      <c r="E246" s="1186"/>
      <c r="F246" s="1189"/>
      <c r="G246" s="1190"/>
      <c r="H246" s="1015" t="s">
        <v>29</v>
      </c>
      <c r="I246" s="1015" t="s">
        <v>30</v>
      </c>
      <c r="J246" s="1194"/>
      <c r="K246" s="1182"/>
    </row>
    <row r="247" spans="1:11" ht="16.8" hidden="1" customHeight="1" x14ac:dyDescent="0.3">
      <c r="A247" s="933"/>
      <c r="B247" s="934"/>
      <c r="C247" s="935"/>
      <c r="D247" s="935"/>
      <c r="E247" s="934"/>
      <c r="F247" s="935"/>
      <c r="G247" s="935"/>
      <c r="H247" s="936"/>
      <c r="I247" s="936"/>
      <c r="J247" s="934"/>
      <c r="K247" s="102"/>
    </row>
    <row r="248" spans="1:11" ht="14.25" customHeight="1" x14ac:dyDescent="0.3">
      <c r="A248" s="374"/>
      <c r="B248" s="374"/>
      <c r="C248" s="928" t="s">
        <v>1590</v>
      </c>
      <c r="D248" s="374"/>
      <c r="E248" s="374"/>
      <c r="F248" s="374"/>
      <c r="G248" s="374"/>
      <c r="H248" s="929"/>
      <c r="I248" s="977"/>
      <c r="J248" s="878"/>
      <c r="K248" s="358"/>
    </row>
    <row r="249" spans="1:11" ht="14.25" customHeight="1" x14ac:dyDescent="0.3">
      <c r="A249" s="980"/>
      <c r="B249" s="951"/>
      <c r="C249" s="947"/>
      <c r="D249" s="880"/>
      <c r="E249" s="981"/>
      <c r="F249" s="947"/>
      <c r="G249" s="947"/>
      <c r="H249" s="982"/>
      <c r="I249" s="983"/>
      <c r="J249" s="98"/>
      <c r="K249" s="358"/>
    </row>
    <row r="250" spans="1:11" ht="14.25" customHeight="1" x14ac:dyDescent="0.3">
      <c r="A250" s="1086">
        <v>1</v>
      </c>
      <c r="B250" s="551" t="s">
        <v>35</v>
      </c>
      <c r="C250" s="551" t="s">
        <v>1624</v>
      </c>
      <c r="D250" s="890" t="s">
        <v>1625</v>
      </c>
      <c r="E250" s="1042">
        <v>42586</v>
      </c>
      <c r="F250" s="550" t="s">
        <v>1596</v>
      </c>
      <c r="G250" s="895"/>
      <c r="H250" s="550"/>
      <c r="I250" s="1025">
        <v>30.24</v>
      </c>
      <c r="J250" s="1085" t="str">
        <f>IF(ISBLANK(I250)," ",IF(ISTEXT(I250)," ",IF(I250&lt;=[2]Нормативы!$H$27,"КМС",IF(I250&lt;=[2]Нормативы!$H$28,"КМС",IF(I250&lt;=[2]Нормативы!$L$29,"КМС",IF(I250&lt;=[2]Нормативы!$L$30,"I",IF(I250&lt;=[2]Нормативы!$L$31,"II",IF(I250&lt;=[2]Нормативы!$L$32,"III",IF(I250&lt;=[2]Нормативы!$L$33,"I юн",IF(I250&lt;=[2]Нормативы!$L$34,"II юн",IF(I250&lt;=[2]Нормативы!$L$35,"III юн","б/р")))))))))))</f>
        <v>I юн</v>
      </c>
      <c r="K250" s="880"/>
    </row>
    <row r="251" spans="1:11" ht="14.25" customHeight="1" x14ac:dyDescent="0.3">
      <c r="A251" s="1086">
        <v>2</v>
      </c>
      <c r="B251" s="551" t="s">
        <v>20</v>
      </c>
      <c r="C251" s="551" t="s">
        <v>1619</v>
      </c>
      <c r="D251" s="890" t="s">
        <v>1620</v>
      </c>
      <c r="E251" s="1042">
        <v>42390</v>
      </c>
      <c r="F251" s="550" t="s">
        <v>1596</v>
      </c>
      <c r="G251" s="895"/>
      <c r="H251" s="550"/>
      <c r="I251" s="1025">
        <v>34.229999999999997</v>
      </c>
      <c r="J251" s="1085" t="str">
        <f>IF(ISBLANK(I251)," ",IF(ISTEXT(I251)," ",IF(I251&lt;=[2]Нормативы!$H$27,"КМС",IF(I251&lt;=[2]Нормативы!$H$28,"КМС",IF(I251&lt;=[2]Нормативы!$L$29,"КМС",IF(I251&lt;=[2]Нормативы!$L$30,"I",IF(I251&lt;=[2]Нормативы!$L$31,"II",IF(I251&lt;=[2]Нормативы!$L$32,"III",IF(I251&lt;=[2]Нормативы!$L$33,"I юн",IF(I251&lt;=[2]Нормативы!$L$34,"II юн",IF(I251&lt;=[2]Нормативы!$L$35,"III юн","б/р")))))))))))</f>
        <v>II юн</v>
      </c>
      <c r="K251" s="1025"/>
    </row>
    <row r="252" spans="1:11" ht="14.25" customHeight="1" x14ac:dyDescent="0.3">
      <c r="A252" s="1086">
        <v>3</v>
      </c>
      <c r="B252" s="551" t="s">
        <v>21</v>
      </c>
      <c r="C252" s="551" t="s">
        <v>1621</v>
      </c>
      <c r="D252" s="890" t="s">
        <v>1595</v>
      </c>
      <c r="E252" s="1042">
        <v>42811</v>
      </c>
      <c r="F252" s="550" t="s">
        <v>1452</v>
      </c>
      <c r="G252" s="895"/>
      <c r="H252" s="550"/>
      <c r="I252" s="1025">
        <v>34.81</v>
      </c>
      <c r="J252" s="1085" t="str">
        <f>IF(ISBLANK(I252)," ",IF(ISTEXT(I252)," ",IF(I252&lt;=[2]Нормативы!$H$27,"КМС",IF(I252&lt;=[2]Нормативы!$H$28,"КМС",IF(I252&lt;=[2]Нормативы!$L$29,"КМС",IF(I252&lt;=[2]Нормативы!$L$30,"I",IF(I252&lt;=[2]Нормативы!$L$31,"II",IF(I252&lt;=[2]Нормативы!$L$32,"III",IF(I252&lt;=[2]Нормативы!$L$33,"I юн",IF(I252&lt;=[2]Нормативы!$L$34,"II юн",IF(I252&lt;=[2]Нормативы!$L$35,"III юн","б/р")))))))))))</f>
        <v>II юн</v>
      </c>
      <c r="K252" s="1025"/>
    </row>
    <row r="253" spans="1:11" ht="14.25" customHeight="1" x14ac:dyDescent="0.3">
      <c r="A253" s="1086">
        <v>4</v>
      </c>
      <c r="B253" s="551" t="s">
        <v>21</v>
      </c>
      <c r="C253" s="551" t="s">
        <v>1622</v>
      </c>
      <c r="D253" s="890" t="s">
        <v>1623</v>
      </c>
      <c r="E253" s="1042">
        <v>42656</v>
      </c>
      <c r="F253" s="550" t="s">
        <v>1450</v>
      </c>
      <c r="G253" s="895"/>
      <c r="H253" s="550"/>
      <c r="I253" s="1025">
        <v>35.51</v>
      </c>
      <c r="J253" s="1085" t="str">
        <f>IF(ISBLANK(I253)," ",IF(ISTEXT(I253)," ",IF(I253&lt;=[2]Нормативы!$H$27,"КМС",IF(I253&lt;=[2]Нормативы!$H$28,"КМС",IF(I253&lt;=[2]Нормативы!$L$29,"КМС",IF(I253&lt;=[2]Нормативы!$L$30,"I",IF(I253&lt;=[2]Нормативы!$L$31,"II",IF(I253&lt;=[2]Нормативы!$L$32,"III",IF(I253&lt;=[2]Нормативы!$L$33,"I юн",IF(I253&lt;=[2]Нормативы!$L$34,"II юн",IF(I253&lt;=[2]Нормативы!$L$35,"III юн","б/р")))))))))))</f>
        <v>II юн</v>
      </c>
      <c r="K253" s="1025"/>
    </row>
    <row r="254" spans="1:11" ht="14.25" customHeight="1" x14ac:dyDescent="0.3">
      <c r="A254" s="1086">
        <v>5</v>
      </c>
      <c r="B254" s="551" t="s">
        <v>25</v>
      </c>
      <c r="C254" s="551" t="s">
        <v>1617</v>
      </c>
      <c r="D254" s="890" t="s">
        <v>1618</v>
      </c>
      <c r="E254" s="1042">
        <v>42486</v>
      </c>
      <c r="F254" s="550" t="s">
        <v>1452</v>
      </c>
      <c r="G254" s="895"/>
      <c r="H254" s="550"/>
      <c r="I254" s="1025">
        <v>36.83</v>
      </c>
      <c r="J254" s="1085" t="str">
        <f>IF(ISBLANK(I254)," ",IF(ISTEXT(I254)," ",IF(I254&lt;=[2]Нормативы!$H$27,"КМС",IF(I254&lt;=[2]Нормативы!$H$28,"КМС",IF(I254&lt;=[2]Нормативы!$L$29,"КМС",IF(I254&lt;=[2]Нормативы!$L$30,"I",IF(I254&lt;=[2]Нормативы!$L$31,"II",IF(I254&lt;=[2]Нормативы!$L$32,"III",IF(I254&lt;=[2]Нормативы!$L$33,"I юн",IF(I254&lt;=[2]Нормативы!$L$34,"II юн",IF(I254&lt;=[2]Нормативы!$L$35,"III юн","б/р")))))))))))</f>
        <v>III юн</v>
      </c>
      <c r="K254" s="1025"/>
    </row>
    <row r="255" spans="1:11" ht="14.25" customHeight="1" x14ac:dyDescent="0.3">
      <c r="A255" s="1086">
        <v>6</v>
      </c>
      <c r="B255" s="551" t="s">
        <v>25</v>
      </c>
      <c r="C255" s="551" t="s">
        <v>1607</v>
      </c>
      <c r="D255" s="890" t="s">
        <v>1606</v>
      </c>
      <c r="E255" s="1043">
        <v>42641</v>
      </c>
      <c r="F255" s="550" t="s">
        <v>1430</v>
      </c>
      <c r="G255" s="895"/>
      <c r="H255" s="550"/>
      <c r="I255" s="1025">
        <v>38</v>
      </c>
      <c r="J255" s="1085" t="str">
        <f>IF(ISBLANK(I255)," ",IF(ISTEXT(I255)," ",IF(I255&lt;=[2]Нормативы!$H$27,"КМС",IF(I255&lt;=[2]Нормативы!$H$28,"КМС",IF(I255&lt;=[2]Нормативы!$L$29,"КМС",IF(I255&lt;=[2]Нормативы!$L$30,"I",IF(I255&lt;=[2]Нормативы!$L$31,"II",IF(I255&lt;=[2]Нормативы!$L$32,"III",IF(I255&lt;=[2]Нормативы!$L$33,"I юн",IF(I255&lt;=[2]Нормативы!$L$34,"II юн",IF(I255&lt;=[2]Нормативы!$L$35,"III юн","б/р")))))))))))</f>
        <v>III юн</v>
      </c>
      <c r="K255" s="1025"/>
    </row>
    <row r="256" spans="1:11" ht="14.25" customHeight="1" x14ac:dyDescent="0.3">
      <c r="A256" s="1086">
        <v>7</v>
      </c>
      <c r="B256" s="551" t="s">
        <v>25</v>
      </c>
      <c r="C256" s="551" t="s">
        <v>1602</v>
      </c>
      <c r="D256" s="890" t="s">
        <v>1603</v>
      </c>
      <c r="E256" s="1043" t="s">
        <v>1604</v>
      </c>
      <c r="F256" s="550" t="s">
        <v>1430</v>
      </c>
      <c r="G256" s="895"/>
      <c r="H256" s="550"/>
      <c r="I256" s="1025">
        <v>38.33</v>
      </c>
      <c r="J256" s="1085" t="str">
        <f>IF(ISBLANK(I256)," ",IF(ISTEXT(I256)," ",IF(I256&lt;=[2]Нормативы!$H$27,"КМС",IF(I256&lt;=[2]Нормативы!$H$28,"КМС",IF(I256&lt;=[2]Нормативы!$L$29,"КМС",IF(I256&lt;=[2]Нормативы!$L$30,"I",IF(I256&lt;=[2]Нормативы!$L$31,"II",IF(I256&lt;=[2]Нормативы!$L$32,"III",IF(I256&lt;=[2]Нормативы!$L$33,"I юн",IF(I256&lt;=[2]Нормативы!$L$34,"II юн",IF(I256&lt;=[2]Нормативы!$L$35,"III юн","б/р")))))))))))</f>
        <v>III юн</v>
      </c>
      <c r="K256" s="1025"/>
    </row>
    <row r="257" spans="1:11" ht="14.25" customHeight="1" x14ac:dyDescent="0.3">
      <c r="A257" s="1086">
        <v>8</v>
      </c>
      <c r="B257" s="551" t="s">
        <v>25</v>
      </c>
      <c r="C257" s="551" t="s">
        <v>1610</v>
      </c>
      <c r="D257" s="890" t="s">
        <v>1611</v>
      </c>
      <c r="E257" s="1042">
        <v>43410</v>
      </c>
      <c r="F257" s="550" t="s">
        <v>1598</v>
      </c>
      <c r="G257" s="895"/>
      <c r="H257" s="550"/>
      <c r="I257" s="1025">
        <v>39.32</v>
      </c>
      <c r="J257" s="1085" t="str">
        <f>IF(ISBLANK(I257)," ",IF(ISTEXT(I257)," ",IF(I257&lt;=[2]Нормативы!$H$27,"КМС",IF(I257&lt;=[2]Нормативы!$H$28,"КМС",IF(I257&lt;=[2]Нормативы!$L$29,"КМС",IF(I257&lt;=[2]Нормативы!$L$30,"I",IF(I257&lt;=[2]Нормативы!$L$31,"II",IF(I257&lt;=[2]Нормативы!$L$32,"III",IF(I257&lt;=[2]Нормативы!$L$33,"I юн",IF(I257&lt;=[2]Нормативы!$L$34,"II юн",IF(I257&lt;=[2]Нормативы!$L$35,"III юн","б/р")))))))))))</f>
        <v>б/р</v>
      </c>
      <c r="K257" s="1025"/>
    </row>
    <row r="258" spans="1:11" ht="14.25" customHeight="1" x14ac:dyDescent="0.3">
      <c r="A258" s="1086">
        <v>9</v>
      </c>
      <c r="B258" s="551" t="s">
        <v>25</v>
      </c>
      <c r="C258" s="551" t="s">
        <v>1605</v>
      </c>
      <c r="D258" s="890" t="s">
        <v>1606</v>
      </c>
      <c r="E258" s="1042">
        <v>42872</v>
      </c>
      <c r="F258" s="550" t="s">
        <v>1596</v>
      </c>
      <c r="G258" s="895"/>
      <c r="H258" s="550"/>
      <c r="I258" s="1025">
        <v>39.869999999999997</v>
      </c>
      <c r="J258" s="1085" t="str">
        <f>IF(ISBLANK(I258)," ",IF(ISTEXT(I258)," ",IF(I258&lt;=[2]Нормативы!$H$27,"КМС",IF(I258&lt;=[2]Нормативы!$H$28,"КМС",IF(I258&lt;=[2]Нормативы!$L$29,"КМС",IF(I258&lt;=[2]Нормативы!$L$30,"I",IF(I258&lt;=[2]Нормативы!$L$31,"II",IF(I258&lt;=[2]Нормативы!$L$32,"III",IF(I258&lt;=[2]Нормативы!$L$33,"I юн",IF(I258&lt;=[2]Нормативы!$L$34,"II юн",IF(I258&lt;=[2]Нормативы!$L$35,"III юн","б/р")))))))))))</f>
        <v>б/р</v>
      </c>
      <c r="K258" s="1025"/>
    </row>
    <row r="259" spans="1:11" ht="14.25" customHeight="1" x14ac:dyDescent="0.3">
      <c r="A259" s="1086">
        <v>10</v>
      </c>
      <c r="B259" s="551" t="s">
        <v>25</v>
      </c>
      <c r="C259" s="551" t="s">
        <v>1600</v>
      </c>
      <c r="D259" s="890" t="s">
        <v>1601</v>
      </c>
      <c r="E259" s="1042">
        <v>42452</v>
      </c>
      <c r="F259" s="550" t="s">
        <v>1596</v>
      </c>
      <c r="G259" s="895"/>
      <c r="H259" s="550"/>
      <c r="I259" s="1025">
        <v>40.11</v>
      </c>
      <c r="J259" s="1085" t="str">
        <f>IF(ISBLANK(I259)," ",IF(ISTEXT(I259)," ",IF(I259&lt;=[2]Нормативы!$H$27,"КМС",IF(I259&lt;=[2]Нормативы!$H$28,"КМС",IF(I259&lt;=[2]Нормативы!$L$29,"КМС",IF(I259&lt;=[2]Нормативы!$L$30,"I",IF(I259&lt;=[2]Нормативы!$L$31,"II",IF(I259&lt;=[2]Нормативы!$L$32,"III",IF(I259&lt;=[2]Нормативы!$L$33,"I юн",IF(I259&lt;=[2]Нормативы!$L$34,"II юн",IF(I259&lt;=[2]Нормативы!$L$35,"III юн","б/р")))))))))))</f>
        <v>б/р</v>
      </c>
      <c r="K259" s="1025"/>
    </row>
    <row r="260" spans="1:11" ht="14.25" customHeight="1" x14ac:dyDescent="0.3">
      <c r="A260" s="1086">
        <v>11</v>
      </c>
      <c r="B260" s="551" t="s">
        <v>21</v>
      </c>
      <c r="C260" s="551" t="s">
        <v>1608</v>
      </c>
      <c r="D260" s="890" t="s">
        <v>1609</v>
      </c>
      <c r="E260" s="1042">
        <v>42815</v>
      </c>
      <c r="F260" s="550" t="s">
        <v>1596</v>
      </c>
      <c r="G260" s="895"/>
      <c r="H260" s="550"/>
      <c r="I260" s="1025">
        <v>43.13</v>
      </c>
      <c r="J260" s="1085" t="str">
        <f>IF(ISBLANK(I260)," ",IF(ISTEXT(I260)," ",IF(I260&lt;=[2]Нормативы!$H$27,"КМС",IF(I260&lt;=[2]Нормативы!$H$28,"КМС",IF(I260&lt;=[2]Нормативы!$L$29,"КМС",IF(I260&lt;=[2]Нормативы!$L$30,"I",IF(I260&lt;=[2]Нормативы!$L$31,"II",IF(I260&lt;=[2]Нормативы!$L$32,"III",IF(I260&lt;=[2]Нормативы!$L$33,"I юн",IF(I260&lt;=[2]Нормативы!$L$34,"II юн",IF(I260&lt;=[2]Нормативы!$L$35,"III юн","б/р")))))))))))</f>
        <v>б/р</v>
      </c>
      <c r="K260" s="1025"/>
    </row>
    <row r="261" spans="1:11" ht="14.25" customHeight="1" x14ac:dyDescent="0.3">
      <c r="A261" s="1086">
        <v>12</v>
      </c>
      <c r="B261" s="551" t="s">
        <v>25</v>
      </c>
      <c r="C261" s="551" t="s">
        <v>1594</v>
      </c>
      <c r="D261" s="890" t="s">
        <v>1595</v>
      </c>
      <c r="E261" s="1042">
        <v>42372</v>
      </c>
      <c r="F261" s="550" t="s">
        <v>1596</v>
      </c>
      <c r="G261" s="895"/>
      <c r="H261" s="550"/>
      <c r="I261" s="1025">
        <v>43.74</v>
      </c>
      <c r="J261" s="1085" t="str">
        <f>IF(ISBLANK(I261)," ",IF(ISTEXT(I261)," ",IF(I261&lt;=[2]Нормативы!$H$27,"КМС",IF(I261&lt;=[2]Нормативы!$H$28,"КМС",IF(I261&lt;=[2]Нормативы!$L$29,"КМС",IF(I261&lt;=[2]Нормативы!$L$30,"I",IF(I261&lt;=[2]Нормативы!$L$31,"II",IF(I261&lt;=[2]Нормативы!$L$32,"III",IF(I261&lt;=[2]Нормативы!$L$33,"I юн",IF(I261&lt;=[2]Нормативы!$L$34,"II юн",IF(I261&lt;=[2]Нормативы!$L$35,"III юн","б/р")))))))))))</f>
        <v>б/р</v>
      </c>
      <c r="K261" s="1025"/>
    </row>
    <row r="262" spans="1:11" ht="14.25" customHeight="1" x14ac:dyDescent="0.3">
      <c r="A262" s="1086">
        <v>13</v>
      </c>
      <c r="B262" s="551" t="s">
        <v>25</v>
      </c>
      <c r="C262" s="551" t="s">
        <v>1597</v>
      </c>
      <c r="D262" s="890" t="s">
        <v>1595</v>
      </c>
      <c r="E262" s="1042">
        <v>43557</v>
      </c>
      <c r="F262" s="550" t="s">
        <v>1598</v>
      </c>
      <c r="G262" s="895"/>
      <c r="H262" s="550"/>
      <c r="I262" s="1025">
        <v>47.09</v>
      </c>
      <c r="J262" s="1085" t="str">
        <f>IF(ISBLANK(I262)," ",IF(ISTEXT(I262)," ",IF(I262&lt;=[2]Нормативы!$H$27,"КМС",IF(I262&lt;=[2]Нормативы!$H$28,"КМС",IF(I262&lt;=[2]Нормативы!$L$29,"КМС",IF(I262&lt;=[2]Нормативы!$L$30,"I",IF(I262&lt;=[2]Нормативы!$L$31,"II",IF(I262&lt;=[2]Нормативы!$L$32,"III",IF(I262&lt;=[2]Нормативы!$L$33,"I юн",IF(I262&lt;=[2]Нормативы!$L$34,"II юн",IF(I262&lt;=[2]Нормативы!$L$35,"III юн","б/р")))))))))))</f>
        <v>б/р</v>
      </c>
      <c r="K262" s="1025"/>
    </row>
    <row r="263" spans="1:11" ht="14.25" customHeight="1" x14ac:dyDescent="0.3">
      <c r="A263" s="1086">
        <v>14</v>
      </c>
      <c r="B263" s="551" t="s">
        <v>25</v>
      </c>
      <c r="C263" s="551" t="s">
        <v>1614</v>
      </c>
      <c r="D263" s="890" t="s">
        <v>1613</v>
      </c>
      <c r="E263" s="1042">
        <v>42794</v>
      </c>
      <c r="F263" s="550" t="s">
        <v>1452</v>
      </c>
      <c r="G263" s="895"/>
      <c r="H263" s="550"/>
      <c r="I263" s="1025">
        <v>49.35</v>
      </c>
      <c r="J263" s="1085" t="str">
        <f>IF(ISBLANK(I263)," ",IF(ISTEXT(I263)," ",IF(I263&lt;=[2]Нормативы!$H$27,"КМС",IF(I263&lt;=[2]Нормативы!$H$28,"КМС",IF(I263&lt;=[2]Нормативы!$L$29,"КМС",IF(I263&lt;=[2]Нормативы!$L$30,"I",IF(I263&lt;=[2]Нормативы!$L$31,"II",IF(I263&lt;=[2]Нормативы!$L$32,"III",IF(I263&lt;=[2]Нормативы!$L$33,"I юн",IF(I263&lt;=[2]Нормативы!$L$34,"II юн",IF(I263&lt;=[2]Нормативы!$L$35,"III юн","б/р")))))))))))</f>
        <v>б/р</v>
      </c>
      <c r="K263" s="1025"/>
    </row>
    <row r="264" spans="1:11" ht="14.25" customHeight="1" x14ac:dyDescent="0.3">
      <c r="A264" s="1086"/>
      <c r="B264" s="551" t="s">
        <v>25</v>
      </c>
      <c r="C264" s="551" t="s">
        <v>1615</v>
      </c>
      <c r="D264" s="890" t="s">
        <v>1616</v>
      </c>
      <c r="E264" s="1042">
        <v>42818</v>
      </c>
      <c r="F264" s="550" t="s">
        <v>1452</v>
      </c>
      <c r="G264" s="895"/>
      <c r="H264" s="550"/>
      <c r="I264" s="1074" t="s">
        <v>2066</v>
      </c>
      <c r="J264" s="1085"/>
      <c r="K264" s="880"/>
    </row>
    <row r="265" spans="1:11" ht="14.25" customHeight="1" x14ac:dyDescent="0.3">
      <c r="A265" s="1086"/>
      <c r="B265" s="551"/>
      <c r="C265" s="551"/>
      <c r="D265" s="890"/>
      <c r="E265" s="1042"/>
      <c r="F265" s="550"/>
      <c r="G265" s="895"/>
      <c r="H265" s="550"/>
      <c r="I265" s="1025"/>
      <c r="J265" s="1085"/>
      <c r="K265" s="880"/>
    </row>
    <row r="266" spans="1:11" ht="14.25" customHeight="1" x14ac:dyDescent="0.3">
      <c r="A266" s="1028"/>
      <c r="B266" s="56"/>
      <c r="C266" s="928" t="s">
        <v>1591</v>
      </c>
      <c r="D266" s="374"/>
      <c r="E266" s="374"/>
      <c r="F266" s="374"/>
      <c r="G266" s="374"/>
      <c r="H266" s="929"/>
      <c r="I266" s="1044"/>
      <c r="J266" s="549"/>
      <c r="K266" s="18"/>
    </row>
    <row r="267" spans="1:11" ht="14.25" customHeight="1" x14ac:dyDescent="0.3">
      <c r="A267" s="1070"/>
      <c r="H267" s="923"/>
      <c r="J267" s="300"/>
      <c r="K267" s="1025"/>
    </row>
    <row r="268" spans="1:11" ht="14.25" customHeight="1" x14ac:dyDescent="0.3">
      <c r="A268" s="1086">
        <v>1</v>
      </c>
      <c r="B268" s="550" t="s">
        <v>23</v>
      </c>
      <c r="C268" s="550" t="s">
        <v>1662</v>
      </c>
      <c r="D268" s="7" t="s">
        <v>1657</v>
      </c>
      <c r="E268" s="1042">
        <v>41841</v>
      </c>
      <c r="F268" s="550" t="s">
        <v>1596</v>
      </c>
      <c r="G268" s="550"/>
      <c r="H268" s="550"/>
      <c r="I268" s="1025">
        <v>25.94</v>
      </c>
      <c r="J268" s="1085" t="str">
        <f>IF(ISBLANK(I268)," ",IF(ISTEXT(I268)," ",IF(I268&lt;=[2]Нормативы!$H$27,"КМС",IF(I268&lt;=[2]Нормативы!$H$28,"КМС",IF(I268&lt;=[2]Нормативы!$L$29,"КМС",IF(I268&lt;=[2]Нормативы!$L$30,"I",IF(I268&lt;=[2]Нормативы!$L$31,"II",IF(I268&lt;=[2]Нормативы!$L$32,"III",IF(I268&lt;=[2]Нормативы!$L$33,"I юн",IF(I268&lt;=[2]Нормативы!$L$34,"II юн",IF(I268&lt;=[2]Нормативы!$L$35,"III юн","б/р")))))))))))</f>
        <v>I</v>
      </c>
      <c r="K268" s="1025"/>
    </row>
    <row r="269" spans="1:11" ht="14.25" customHeight="1" x14ac:dyDescent="0.3">
      <c r="A269" s="1086">
        <v>2</v>
      </c>
      <c r="B269" s="550" t="s">
        <v>24</v>
      </c>
      <c r="C269" s="550" t="s">
        <v>1660</v>
      </c>
      <c r="D269" s="7" t="s">
        <v>1595</v>
      </c>
      <c r="E269" s="1043">
        <v>41845</v>
      </c>
      <c r="F269" s="550" t="s">
        <v>1430</v>
      </c>
      <c r="G269" s="550"/>
      <c r="H269" s="550"/>
      <c r="I269" s="1025">
        <v>26.81</v>
      </c>
      <c r="J269" s="1085" t="str">
        <f>IF(ISBLANK(I269)," ",IF(ISTEXT(I269)," ",IF(I269&lt;=[2]Нормативы!$H$27,"КМС",IF(I269&lt;=[2]Нормативы!$H$28,"КМС",IF(I269&lt;=[2]Нормативы!$L$29,"КМС",IF(I269&lt;=[2]Нормативы!$L$30,"I",IF(I269&lt;=[2]Нормативы!$L$31,"II",IF(I269&lt;=[2]Нормативы!$L$32,"III",IF(I269&lt;=[2]Нормативы!$L$33,"I юн",IF(I269&lt;=[2]Нормативы!$L$34,"II юн",IF(I269&lt;=[2]Нормативы!$L$35,"III юн","б/р")))))))))))</f>
        <v>II</v>
      </c>
      <c r="K269" s="1025"/>
    </row>
    <row r="270" spans="1:11" ht="14.25" customHeight="1" x14ac:dyDescent="0.3">
      <c r="A270" s="1086">
        <v>3</v>
      </c>
      <c r="B270" s="550" t="s">
        <v>24</v>
      </c>
      <c r="C270" s="550" t="s">
        <v>1661</v>
      </c>
      <c r="D270" s="7" t="s">
        <v>1620</v>
      </c>
      <c r="E270" s="1042">
        <v>41969</v>
      </c>
      <c r="F270" s="550" t="s">
        <v>1381</v>
      </c>
      <c r="G270" s="550"/>
      <c r="H270" s="550"/>
      <c r="I270" s="1025">
        <v>27.5</v>
      </c>
      <c r="J270" s="1085" t="str">
        <f>IF(ISBLANK(I270)," ",IF(ISTEXT(I270)," ",IF(I270&lt;=[2]Нормативы!$H$27,"КМС",IF(I270&lt;=[2]Нормативы!$H$28,"КМС",IF(I270&lt;=[2]Нормативы!$L$29,"КМС",IF(I270&lt;=[2]Нормативы!$L$30,"I",IF(I270&lt;=[2]Нормативы!$L$31,"II",IF(I270&lt;=[2]Нормативы!$L$32,"III",IF(I270&lt;=[2]Нормативы!$L$33,"I юн",IF(I270&lt;=[2]Нормативы!$L$34,"II юн",IF(I270&lt;=[2]Нормативы!$L$35,"III юн","б/р")))))))))))</f>
        <v>II</v>
      </c>
      <c r="K270" s="1025"/>
    </row>
    <row r="271" spans="1:11" ht="14.25" customHeight="1" x14ac:dyDescent="0.3">
      <c r="A271" s="1086">
        <v>4</v>
      </c>
      <c r="B271" s="550" t="s">
        <v>24</v>
      </c>
      <c r="C271" s="550" t="s">
        <v>1659</v>
      </c>
      <c r="D271" s="7" t="s">
        <v>1620</v>
      </c>
      <c r="E271" s="1042">
        <v>41965</v>
      </c>
      <c r="F271" s="550" t="s">
        <v>1450</v>
      </c>
      <c r="G271" s="550"/>
      <c r="H271" s="550"/>
      <c r="I271" s="1025">
        <v>28.2</v>
      </c>
      <c r="J271" s="1085" t="str">
        <f>IF(ISBLANK(I271)," ",IF(ISTEXT(I271)," ",IF(I271&lt;=[2]Нормативы!$H$27,"КМС",IF(I271&lt;=[2]Нормативы!$H$28,"КМС",IF(I271&lt;=[2]Нормативы!$L$29,"КМС",IF(I271&lt;=[2]Нормативы!$L$30,"I",IF(I271&lt;=[2]Нормативы!$L$31,"II",IF(I271&lt;=[2]Нормативы!$L$32,"III",IF(I271&lt;=[2]Нормативы!$L$33,"I юн",IF(I271&lt;=[2]Нормативы!$L$34,"II юн",IF(I271&lt;=[2]Нормативы!$L$35,"III юн","б/р")))))))))))</f>
        <v>III</v>
      </c>
      <c r="K271" s="1025"/>
    </row>
    <row r="272" spans="1:11" ht="14.25" customHeight="1" x14ac:dyDescent="0.3">
      <c r="A272" s="1086">
        <v>5</v>
      </c>
      <c r="B272" s="550" t="s">
        <v>24</v>
      </c>
      <c r="C272" s="550" t="s">
        <v>1435</v>
      </c>
      <c r="D272" s="7" t="s">
        <v>1657</v>
      </c>
      <c r="E272" s="1042">
        <v>41951</v>
      </c>
      <c r="F272" s="550" t="s">
        <v>1450</v>
      </c>
      <c r="G272" s="550"/>
      <c r="H272" s="550"/>
      <c r="I272" s="1025">
        <v>28.5</v>
      </c>
      <c r="J272" s="1085" t="str">
        <f>IF(ISBLANK(I272)," ",IF(ISTEXT(I272)," ",IF(I272&lt;=[2]Нормативы!$H$27,"КМС",IF(I272&lt;=[2]Нормативы!$H$28,"КМС",IF(I272&lt;=[2]Нормативы!$L$29,"КМС",IF(I272&lt;=[2]Нормативы!$L$30,"I",IF(I272&lt;=[2]Нормативы!$L$31,"II",IF(I272&lt;=[2]Нормативы!$L$32,"III",IF(I272&lt;=[2]Нормативы!$L$33,"I юн",IF(I272&lt;=[2]Нормативы!$L$34,"II юн",IF(I272&lt;=[2]Нормативы!$L$35,"III юн","б/р")))))))))))</f>
        <v>III</v>
      </c>
      <c r="K272" s="1025"/>
    </row>
    <row r="273" spans="1:11" ht="14.25" customHeight="1" x14ac:dyDescent="0.3">
      <c r="A273" s="1086">
        <v>6</v>
      </c>
      <c r="B273" s="550" t="s">
        <v>24</v>
      </c>
      <c r="C273" s="550" t="s">
        <v>1658</v>
      </c>
      <c r="D273" s="7" t="s">
        <v>1649</v>
      </c>
      <c r="E273" s="1042">
        <v>41793</v>
      </c>
      <c r="F273" s="550" t="s">
        <v>1381</v>
      </c>
      <c r="G273" s="550"/>
      <c r="H273" s="550"/>
      <c r="I273" s="1025">
        <v>29.11</v>
      </c>
      <c r="J273" s="1085" t="str">
        <f>IF(ISBLANK(I273)," ",IF(ISTEXT(I273)," ",IF(I273&lt;=[2]Нормативы!$H$27,"КМС",IF(I273&lt;=[2]Нормативы!$H$28,"КМС",IF(I273&lt;=[2]Нормативы!$L$29,"КМС",IF(I273&lt;=[2]Нормативы!$L$30,"I",IF(I273&lt;=[2]Нормативы!$L$31,"II",IF(I273&lt;=[2]Нормативы!$L$32,"III",IF(I273&lt;=[2]Нормативы!$L$33,"I юн",IF(I273&lt;=[2]Нормативы!$L$34,"II юн",IF(I273&lt;=[2]Нормативы!$L$35,"III юн","б/р")))))))))))</f>
        <v>III</v>
      </c>
      <c r="K273" s="1025"/>
    </row>
    <row r="274" spans="1:11" ht="14.25" customHeight="1" x14ac:dyDescent="0.3">
      <c r="A274" s="1086">
        <v>7</v>
      </c>
      <c r="B274" s="550" t="s">
        <v>20</v>
      </c>
      <c r="C274" s="550" t="s">
        <v>1651</v>
      </c>
      <c r="D274" s="7" t="s">
        <v>1652</v>
      </c>
      <c r="E274" s="1042">
        <v>42012</v>
      </c>
      <c r="F274" s="550" t="s">
        <v>1450</v>
      </c>
      <c r="G274" s="550"/>
      <c r="H274" s="550"/>
      <c r="I274" s="1025">
        <v>29.64</v>
      </c>
      <c r="J274" s="1085" t="str">
        <f>IF(ISBLANK(I274)," ",IF(ISTEXT(I274)," ",IF(I274&lt;=[2]Нормативы!$H$27,"КМС",IF(I274&lt;=[2]Нормативы!$H$28,"КМС",IF(I274&lt;=[2]Нормативы!$L$29,"КМС",IF(I274&lt;=[2]Нормативы!$L$30,"I",IF(I274&lt;=[2]Нормативы!$L$31,"II",IF(I274&lt;=[2]Нормативы!$L$32,"III",IF(I274&lt;=[2]Нормативы!$L$33,"I юн",IF(I274&lt;=[2]Нормативы!$L$34,"II юн",IF(I274&lt;=[2]Нормативы!$L$35,"III юн","б/р")))))))))))</f>
        <v>III</v>
      </c>
      <c r="K274" s="976"/>
    </row>
    <row r="275" spans="1:11" ht="14.25" customHeight="1" x14ac:dyDescent="0.3">
      <c r="A275" s="1086">
        <v>8</v>
      </c>
      <c r="B275" s="24" t="s">
        <v>35</v>
      </c>
      <c r="C275" s="550" t="s">
        <v>1655</v>
      </c>
      <c r="D275" s="7" t="s">
        <v>1618</v>
      </c>
      <c r="E275" s="1043">
        <v>41777</v>
      </c>
      <c r="F275" s="550" t="s">
        <v>1430</v>
      </c>
      <c r="G275" s="550"/>
      <c r="H275" s="550"/>
      <c r="I275" s="1025">
        <v>29.97</v>
      </c>
      <c r="J275" s="1085" t="str">
        <f>IF(ISBLANK(I275)," ",IF(ISTEXT(I275)," ",IF(I275&lt;=[2]Нормативы!$H$27,"КМС",IF(I275&lt;=[2]Нормативы!$H$28,"КМС",IF(I275&lt;=[2]Нормативы!$L$29,"КМС",IF(I275&lt;=[2]Нормативы!$L$30,"I",IF(I275&lt;=[2]Нормативы!$L$31,"II",IF(I275&lt;=[2]Нормативы!$L$32,"III",IF(I275&lt;=[2]Нормативы!$L$33,"I юн",IF(I275&lt;=[2]Нормативы!$L$34,"II юн",IF(I275&lt;=[2]Нормативы!$L$35,"III юн","б/р")))))))))))</f>
        <v>III</v>
      </c>
      <c r="K275" s="1025"/>
    </row>
    <row r="276" spans="1:11" ht="14.25" customHeight="1" x14ac:dyDescent="0.3">
      <c r="A276" s="1086">
        <v>9</v>
      </c>
      <c r="B276" s="550" t="s">
        <v>35</v>
      </c>
      <c r="C276" s="550" t="s">
        <v>1656</v>
      </c>
      <c r="D276" s="7" t="s">
        <v>1618</v>
      </c>
      <c r="E276" s="1042">
        <v>42036</v>
      </c>
      <c r="F276" s="550" t="s">
        <v>1450</v>
      </c>
      <c r="G276" s="550"/>
      <c r="H276" s="550"/>
      <c r="I276" s="1025">
        <v>30.38</v>
      </c>
      <c r="J276" s="1085" t="str">
        <f>IF(ISBLANK(I276)," ",IF(ISTEXT(I276)," ",IF(I276&lt;=[2]Нормативы!$H$27,"КМС",IF(I276&lt;=[2]Нормативы!$H$28,"КМС",IF(I276&lt;=[2]Нормативы!$L$29,"КМС",IF(I276&lt;=[2]Нормативы!$L$30,"I",IF(I276&lt;=[2]Нормативы!$L$31,"II",IF(I276&lt;=[2]Нормативы!$L$32,"III",IF(I276&lt;=[2]Нормативы!$L$33,"I юн",IF(I276&lt;=[2]Нормативы!$L$34,"II юн",IF(I276&lt;=[2]Нормативы!$L$35,"III юн","б/р")))))))))))</f>
        <v>I юн</v>
      </c>
      <c r="K276" s="1025"/>
    </row>
    <row r="277" spans="1:11" ht="14.25" customHeight="1" x14ac:dyDescent="0.3">
      <c r="A277" s="1086">
        <v>10</v>
      </c>
      <c r="B277" s="550" t="s">
        <v>35</v>
      </c>
      <c r="C277" s="550" t="s">
        <v>1653</v>
      </c>
      <c r="D277" s="7" t="s">
        <v>1618</v>
      </c>
      <c r="E277" s="1042">
        <v>41889</v>
      </c>
      <c r="F277" s="550" t="s">
        <v>1654</v>
      </c>
      <c r="G277" s="550"/>
      <c r="H277" s="550"/>
      <c r="I277" s="1025">
        <v>30.69</v>
      </c>
      <c r="J277" s="1085" t="str">
        <f>IF(ISBLANK(I277)," ",IF(ISTEXT(I277)," ",IF(I277&lt;=[2]Нормативы!$H$27,"КМС",IF(I277&lt;=[2]Нормативы!$H$28,"КМС",IF(I277&lt;=[2]Нормативы!$L$29,"КМС",IF(I277&lt;=[2]Нормативы!$L$30,"I",IF(I277&lt;=[2]Нормативы!$L$31,"II",IF(I277&lt;=[2]Нормативы!$L$32,"III",IF(I277&lt;=[2]Нормативы!$L$33,"I юн",IF(I277&lt;=[2]Нормативы!$L$34,"II юн",IF(I277&lt;=[2]Нормативы!$L$35,"III юн","б/р")))))))))))</f>
        <v>I юн</v>
      </c>
      <c r="K277" s="1025"/>
    </row>
    <row r="278" spans="1:11" ht="14.25" customHeight="1" x14ac:dyDescent="0.3">
      <c r="A278" s="1086">
        <v>11</v>
      </c>
      <c r="B278" s="24" t="s">
        <v>35</v>
      </c>
      <c r="C278" s="550" t="s">
        <v>1647</v>
      </c>
      <c r="D278" s="7" t="s">
        <v>1595</v>
      </c>
      <c r="E278" s="1043">
        <v>41815</v>
      </c>
      <c r="F278" s="550" t="s">
        <v>1430</v>
      </c>
      <c r="G278" s="550"/>
      <c r="H278" s="550"/>
      <c r="I278" s="1025">
        <v>30.77</v>
      </c>
      <c r="J278" s="1085" t="str">
        <f>IF(ISBLANK(I278)," ",IF(ISTEXT(I278)," ",IF(I278&lt;=[2]Нормативы!$H$27,"КМС",IF(I278&lt;=[2]Нормативы!$H$28,"КМС",IF(I278&lt;=[2]Нормативы!$L$29,"КМС",IF(I278&lt;=[2]Нормативы!$L$30,"I",IF(I278&lt;=[2]Нормативы!$L$31,"II",IF(I278&lt;=[2]Нормативы!$L$32,"III",IF(I278&lt;=[2]Нормативы!$L$33,"I юн",IF(I278&lt;=[2]Нормативы!$L$34,"II юн",IF(I278&lt;=[2]Нормативы!$L$35,"III юн","б/р")))))))))))</f>
        <v>I юн</v>
      </c>
      <c r="K278" s="1025"/>
    </row>
    <row r="279" spans="1:11" ht="14.25" customHeight="1" x14ac:dyDescent="0.3">
      <c r="A279" s="1086">
        <v>12</v>
      </c>
      <c r="B279" s="550" t="s">
        <v>35</v>
      </c>
      <c r="C279" s="550" t="s">
        <v>1650</v>
      </c>
      <c r="D279" s="7" t="s">
        <v>1630</v>
      </c>
      <c r="E279" s="1042">
        <v>41679</v>
      </c>
      <c r="F279" s="550" t="s">
        <v>1596</v>
      </c>
      <c r="G279" s="550"/>
      <c r="H279" s="550"/>
      <c r="I279" s="1025">
        <v>31.18</v>
      </c>
      <c r="J279" s="1085" t="str">
        <f>IF(ISBLANK(I279)," ",IF(ISTEXT(I279)," ",IF(I279&lt;=[2]Нормативы!$H$27,"КМС",IF(I279&lt;=[2]Нормативы!$H$28,"КМС",IF(I279&lt;=[2]Нормативы!$L$29,"КМС",IF(I279&lt;=[2]Нормативы!$L$30,"I",IF(I279&lt;=[2]Нормативы!$L$31,"II",IF(I279&lt;=[2]Нормативы!$L$32,"III",IF(I279&lt;=[2]Нормативы!$L$33,"I юн",IF(I279&lt;=[2]Нормативы!$L$34,"II юн",IF(I279&lt;=[2]Нормативы!$L$35,"III юн","б/р")))))))))))</f>
        <v>I юн</v>
      </c>
      <c r="K279" s="1020"/>
    </row>
    <row r="280" spans="1:11" ht="14.25" customHeight="1" x14ac:dyDescent="0.3">
      <c r="A280" s="1086">
        <v>13</v>
      </c>
      <c r="B280" s="550" t="s">
        <v>35</v>
      </c>
      <c r="C280" s="550" t="s">
        <v>1646</v>
      </c>
      <c r="D280" s="7" t="s">
        <v>1613</v>
      </c>
      <c r="E280" s="1042">
        <v>41925</v>
      </c>
      <c r="F280" s="550" t="s">
        <v>1596</v>
      </c>
      <c r="G280" s="550"/>
      <c r="H280" s="550"/>
      <c r="I280" s="1025">
        <v>31.3</v>
      </c>
      <c r="J280" s="1085" t="str">
        <f>IF(ISBLANK(I280)," ",IF(ISTEXT(I280)," ",IF(I280&lt;=[2]Нормативы!$H$27,"КМС",IF(I280&lt;=[2]Нормативы!$H$28,"КМС",IF(I280&lt;=[2]Нормативы!$L$29,"КМС",IF(I280&lt;=[2]Нормативы!$L$30,"I",IF(I280&lt;=[2]Нормативы!$L$31,"II",IF(I280&lt;=[2]Нормативы!$L$32,"III",IF(I280&lt;=[2]Нормативы!$L$33,"I юн",IF(I280&lt;=[2]Нормативы!$L$34,"II юн",IF(I280&lt;=[2]Нормативы!$L$35,"III юн","б/р")))))))))))</f>
        <v>I юн</v>
      </c>
      <c r="K280" s="1025"/>
    </row>
    <row r="281" spans="1:11" ht="14.25" customHeight="1" x14ac:dyDescent="0.3">
      <c r="A281" s="1086">
        <v>14</v>
      </c>
      <c r="B281" s="550" t="s">
        <v>25</v>
      </c>
      <c r="C281" s="550" t="s">
        <v>1648</v>
      </c>
      <c r="D281" s="7" t="s">
        <v>1649</v>
      </c>
      <c r="E281" s="1042">
        <v>42155</v>
      </c>
      <c r="F281" s="550" t="s">
        <v>1450</v>
      </c>
      <c r="G281" s="550"/>
      <c r="H281" s="550"/>
      <c r="I281" s="1025">
        <v>31.36</v>
      </c>
      <c r="J281" s="1085" t="str">
        <f>IF(ISBLANK(I281)," ",IF(ISTEXT(I281)," ",IF(I281&lt;=[2]Нормативы!$H$27,"КМС",IF(I281&lt;=[2]Нормативы!$H$28,"КМС",IF(I281&lt;=[2]Нормативы!$L$29,"КМС",IF(I281&lt;=[2]Нормативы!$L$30,"I",IF(I281&lt;=[2]Нормативы!$L$31,"II",IF(I281&lt;=[2]Нормативы!$L$32,"III",IF(I281&lt;=[2]Нормативы!$L$33,"I юн",IF(I281&lt;=[2]Нормативы!$L$34,"II юн",IF(I281&lt;=[2]Нормативы!$L$35,"III юн","б/р")))))))))))</f>
        <v>I юн</v>
      </c>
      <c r="K281" s="1025"/>
    </row>
    <row r="282" spans="1:11" ht="14.25" customHeight="1" x14ac:dyDescent="0.3">
      <c r="A282" s="1086">
        <v>15</v>
      </c>
      <c r="B282" s="550" t="s">
        <v>35</v>
      </c>
      <c r="C282" s="550" t="s">
        <v>1645</v>
      </c>
      <c r="D282" s="7" t="s">
        <v>1612</v>
      </c>
      <c r="E282" s="1042">
        <v>42175</v>
      </c>
      <c r="F282" s="550" t="s">
        <v>1596</v>
      </c>
      <c r="G282" s="550"/>
      <c r="H282" s="550"/>
      <c r="I282" s="1025">
        <v>32.380000000000003</v>
      </c>
      <c r="J282" s="1085" t="str">
        <f>IF(ISBLANK(I282)," ",IF(ISTEXT(I282)," ",IF(I282&lt;=[2]Нормативы!$H$27,"КМС",IF(I282&lt;=[2]Нормативы!$H$28,"КМС",IF(I282&lt;=[2]Нормативы!$L$29,"КМС",IF(I282&lt;=[2]Нормативы!$L$30,"I",IF(I282&lt;=[2]Нормативы!$L$31,"II",IF(I282&lt;=[2]Нормативы!$L$32,"III",IF(I282&lt;=[2]Нормативы!$L$33,"I юн",IF(I282&lt;=[2]Нормативы!$L$34,"II юн",IF(I282&lt;=[2]Нормативы!$L$35,"III юн","б/р")))))))))))</f>
        <v>I юн</v>
      </c>
      <c r="K282" s="976"/>
    </row>
    <row r="283" spans="1:11" ht="14.25" customHeight="1" x14ac:dyDescent="0.3">
      <c r="A283" s="1086">
        <v>16</v>
      </c>
      <c r="B283" s="550" t="s">
        <v>20</v>
      </c>
      <c r="C283" s="550" t="s">
        <v>1641</v>
      </c>
      <c r="D283" s="7" t="s">
        <v>1642</v>
      </c>
      <c r="E283" s="1042">
        <v>42224</v>
      </c>
      <c r="F283" s="550" t="s">
        <v>1596</v>
      </c>
      <c r="G283" s="550"/>
      <c r="H283" s="550"/>
      <c r="I283" s="1025">
        <v>32.75</v>
      </c>
      <c r="J283" s="1085" t="str">
        <f>IF(ISBLANK(I283)," ",IF(ISTEXT(I283)," ",IF(I283&lt;=[2]Нормативы!$H$27,"КМС",IF(I283&lt;=[2]Нормативы!$H$28,"КМС",IF(I283&lt;=[2]Нормативы!$L$29,"КМС",IF(I283&lt;=[2]Нормативы!$L$30,"I",IF(I283&lt;=[2]Нормативы!$L$31,"II",IF(I283&lt;=[2]Нормативы!$L$32,"III",IF(I283&lt;=[2]Нормативы!$L$33,"I юн",IF(I283&lt;=[2]Нормативы!$L$34,"II юн",IF(I283&lt;=[2]Нормативы!$L$35,"III юн","б/р")))))))))))</f>
        <v>I юн</v>
      </c>
      <c r="K283" s="976"/>
    </row>
    <row r="284" spans="1:11" ht="14.25" customHeight="1" x14ac:dyDescent="0.3">
      <c r="A284" s="1086">
        <v>17</v>
      </c>
      <c r="B284" s="550" t="s">
        <v>20</v>
      </c>
      <c r="C284" s="550" t="s">
        <v>1643</v>
      </c>
      <c r="D284" s="7" t="s">
        <v>1644</v>
      </c>
      <c r="E284" s="1042">
        <v>41824</v>
      </c>
      <c r="F284" s="550" t="s">
        <v>1634</v>
      </c>
      <c r="G284" s="550"/>
      <c r="H284" s="550"/>
      <c r="I284" s="1025">
        <v>33.200000000000003</v>
      </c>
      <c r="J284" s="1085" t="str">
        <f>IF(ISBLANK(I284)," ",IF(ISTEXT(I284)," ",IF(I284&lt;=[2]Нормативы!$H$27,"КМС",IF(I284&lt;=[2]Нормативы!$H$28,"КМС",IF(I284&lt;=[2]Нормативы!$L$29,"КМС",IF(I284&lt;=[2]Нормативы!$L$30,"I",IF(I284&lt;=[2]Нормативы!$L$31,"II",IF(I284&lt;=[2]Нормативы!$L$32,"III",IF(I284&lt;=[2]Нормативы!$L$33,"I юн",IF(I284&lt;=[2]Нормативы!$L$34,"II юн",IF(I284&lt;=[2]Нормативы!$L$35,"III юн","б/р")))))))))))</f>
        <v>II юн</v>
      </c>
      <c r="K284" s="976"/>
    </row>
    <row r="285" spans="1:11" ht="14.25" customHeight="1" x14ac:dyDescent="0.3">
      <c r="A285" s="1086">
        <v>18</v>
      </c>
      <c r="B285" s="24" t="s">
        <v>25</v>
      </c>
      <c r="C285" s="550" t="s">
        <v>1637</v>
      </c>
      <c r="D285" s="7" t="s">
        <v>1649</v>
      </c>
      <c r="E285" s="1043">
        <v>42172</v>
      </c>
      <c r="F285" s="550" t="s">
        <v>1430</v>
      </c>
      <c r="G285" s="550"/>
      <c r="H285" s="550"/>
      <c r="I285" s="1025">
        <v>34.54</v>
      </c>
      <c r="J285" s="1085" t="str">
        <f>IF(ISBLANK(I285)," ",IF(ISTEXT(I285)," ",IF(I285&lt;=[2]Нормативы!$H$27,"КМС",IF(I285&lt;=[2]Нормативы!$H$28,"КМС",IF(I285&lt;=[2]Нормативы!$L$29,"КМС",IF(I285&lt;=[2]Нормативы!$L$30,"I",IF(I285&lt;=[2]Нормативы!$L$31,"II",IF(I285&lt;=[2]Нормативы!$L$32,"III",IF(I285&lt;=[2]Нормативы!$L$33,"I юн",IF(I285&lt;=[2]Нормативы!$L$34,"II юн",IF(I285&lt;=[2]Нормативы!$L$35,"III юн","б/р")))))))))))</f>
        <v>II юн</v>
      </c>
      <c r="K285" s="976"/>
    </row>
    <row r="286" spans="1:11" ht="14.25" customHeight="1" x14ac:dyDescent="0.3">
      <c r="A286" s="1086">
        <v>19</v>
      </c>
      <c r="B286" s="24" t="s">
        <v>25</v>
      </c>
      <c r="C286" s="550" t="s">
        <v>1929</v>
      </c>
      <c r="D286" s="7" t="s">
        <v>1616</v>
      </c>
      <c r="E286" s="1042">
        <v>41733</v>
      </c>
      <c r="F286" s="550" t="s">
        <v>1250</v>
      </c>
      <c r="G286" s="550"/>
      <c r="H286" s="1025"/>
      <c r="I286" s="1025">
        <v>37.630000000000003</v>
      </c>
      <c r="J286" s="1085" t="str">
        <f>IF(ISBLANK(I286)," ",IF(ISTEXT(I286)," ",IF(I286&lt;=[2]Нормативы!$H$27,"КМС",IF(I286&lt;=[2]Нормативы!$H$28,"КМС",IF(I286&lt;=[2]Нормативы!$L$29,"КМС",IF(I286&lt;=[2]Нормативы!$L$30,"I",IF(I286&lt;=[2]Нормативы!$L$31,"II",IF(I286&lt;=[2]Нормативы!$L$32,"III",IF(I286&lt;=[2]Нормативы!$L$33,"I юн",IF(I286&lt;=[2]Нормативы!$L$34,"II юн",IF(I286&lt;=[2]Нормативы!$L$35,"III юн","б/р")))))))))))</f>
        <v>III юн</v>
      </c>
      <c r="K286" s="976"/>
    </row>
    <row r="287" spans="1:11" ht="14.25" customHeight="1" x14ac:dyDescent="0.3">
      <c r="A287" s="1086">
        <v>20</v>
      </c>
      <c r="B287" s="550" t="s">
        <v>25</v>
      </c>
      <c r="C287" s="550" t="s">
        <v>1635</v>
      </c>
      <c r="D287" s="7" t="s">
        <v>1636</v>
      </c>
      <c r="E287" s="1042">
        <v>42314</v>
      </c>
      <c r="F287" s="550" t="s">
        <v>1628</v>
      </c>
      <c r="G287" s="550"/>
      <c r="H287" s="550"/>
      <c r="I287" s="1025">
        <v>37.94</v>
      </c>
      <c r="J287" s="1085" t="str">
        <f>IF(ISBLANK(I287)," ",IF(ISTEXT(I287)," ",IF(I287&lt;=[2]Нормативы!$H$27,"КМС",IF(I287&lt;=[2]Нормативы!$H$28,"КМС",IF(I287&lt;=[2]Нормативы!$L$29,"КМС",IF(I287&lt;=[2]Нормативы!$L$30,"I",IF(I287&lt;=[2]Нормативы!$L$31,"II",IF(I287&lt;=[2]Нормативы!$L$32,"III",IF(I287&lt;=[2]Нормативы!$L$33,"I юн",IF(I287&lt;=[2]Нормативы!$L$34,"II юн",IF(I287&lt;=[2]Нормативы!$L$35,"III юн","б/р")))))))))))</f>
        <v>III юн</v>
      </c>
      <c r="K287" s="1025"/>
    </row>
    <row r="288" spans="1:11" ht="14.25" customHeight="1" x14ac:dyDescent="0.3">
      <c r="A288" s="1086">
        <v>21</v>
      </c>
      <c r="B288" s="550" t="s">
        <v>25</v>
      </c>
      <c r="C288" s="550" t="s">
        <v>1633</v>
      </c>
      <c r="D288" s="7" t="s">
        <v>1603</v>
      </c>
      <c r="E288" s="1042">
        <v>42078</v>
      </c>
      <c r="F288" s="550" t="s">
        <v>1634</v>
      </c>
      <c r="G288" s="550"/>
      <c r="H288" s="550"/>
      <c r="I288" s="1025">
        <v>39.770000000000003</v>
      </c>
      <c r="J288" s="1085" t="str">
        <f>IF(ISBLANK(I288)," ",IF(ISTEXT(I288)," ",IF(I288&lt;=[2]Нормативы!$H$27,"КМС",IF(I288&lt;=[2]Нормативы!$H$28,"КМС",IF(I288&lt;=[2]Нормативы!$L$29,"КМС",IF(I288&lt;=[2]Нормативы!$L$30,"I",IF(I288&lt;=[2]Нормативы!$L$31,"II",IF(I288&lt;=[2]Нормативы!$L$32,"III",IF(I288&lt;=[2]Нормативы!$L$33,"I юн",IF(I288&lt;=[2]Нормативы!$L$34,"II юн",IF(I288&lt;=[2]Нормативы!$L$35,"III юн","б/р")))))))))))</f>
        <v>б/р</v>
      </c>
      <c r="K288" s="880"/>
    </row>
    <row r="289" spans="1:11" x14ac:dyDescent="0.3">
      <c r="A289" s="1086">
        <v>22</v>
      </c>
      <c r="B289" s="550" t="s">
        <v>25</v>
      </c>
      <c r="C289" s="550" t="s">
        <v>1631</v>
      </c>
      <c r="D289" s="7" t="s">
        <v>1613</v>
      </c>
      <c r="E289" s="1042">
        <v>42237</v>
      </c>
      <c r="F289" s="550" t="s">
        <v>1632</v>
      </c>
      <c r="G289" s="550"/>
      <c r="H289" s="550"/>
      <c r="I289" s="1025">
        <v>41.96</v>
      </c>
      <c r="J289" s="1085" t="str">
        <f>IF(ISBLANK(I289)," ",IF(ISTEXT(I289)," ",IF(I289&lt;=[2]Нормативы!$H$27,"КМС",IF(I289&lt;=[2]Нормативы!$H$28,"КМС",IF(I289&lt;=[2]Нормативы!$L$29,"КМС",IF(I289&lt;=[2]Нормативы!$L$30,"I",IF(I289&lt;=[2]Нормативы!$L$31,"II",IF(I289&lt;=[2]Нормативы!$L$32,"III",IF(I289&lt;=[2]Нормативы!$L$33,"I юн",IF(I289&lt;=[2]Нормативы!$L$34,"II юн",IF(I289&lt;=[2]Нормативы!$L$35,"III юн","б/р")))))))))))</f>
        <v>б/р</v>
      </c>
      <c r="K289" s="880"/>
    </row>
    <row r="290" spans="1:11" x14ac:dyDescent="0.3">
      <c r="A290" s="1086">
        <v>23</v>
      </c>
      <c r="B290" s="550" t="s">
        <v>1638</v>
      </c>
      <c r="C290" s="550" t="s">
        <v>1639</v>
      </c>
      <c r="D290" s="7" t="s">
        <v>1618</v>
      </c>
      <c r="E290" s="1042">
        <v>42111</v>
      </c>
      <c r="F290" s="550" t="s">
        <v>1640</v>
      </c>
      <c r="G290" s="550"/>
      <c r="H290" s="550"/>
      <c r="I290" s="1025">
        <v>42.95</v>
      </c>
      <c r="J290" s="1085" t="str">
        <f>IF(ISBLANK(I290)," ",IF(ISTEXT(I290)," ",IF(I290&lt;=[2]Нормативы!$H$27,"КМС",IF(I290&lt;=[2]Нормативы!$H$28,"КМС",IF(I290&lt;=[2]Нормативы!$L$29,"КМС",IF(I290&lt;=[2]Нормативы!$L$30,"I",IF(I290&lt;=[2]Нормативы!$L$31,"II",IF(I290&lt;=[2]Нормативы!$L$32,"III",IF(I290&lt;=[2]Нормативы!$L$33,"I юн",IF(I290&lt;=[2]Нормативы!$L$34,"II юн",IF(I290&lt;=[2]Нормативы!$L$35,"III юн","б/р")))))))))))</f>
        <v>б/р</v>
      </c>
      <c r="K290" s="880"/>
    </row>
    <row r="291" spans="1:11" x14ac:dyDescent="0.3">
      <c r="A291" s="1086">
        <v>24</v>
      </c>
      <c r="B291" s="550" t="s">
        <v>25</v>
      </c>
      <c r="C291" s="550" t="s">
        <v>1629</v>
      </c>
      <c r="D291" s="7" t="s">
        <v>1630</v>
      </c>
      <c r="E291" s="1042">
        <v>41954</v>
      </c>
      <c r="F291" s="550" t="s">
        <v>1596</v>
      </c>
      <c r="G291" s="550"/>
      <c r="H291" s="550"/>
      <c r="I291" s="1025">
        <v>50.66</v>
      </c>
      <c r="J291" s="1085" t="str">
        <f>IF(ISBLANK(I291)," ",IF(ISTEXT(I291)," ",IF(I291&lt;=[2]Нормативы!$H$27,"КМС",IF(I291&lt;=[2]Нормативы!$H$28,"КМС",IF(I291&lt;=[2]Нормативы!$L$29,"КМС",IF(I291&lt;=[2]Нормативы!$L$30,"I",IF(I291&lt;=[2]Нормативы!$L$31,"II",IF(I291&lt;=[2]Нормативы!$L$32,"III",IF(I291&lt;=[2]Нормативы!$L$33,"I юн",IF(I291&lt;=[2]Нормативы!$L$34,"II юн",IF(I291&lt;=[2]Нормативы!$L$35,"III юн","б/р")))))))))))</f>
        <v>б/р</v>
      </c>
      <c r="K291" s="976"/>
    </row>
    <row r="292" spans="1:11" x14ac:dyDescent="0.3">
      <c r="A292" s="1086"/>
      <c r="B292" s="550" t="s">
        <v>25</v>
      </c>
      <c r="C292" s="550" t="s">
        <v>1626</v>
      </c>
      <c r="D292" s="7" t="s">
        <v>1627</v>
      </c>
      <c r="E292" s="1042">
        <v>42091</v>
      </c>
      <c r="F292" s="550" t="s">
        <v>1628</v>
      </c>
      <c r="G292" s="550"/>
      <c r="H292" s="550"/>
      <c r="I292" s="1074" t="s">
        <v>2066</v>
      </c>
      <c r="J292" s="549"/>
      <c r="K292" s="976"/>
    </row>
    <row r="293" spans="1:11" x14ac:dyDescent="0.3">
      <c r="A293" s="1086"/>
      <c r="B293" s="947"/>
      <c r="C293" s="947"/>
      <c r="D293" s="1052"/>
      <c r="E293" s="1045"/>
      <c r="F293" s="947"/>
      <c r="G293" s="947"/>
      <c r="H293" s="947"/>
      <c r="I293" s="982"/>
      <c r="J293" s="885"/>
      <c r="K293" s="976"/>
    </row>
    <row r="294" spans="1:11" ht="15.6" x14ac:dyDescent="0.3">
      <c r="A294" s="1028"/>
      <c r="B294" s="928" t="s">
        <v>1718</v>
      </c>
      <c r="C294" s="374"/>
      <c r="D294" s="374"/>
      <c r="E294" s="374"/>
      <c r="F294" s="374"/>
      <c r="G294" s="929"/>
      <c r="H294" s="930"/>
      <c r="I294" s="1070"/>
      <c r="J294" s="885"/>
      <c r="K294" s="976"/>
    </row>
    <row r="295" spans="1:11" x14ac:dyDescent="0.3">
      <c r="A295" s="1086"/>
      <c r="B295" s="953"/>
      <c r="C295" s="927"/>
      <c r="D295" s="880"/>
      <c r="E295" s="981"/>
      <c r="F295" s="947"/>
      <c r="G295" s="947"/>
      <c r="H295" s="1005"/>
      <c r="I295" s="1025"/>
      <c r="J295" s="885"/>
      <c r="K295" s="976"/>
    </row>
    <row r="296" spans="1:11" x14ac:dyDescent="0.3">
      <c r="A296" s="1086">
        <v>1</v>
      </c>
      <c r="B296" s="550" t="s">
        <v>20</v>
      </c>
      <c r="C296" s="550" t="s">
        <v>1756</v>
      </c>
      <c r="D296" s="551" t="s">
        <v>1757</v>
      </c>
      <c r="E296" s="1042">
        <v>42609</v>
      </c>
      <c r="F296" s="550" t="s">
        <v>1430</v>
      </c>
      <c r="G296" s="895"/>
      <c r="H296" s="550"/>
      <c r="I296" s="1025">
        <v>29.45</v>
      </c>
      <c r="J296" s="1085" t="str">
        <f>IF(ISBLANK(I296)," ",IF(ISTEXT(I296)," ",IF(I296&lt;=[2]Нормативы!$H$38,"КМС",IF(I296&lt;=[2]Нормативы!$H$39,"КМС",IF(I296&lt;=[2]Нормативы!$L$40,"КМС",IF(I296&lt;=[2]Нормативы!$L$41,"I",IF(I296&lt;=[2]Нормативы!$L$42,"II",IF(I296&lt;=[2]Нормативы!$L$43,"III",IF(I296&lt;=[2]Нормативы!$L$44,"I юн",IF(I296&lt;=[2]Нормативы!$L$45,"II юн",IF(I296&lt;=[2]Нормативы!$L$46,"III юн","б/р")))))))))))</f>
        <v>I юн</v>
      </c>
      <c r="K296" s="976"/>
    </row>
    <row r="297" spans="1:11" x14ac:dyDescent="0.3">
      <c r="A297" s="1086">
        <v>2</v>
      </c>
      <c r="B297" s="550" t="s">
        <v>25</v>
      </c>
      <c r="C297" s="550" t="s">
        <v>1745</v>
      </c>
      <c r="D297" s="551" t="s">
        <v>1746</v>
      </c>
      <c r="E297" s="1042">
        <v>42717</v>
      </c>
      <c r="F297" s="550" t="s">
        <v>1634</v>
      </c>
      <c r="G297" s="895"/>
      <c r="H297" s="550"/>
      <c r="I297" s="1025">
        <v>34.58</v>
      </c>
      <c r="J297" s="1085" t="str">
        <f>IF(ISBLANK(I297)," ",IF(ISTEXT(I297)," ",IF(I297&lt;=[2]Нормативы!$H$38,"КМС",IF(I297&lt;=[2]Нормативы!$H$39,"КМС",IF(I297&lt;=[2]Нормативы!$L$40,"КМС",IF(I297&lt;=[2]Нормативы!$L$41,"I",IF(I297&lt;=[2]Нормативы!$L$42,"II",IF(I297&lt;=[2]Нормативы!$L$43,"III",IF(I297&lt;=[2]Нормативы!$L$44,"I юн",IF(I297&lt;=[2]Нормативы!$L$45,"II юн",IF(I297&lt;=[2]Нормативы!$L$46,"III юн","б/р")))))))))))</f>
        <v>III юн</v>
      </c>
      <c r="K297" s="976"/>
    </row>
    <row r="298" spans="1:11" x14ac:dyDescent="0.3">
      <c r="A298" s="1086">
        <v>3</v>
      </c>
      <c r="B298" s="550" t="s">
        <v>25</v>
      </c>
      <c r="C298" s="550" t="s">
        <v>1753</v>
      </c>
      <c r="D298" s="551" t="s">
        <v>1746</v>
      </c>
      <c r="E298" s="1042">
        <v>43125</v>
      </c>
      <c r="F298" s="550" t="s">
        <v>1430</v>
      </c>
      <c r="G298" s="895"/>
      <c r="H298" s="550"/>
      <c r="I298" s="1025">
        <v>35</v>
      </c>
      <c r="J298" s="1085" t="str">
        <f>IF(ISBLANK(I298)," ",IF(ISTEXT(I298)," ",IF(I298&lt;=[2]Нормативы!$H$38,"КМС",IF(I298&lt;=[2]Нормативы!$H$39,"КМС",IF(I298&lt;=[2]Нормативы!$L$40,"КМС",IF(I298&lt;=[2]Нормативы!$L$41,"I",IF(I298&lt;=[2]Нормативы!$L$42,"II",IF(I298&lt;=[2]Нормативы!$L$43,"III",IF(I298&lt;=[2]Нормативы!$L$44,"I юн",IF(I298&lt;=[2]Нормативы!$L$45,"II юн",IF(I298&lt;=[2]Нормативы!$L$46,"III юн","б/р")))))))))))</f>
        <v>III юн</v>
      </c>
      <c r="K298" s="976"/>
    </row>
    <row r="299" spans="1:11" x14ac:dyDescent="0.3">
      <c r="A299" s="1086">
        <v>4</v>
      </c>
      <c r="B299" s="550" t="s">
        <v>25</v>
      </c>
      <c r="C299" s="550" t="s">
        <v>1751</v>
      </c>
      <c r="D299" s="551" t="s">
        <v>1752</v>
      </c>
      <c r="E299" s="1042">
        <v>43200</v>
      </c>
      <c r="F299" s="550" t="s">
        <v>1430</v>
      </c>
      <c r="G299" s="895"/>
      <c r="H299" s="550"/>
      <c r="I299" s="1025">
        <v>35.51</v>
      </c>
      <c r="J299" s="1085" t="str">
        <f>IF(ISBLANK(I299)," ",IF(ISTEXT(I299)," ",IF(I299&lt;=[2]Нормативы!$H$38,"КМС",IF(I299&lt;=[2]Нормативы!$H$39,"КМС",IF(I299&lt;=[2]Нормативы!$L$40,"КМС",IF(I299&lt;=[2]Нормативы!$L$41,"I",IF(I299&lt;=[2]Нормативы!$L$42,"II",IF(I299&lt;=[2]Нормативы!$L$43,"III",IF(I299&lt;=[2]Нормативы!$L$44,"I юн",IF(I299&lt;=[2]Нормативы!$L$45,"II юн",IF(I299&lt;=[2]Нормативы!$L$46,"III юн","б/р")))))))))))</f>
        <v>б/р</v>
      </c>
      <c r="K299" s="976"/>
    </row>
    <row r="300" spans="1:11" x14ac:dyDescent="0.3">
      <c r="A300" s="1086">
        <v>5</v>
      </c>
      <c r="B300" s="550" t="s">
        <v>25</v>
      </c>
      <c r="C300" s="550" t="s">
        <v>1754</v>
      </c>
      <c r="D300" s="551" t="s">
        <v>1755</v>
      </c>
      <c r="E300" s="1042">
        <v>42486</v>
      </c>
      <c r="F300" s="550" t="s">
        <v>1640</v>
      </c>
      <c r="G300" s="895"/>
      <c r="H300" s="550"/>
      <c r="I300" s="1025">
        <v>35.81</v>
      </c>
      <c r="J300" s="1085" t="str">
        <f>IF(ISBLANK(I300)," ",IF(ISTEXT(I300)," ",IF(I300&lt;=[2]Нормативы!$H$38,"КМС",IF(I300&lt;=[2]Нормативы!$H$39,"КМС",IF(I300&lt;=[2]Нормативы!$L$40,"КМС",IF(I300&lt;=[2]Нормативы!$L$41,"I",IF(I300&lt;=[2]Нормативы!$L$42,"II",IF(I300&lt;=[2]Нормативы!$L$43,"III",IF(I300&lt;=[2]Нормативы!$L$44,"I юн",IF(I300&lt;=[2]Нормативы!$L$45,"II юн",IF(I300&lt;=[2]Нормативы!$L$46,"III юн","б/р")))))))))))</f>
        <v>б/р</v>
      </c>
      <c r="K300" s="976"/>
    </row>
    <row r="301" spans="1:11" x14ac:dyDescent="0.3">
      <c r="A301" s="1086">
        <v>6</v>
      </c>
      <c r="B301" s="550" t="s">
        <v>25</v>
      </c>
      <c r="C301" s="550" t="s">
        <v>1741</v>
      </c>
      <c r="D301" s="551" t="s">
        <v>1742</v>
      </c>
      <c r="E301" s="1042">
        <v>42705</v>
      </c>
      <c r="F301" s="550" t="s">
        <v>1430</v>
      </c>
      <c r="G301" s="895"/>
      <c r="H301" s="550"/>
      <c r="I301" s="1025">
        <v>35.909999999999997</v>
      </c>
      <c r="J301" s="1085" t="str">
        <f>IF(ISBLANK(I301)," ",IF(ISTEXT(I301)," ",IF(I301&lt;=[2]Нормативы!$H$38,"КМС",IF(I301&lt;=[2]Нормативы!$H$39,"КМС",IF(I301&lt;=[2]Нормативы!$L$40,"КМС",IF(I301&lt;=[2]Нормативы!$L$41,"I",IF(I301&lt;=[2]Нормативы!$L$42,"II",IF(I301&lt;=[2]Нормативы!$L$43,"III",IF(I301&lt;=[2]Нормативы!$L$44,"I юн",IF(I301&lt;=[2]Нормативы!$L$45,"II юн",IF(I301&lt;=[2]Нормативы!$L$46,"III юн","б/р")))))))))))</f>
        <v>б/р</v>
      </c>
      <c r="K301" s="976"/>
    </row>
    <row r="302" spans="1:11" x14ac:dyDescent="0.3">
      <c r="A302" s="1086">
        <v>7</v>
      </c>
      <c r="B302" s="550" t="s">
        <v>25</v>
      </c>
      <c r="C302" s="550" t="s">
        <v>1749</v>
      </c>
      <c r="D302" s="551" t="s">
        <v>1750</v>
      </c>
      <c r="E302" s="1042">
        <v>42627</v>
      </c>
      <c r="F302" s="550" t="s">
        <v>1640</v>
      </c>
      <c r="G302" s="895"/>
      <c r="H302" s="550"/>
      <c r="I302" s="1025">
        <v>35.94</v>
      </c>
      <c r="J302" s="1085" t="str">
        <f>IF(ISBLANK(I302)," ",IF(ISTEXT(I302)," ",IF(I302&lt;=[2]Нормативы!$H$38,"КМС",IF(I302&lt;=[2]Нормативы!$H$39,"КМС",IF(I302&lt;=[2]Нормативы!$L$40,"КМС",IF(I302&lt;=[2]Нормативы!$L$41,"I",IF(I302&lt;=[2]Нормативы!$L$42,"II",IF(I302&lt;=[2]Нормативы!$L$43,"III",IF(I302&lt;=[2]Нормативы!$L$44,"I юн",IF(I302&lt;=[2]Нормативы!$L$45,"II юн",IF(I302&lt;=[2]Нормативы!$L$46,"III юн","б/р")))))))))))</f>
        <v>б/р</v>
      </c>
      <c r="K302" s="976"/>
    </row>
    <row r="303" spans="1:11" x14ac:dyDescent="0.3">
      <c r="A303" s="1086">
        <v>8</v>
      </c>
      <c r="B303" s="550" t="s">
        <v>25</v>
      </c>
      <c r="C303" s="550" t="s">
        <v>1728</v>
      </c>
      <c r="D303" s="551" t="s">
        <v>1729</v>
      </c>
      <c r="E303" s="1042">
        <v>42919</v>
      </c>
      <c r="F303" s="550" t="s">
        <v>1430</v>
      </c>
      <c r="G303" s="895"/>
      <c r="H303" s="550"/>
      <c r="I303" s="1025">
        <v>36.57</v>
      </c>
      <c r="J303" s="1085" t="str">
        <f>IF(ISBLANK(I303)," ",IF(ISTEXT(I303)," ",IF(I303&lt;=[2]Нормативы!$H$38,"КМС",IF(I303&lt;=[2]Нормативы!$H$39,"КМС",IF(I303&lt;=[2]Нормативы!$L$40,"КМС",IF(I303&lt;=[2]Нормативы!$L$41,"I",IF(I303&lt;=[2]Нормативы!$L$42,"II",IF(I303&lt;=[2]Нормативы!$L$43,"III",IF(I303&lt;=[2]Нормативы!$L$44,"I юн",IF(I303&lt;=[2]Нормативы!$L$45,"II юн",IF(I303&lt;=[2]Нормативы!$L$46,"III юн","б/р")))))))))))</f>
        <v>б/р</v>
      </c>
      <c r="K303" s="976"/>
    </row>
    <row r="304" spans="1:11" x14ac:dyDescent="0.3">
      <c r="A304" s="1086">
        <v>9</v>
      </c>
      <c r="B304" s="550" t="s">
        <v>25</v>
      </c>
      <c r="C304" s="550" t="s">
        <v>1747</v>
      </c>
      <c r="D304" s="551" t="s">
        <v>1748</v>
      </c>
      <c r="E304" s="1042">
        <v>42447</v>
      </c>
      <c r="F304" s="550" t="s">
        <v>1598</v>
      </c>
      <c r="G304" s="895"/>
      <c r="H304" s="550"/>
      <c r="I304" s="1025">
        <v>36.630000000000003</v>
      </c>
      <c r="J304" s="1085" t="str">
        <f>IF(ISBLANK(I304)," ",IF(ISTEXT(I304)," ",IF(I304&lt;=[2]Нормативы!$H$38,"КМС",IF(I304&lt;=[2]Нормативы!$H$39,"КМС",IF(I304&lt;=[2]Нормативы!$L$40,"КМС",IF(I304&lt;=[2]Нормативы!$L$41,"I",IF(I304&lt;=[2]Нормативы!$L$42,"II",IF(I304&lt;=[2]Нормативы!$L$43,"III",IF(I304&lt;=[2]Нормативы!$L$44,"I юн",IF(I304&lt;=[2]Нормативы!$L$45,"II юн",IF(I304&lt;=[2]Нормативы!$L$46,"III юн","б/р")))))))))))</f>
        <v>б/р</v>
      </c>
      <c r="K304" s="976"/>
    </row>
    <row r="305" spans="1:11" x14ac:dyDescent="0.3">
      <c r="A305" s="1086">
        <v>10</v>
      </c>
      <c r="B305" s="550" t="s">
        <v>25</v>
      </c>
      <c r="C305" s="550" t="s">
        <v>1732</v>
      </c>
      <c r="D305" s="551" t="s">
        <v>1733</v>
      </c>
      <c r="E305" s="1042">
        <v>42774</v>
      </c>
      <c r="F305" s="550" t="s">
        <v>1596</v>
      </c>
      <c r="G305" s="895"/>
      <c r="H305" s="550"/>
      <c r="I305" s="1025">
        <v>36.75</v>
      </c>
      <c r="J305" s="1085" t="str">
        <f>IF(ISBLANK(I305)," ",IF(ISTEXT(I305)," ",IF(I305&lt;=[2]Нормативы!$H$38,"КМС",IF(I305&lt;=[2]Нормативы!$H$39,"КМС",IF(I305&lt;=[2]Нормативы!$L$40,"КМС",IF(I305&lt;=[2]Нормативы!$L$41,"I",IF(I305&lt;=[2]Нормативы!$L$42,"II",IF(I305&lt;=[2]Нормативы!$L$43,"III",IF(I305&lt;=[2]Нормативы!$L$44,"I юн",IF(I305&lt;=[2]Нормативы!$L$45,"II юн",IF(I305&lt;=[2]Нормативы!$L$46,"III юн","б/р")))))))))))</f>
        <v>б/р</v>
      </c>
      <c r="K305" s="976"/>
    </row>
    <row r="306" spans="1:11" x14ac:dyDescent="0.3">
      <c r="A306" s="1086">
        <v>11</v>
      </c>
      <c r="B306" s="550" t="s">
        <v>25</v>
      </c>
      <c r="C306" s="550" t="s">
        <v>1730</v>
      </c>
      <c r="D306" s="551" t="s">
        <v>1731</v>
      </c>
      <c r="E306" s="1042">
        <v>43045</v>
      </c>
      <c r="F306" s="550" t="s">
        <v>1430</v>
      </c>
      <c r="G306" s="895"/>
      <c r="H306" s="550"/>
      <c r="I306" s="1025">
        <v>37.99</v>
      </c>
      <c r="J306" s="1085" t="str">
        <f>IF(ISBLANK(I306)," ",IF(ISTEXT(I306)," ",IF(I306&lt;=[2]Нормативы!$H$38,"КМС",IF(I306&lt;=[2]Нормативы!$H$39,"КМС",IF(I306&lt;=[2]Нормативы!$L$40,"КМС",IF(I306&lt;=[2]Нормативы!$L$41,"I",IF(I306&lt;=[2]Нормативы!$L$42,"II",IF(I306&lt;=[2]Нормативы!$L$43,"III",IF(I306&lt;=[2]Нормативы!$L$44,"I юн",IF(I306&lt;=[2]Нормативы!$L$45,"II юн",IF(I306&lt;=[2]Нормативы!$L$46,"III юн","б/р")))))))))))</f>
        <v>б/р</v>
      </c>
      <c r="K306" s="976"/>
    </row>
    <row r="307" spans="1:11" x14ac:dyDescent="0.3">
      <c r="A307" s="1086">
        <v>12</v>
      </c>
      <c r="B307" s="550" t="s">
        <v>25</v>
      </c>
      <c r="C307" s="550" t="s">
        <v>1736</v>
      </c>
      <c r="D307" s="551" t="s">
        <v>1737</v>
      </c>
      <c r="E307" s="1042">
        <v>42417</v>
      </c>
      <c r="F307" s="550" t="s">
        <v>1430</v>
      </c>
      <c r="G307" s="895"/>
      <c r="H307" s="550"/>
      <c r="I307" s="1025">
        <v>37.99</v>
      </c>
      <c r="J307" s="1085" t="str">
        <f>IF(ISBLANK(I307)," ",IF(ISTEXT(I307)," ",IF(I307&lt;=[2]Нормативы!$H$38,"КМС",IF(I307&lt;=[2]Нормативы!$H$39,"КМС",IF(I307&lt;=[2]Нормативы!$L$40,"КМС",IF(I307&lt;=[2]Нормативы!$L$41,"I",IF(I307&lt;=[2]Нормативы!$L$42,"II",IF(I307&lt;=[2]Нормативы!$L$43,"III",IF(I307&lt;=[2]Нормативы!$L$44,"I юн",IF(I307&lt;=[2]Нормативы!$L$45,"II юн",IF(I307&lt;=[2]Нормативы!$L$46,"III юн","б/р")))))))))))</f>
        <v>б/р</v>
      </c>
      <c r="K307" s="976"/>
    </row>
    <row r="308" spans="1:11" x14ac:dyDescent="0.3">
      <c r="A308" s="1086">
        <v>13</v>
      </c>
      <c r="B308" s="550" t="s">
        <v>25</v>
      </c>
      <c r="C308" s="550" t="s">
        <v>1726</v>
      </c>
      <c r="D308" s="551" t="s">
        <v>1727</v>
      </c>
      <c r="E308" s="1042">
        <v>43045</v>
      </c>
      <c r="F308" s="550" t="s">
        <v>1430</v>
      </c>
      <c r="G308" s="895"/>
      <c r="H308" s="550"/>
      <c r="I308" s="1025">
        <v>39.619999999999997</v>
      </c>
      <c r="J308" s="1085" t="str">
        <f>IF(ISBLANK(I308)," ",IF(ISTEXT(I308)," ",IF(I308&lt;=[2]Нормативы!$H$38,"КМС",IF(I308&lt;=[2]Нормативы!$H$39,"КМС",IF(I308&lt;=[2]Нормативы!$L$40,"КМС",IF(I308&lt;=[2]Нормативы!$L$41,"I",IF(I308&lt;=[2]Нормативы!$L$42,"II",IF(I308&lt;=[2]Нормативы!$L$43,"III",IF(I308&lt;=[2]Нормативы!$L$44,"I юн",IF(I308&lt;=[2]Нормативы!$L$45,"II юн",IF(I308&lt;=[2]Нормативы!$L$46,"III юн","б/р")))))))))))</f>
        <v>б/р</v>
      </c>
      <c r="K308" s="976"/>
    </row>
    <row r="309" spans="1:11" x14ac:dyDescent="0.3">
      <c r="A309" s="1086">
        <v>14</v>
      </c>
      <c r="B309" s="550" t="s">
        <v>25</v>
      </c>
      <c r="C309" s="550" t="s">
        <v>1734</v>
      </c>
      <c r="D309" s="551" t="s">
        <v>1735</v>
      </c>
      <c r="E309" s="1042">
        <v>42446</v>
      </c>
      <c r="F309" s="550" t="s">
        <v>1596</v>
      </c>
      <c r="G309" s="895"/>
      <c r="H309" s="550"/>
      <c r="I309" s="1025">
        <v>41.87</v>
      </c>
      <c r="J309" s="1085" t="str">
        <f>IF(ISBLANK(I309)," ",IF(ISTEXT(I309)," ",IF(I309&lt;=[2]Нормативы!$H$38,"КМС",IF(I309&lt;=[2]Нормативы!$H$39,"КМС",IF(I309&lt;=[2]Нормативы!$L$40,"КМС",IF(I309&lt;=[2]Нормативы!$L$41,"I",IF(I309&lt;=[2]Нормативы!$L$42,"II",IF(I309&lt;=[2]Нормативы!$L$43,"III",IF(I309&lt;=[2]Нормативы!$L$44,"I юн",IF(I309&lt;=[2]Нормативы!$L$45,"II юн",IF(I309&lt;=[2]Нормативы!$L$46,"III юн","б/р")))))))))))</f>
        <v>б/р</v>
      </c>
      <c r="K309" s="976"/>
    </row>
    <row r="310" spans="1:11" x14ac:dyDescent="0.3">
      <c r="A310" s="1086">
        <v>15</v>
      </c>
      <c r="B310" s="550" t="s">
        <v>25</v>
      </c>
      <c r="C310" s="550" t="s">
        <v>1724</v>
      </c>
      <c r="D310" s="551" t="s">
        <v>1725</v>
      </c>
      <c r="E310" s="1042">
        <v>42453</v>
      </c>
      <c r="F310" s="550" t="s">
        <v>1596</v>
      </c>
      <c r="G310" s="895"/>
      <c r="H310" s="550"/>
      <c r="I310" s="1025">
        <v>43.27</v>
      </c>
      <c r="J310" s="1085" t="str">
        <f>IF(ISBLANK(I310)," ",IF(ISTEXT(I310)," ",IF(I310&lt;=[2]Нормативы!$H$38,"КМС",IF(I310&lt;=[2]Нормативы!$H$39,"КМС",IF(I310&lt;=[2]Нормативы!$L$40,"КМС",IF(I310&lt;=[2]Нормативы!$L$41,"I",IF(I310&lt;=[2]Нормативы!$L$42,"II",IF(I310&lt;=[2]Нормативы!$L$43,"III",IF(I310&lt;=[2]Нормативы!$L$44,"I юн",IF(I310&lt;=[2]Нормативы!$L$45,"II юн",IF(I310&lt;=[2]Нормативы!$L$46,"III юн","б/р")))))))))))</f>
        <v>б/р</v>
      </c>
      <c r="K310" s="976"/>
    </row>
    <row r="311" spans="1:11" x14ac:dyDescent="0.3">
      <c r="A311" s="1086">
        <v>16</v>
      </c>
      <c r="B311" s="550" t="s">
        <v>25</v>
      </c>
      <c r="C311" s="550" t="s">
        <v>1738</v>
      </c>
      <c r="D311" s="551" t="s">
        <v>1739</v>
      </c>
      <c r="E311" s="1042">
        <v>42697</v>
      </c>
      <c r="F311" s="550" t="s">
        <v>1740</v>
      </c>
      <c r="G311" s="895"/>
      <c r="H311" s="550"/>
      <c r="I311" s="1025">
        <v>52.26</v>
      </c>
      <c r="J311" s="1085" t="str">
        <f>IF(ISBLANK(I311)," ",IF(ISTEXT(I311)," ",IF(I311&lt;=[2]Нормативы!$H$38,"КМС",IF(I311&lt;=[2]Нормативы!$H$39,"КМС",IF(I311&lt;=[2]Нормативы!$L$40,"КМС",IF(I311&lt;=[2]Нормативы!$L$41,"I",IF(I311&lt;=[2]Нормативы!$L$42,"II",IF(I311&lt;=[2]Нормативы!$L$43,"III",IF(I311&lt;=[2]Нормативы!$L$44,"I юн",IF(I311&lt;=[2]Нормативы!$L$45,"II юн",IF(I311&lt;=[2]Нормативы!$L$46,"III юн","б/р")))))))))))</f>
        <v>б/р</v>
      </c>
      <c r="K311" s="976"/>
    </row>
    <row r="312" spans="1:11" x14ac:dyDescent="0.3">
      <c r="A312" s="1086"/>
      <c r="B312" s="550" t="s">
        <v>25</v>
      </c>
      <c r="C312" s="550" t="s">
        <v>1743</v>
      </c>
      <c r="D312" s="551" t="s">
        <v>1744</v>
      </c>
      <c r="E312" s="1042">
        <v>42919</v>
      </c>
      <c r="F312" s="550" t="s">
        <v>1452</v>
      </c>
      <c r="G312" s="895"/>
      <c r="H312" s="550"/>
      <c r="I312" s="1074" t="s">
        <v>2066</v>
      </c>
      <c r="J312" s="878"/>
      <c r="K312" s="880"/>
    </row>
    <row r="313" spans="1:11" x14ac:dyDescent="0.3">
      <c r="A313" s="1086"/>
      <c r="B313" s="1003"/>
      <c r="C313" s="225"/>
      <c r="D313" s="18"/>
      <c r="E313" s="990"/>
      <c r="F313" s="991"/>
      <c r="G313" s="942"/>
      <c r="H313" s="947"/>
      <c r="I313" s="550"/>
      <c r="J313" s="887"/>
      <c r="K313" s="880"/>
    </row>
    <row r="314" spans="1:11" ht="15.6" x14ac:dyDescent="0.3">
      <c r="A314" s="1028"/>
      <c r="B314" s="374"/>
      <c r="C314" s="928" t="s">
        <v>1719</v>
      </c>
      <c r="D314" s="374"/>
      <c r="E314" s="374"/>
      <c r="F314" s="374"/>
      <c r="G314" s="374"/>
      <c r="H314" s="929"/>
      <c r="I314" s="1071"/>
      <c r="J314" s="886"/>
      <c r="K314" s="880"/>
    </row>
    <row r="315" spans="1:11" x14ac:dyDescent="0.3">
      <c r="A315" s="1086"/>
      <c r="B315" s="1006"/>
      <c r="C315" s="1007"/>
      <c r="D315" s="1007"/>
      <c r="E315" s="915"/>
      <c r="F315" s="1007"/>
      <c r="G315" s="1007"/>
      <c r="H315" s="361"/>
      <c r="I315" s="550"/>
      <c r="J315" s="903"/>
      <c r="K315" s="1029"/>
    </row>
    <row r="316" spans="1:11" x14ac:dyDescent="0.3">
      <c r="A316" s="1086">
        <v>1</v>
      </c>
      <c r="B316" s="550" t="s">
        <v>35</v>
      </c>
      <c r="C316" s="550" t="s">
        <v>1801</v>
      </c>
      <c r="D316" s="551" t="s">
        <v>1764</v>
      </c>
      <c r="E316" s="1042">
        <v>41797</v>
      </c>
      <c r="F316" s="550" t="s">
        <v>1596</v>
      </c>
      <c r="G316" s="895"/>
      <c r="H316" s="550"/>
      <c r="I316" s="1025">
        <v>26.27</v>
      </c>
      <c r="J316" s="1085" t="str">
        <f>IF(ISBLANK(I316)," ",IF(ISTEXT(I316)," ",IF(I316&lt;=[2]Нормативы!$H$38,"КМС",IF(I316&lt;=[2]Нормативы!$H$39,"КМС",IF(I316&lt;=[2]Нормативы!$L$40,"КМС",IF(I316&lt;=[2]Нормативы!$L$41,"I",IF(I316&lt;=[2]Нормативы!$L$42,"II",IF(I316&lt;=[2]Нормативы!$L$43,"III",IF(I316&lt;=[2]Нормативы!$L$44,"I юн",IF(I316&lt;=[2]Нормативы!$L$45,"II юн",IF(I316&lt;=[2]Нормативы!$L$46,"III юн","б/р")))))))))))</f>
        <v>I юн</v>
      </c>
      <c r="K316" s="976"/>
    </row>
    <row r="317" spans="1:11" x14ac:dyDescent="0.3">
      <c r="A317" s="1086">
        <v>2</v>
      </c>
      <c r="B317" s="550" t="s">
        <v>35</v>
      </c>
      <c r="C317" s="550" t="s">
        <v>1800</v>
      </c>
      <c r="D317" s="551" t="s">
        <v>1792</v>
      </c>
      <c r="E317" s="1042">
        <v>41692</v>
      </c>
      <c r="F317" s="550" t="s">
        <v>1430</v>
      </c>
      <c r="G317" s="895"/>
      <c r="H317" s="550"/>
      <c r="I317" s="1025">
        <v>27.65</v>
      </c>
      <c r="J317" s="1085" t="str">
        <f>IF(ISBLANK(I317)," ",IF(ISTEXT(I317)," ",IF(I317&lt;=[2]Нормативы!$H$38,"КМС",IF(I317&lt;=[2]Нормативы!$H$39,"КМС",IF(I317&lt;=[2]Нормативы!$L$40,"КМС",IF(I317&lt;=[2]Нормативы!$L$41,"I",IF(I317&lt;=[2]Нормативы!$L$42,"II",IF(I317&lt;=[2]Нормативы!$L$43,"III",IF(I317&lt;=[2]Нормативы!$L$44,"I юн",IF(I317&lt;=[2]Нормативы!$L$45,"II юн",IF(I317&lt;=[2]Нормативы!$L$46,"III юн","б/р")))))))))))</f>
        <v>I юн</v>
      </c>
      <c r="K317" s="1029"/>
    </row>
    <row r="318" spans="1:11" x14ac:dyDescent="0.3">
      <c r="A318" s="1086">
        <v>3</v>
      </c>
      <c r="B318" s="550" t="s">
        <v>1796</v>
      </c>
      <c r="C318" s="550" t="s">
        <v>1799</v>
      </c>
      <c r="D318" s="551" t="s">
        <v>1768</v>
      </c>
      <c r="E318" s="1042">
        <v>41713</v>
      </c>
      <c r="F318" s="550" t="s">
        <v>1640</v>
      </c>
      <c r="G318" s="895"/>
      <c r="H318" s="550"/>
      <c r="I318" s="1025">
        <v>27.82</v>
      </c>
      <c r="J318" s="1085" t="str">
        <f>IF(ISBLANK(I318)," ",IF(ISTEXT(I318)," ",IF(I318&lt;=[2]Нормативы!$H$38,"КМС",IF(I318&lt;=[2]Нормативы!$H$39,"КМС",IF(I318&lt;=[2]Нормативы!$L$40,"КМС",IF(I318&lt;=[2]Нормативы!$L$41,"I",IF(I318&lt;=[2]Нормативы!$L$42,"II",IF(I318&lt;=[2]Нормативы!$L$43,"III",IF(I318&lt;=[2]Нормативы!$L$44,"I юн",IF(I318&lt;=[2]Нормативы!$L$45,"II юн",IF(I318&lt;=[2]Нормативы!$L$46,"III юн","б/р")))))))))))</f>
        <v>I юн</v>
      </c>
      <c r="K318" s="1029"/>
    </row>
    <row r="319" spans="1:11" x14ac:dyDescent="0.3">
      <c r="A319" s="1086">
        <v>4</v>
      </c>
      <c r="B319" s="550" t="s">
        <v>1796</v>
      </c>
      <c r="C319" s="550" t="s">
        <v>1797</v>
      </c>
      <c r="D319" s="551" t="s">
        <v>1798</v>
      </c>
      <c r="E319" s="1042">
        <v>41889</v>
      </c>
      <c r="F319" s="550" t="s">
        <v>1640</v>
      </c>
      <c r="G319" s="895"/>
      <c r="H319" s="550"/>
      <c r="I319" s="1025">
        <v>29.39</v>
      </c>
      <c r="J319" s="1085" t="str">
        <f>IF(ISBLANK(I319)," ",IF(ISTEXT(I319)," ",IF(I319&lt;=[2]Нормативы!$H$38,"КМС",IF(I319&lt;=[2]Нормативы!$H$39,"КМС",IF(I319&lt;=[2]Нормативы!$L$40,"КМС",IF(I319&lt;=[2]Нормативы!$L$41,"I",IF(I319&lt;=[2]Нормативы!$L$42,"II",IF(I319&lt;=[2]Нормативы!$L$43,"III",IF(I319&lt;=[2]Нормативы!$L$44,"I юн",IF(I319&lt;=[2]Нормативы!$L$45,"II юн",IF(I319&lt;=[2]Нормативы!$L$46,"III юн","б/р")))))))))))</f>
        <v>I юн</v>
      </c>
      <c r="K319" s="976"/>
    </row>
    <row r="320" spans="1:11" x14ac:dyDescent="0.3">
      <c r="A320" s="1086">
        <v>5</v>
      </c>
      <c r="B320" s="550" t="s">
        <v>20</v>
      </c>
      <c r="C320" s="550" t="s">
        <v>1795</v>
      </c>
      <c r="D320" s="551" t="s">
        <v>1737</v>
      </c>
      <c r="E320" s="1042">
        <v>41686</v>
      </c>
      <c r="F320" s="550" t="s">
        <v>1430</v>
      </c>
      <c r="G320" s="895"/>
      <c r="H320" s="550"/>
      <c r="I320" s="1025">
        <v>30.26</v>
      </c>
      <c r="J320" s="1085" t="str">
        <f>IF(ISBLANK(I320)," ",IF(ISTEXT(I320)," ",IF(I320&lt;=[2]Нормативы!$H$38,"КМС",IF(I320&lt;=[2]Нормативы!$H$39,"КМС",IF(I320&lt;=[2]Нормативы!$L$40,"КМС",IF(I320&lt;=[2]Нормативы!$L$41,"I",IF(I320&lt;=[2]Нормативы!$L$42,"II",IF(I320&lt;=[2]Нормативы!$L$43,"III",IF(I320&lt;=[2]Нормативы!$L$44,"I юн",IF(I320&lt;=[2]Нормативы!$L$45,"II юн",IF(I320&lt;=[2]Нормативы!$L$46,"III юн","б/р")))))))))))</f>
        <v>II юн</v>
      </c>
      <c r="K320" s="976"/>
    </row>
    <row r="321" spans="1:11" x14ac:dyDescent="0.3">
      <c r="A321" s="1086">
        <v>6</v>
      </c>
      <c r="B321" s="24" t="s">
        <v>21</v>
      </c>
      <c r="C321" s="551" t="s">
        <v>1791</v>
      </c>
      <c r="D321" s="890" t="s">
        <v>1792</v>
      </c>
      <c r="E321" s="1042">
        <v>41935</v>
      </c>
      <c r="F321" s="24" t="str">
        <f>'[3]Техническая один зачет'!$E$16</f>
        <v>КСШ г. Ачинск</v>
      </c>
      <c r="G321" s="895"/>
      <c r="H321" s="550"/>
      <c r="I321" s="1025">
        <v>31.26</v>
      </c>
      <c r="J321" s="1085" t="str">
        <f>IF(ISBLANK(I321)," ",IF(ISTEXT(I321)," ",IF(I321&lt;=[2]Нормативы!$H$38,"КМС",IF(I321&lt;=[2]Нормативы!$H$39,"КМС",IF(I321&lt;=[2]Нормативы!$L$40,"КМС",IF(I321&lt;=[2]Нормативы!$L$41,"I",IF(I321&lt;=[2]Нормативы!$L$42,"II",IF(I321&lt;=[2]Нормативы!$L$43,"III",IF(I321&lt;=[2]Нормативы!$L$44,"I юн",IF(I321&lt;=[2]Нормативы!$L$45,"II юн",IF(I321&lt;=[2]Нормативы!$L$46,"III юн","б/р")))))))))))</f>
        <v>II юн</v>
      </c>
      <c r="K321" s="976"/>
    </row>
    <row r="322" spans="1:11" x14ac:dyDescent="0.3">
      <c r="A322" s="1086">
        <v>7</v>
      </c>
      <c r="B322" s="550" t="s">
        <v>21</v>
      </c>
      <c r="C322" s="550" t="s">
        <v>1788</v>
      </c>
      <c r="D322" s="551" t="s">
        <v>1789</v>
      </c>
      <c r="E322" s="1042">
        <v>41722</v>
      </c>
      <c r="F322" s="550" t="s">
        <v>1596</v>
      </c>
      <c r="G322" s="895"/>
      <c r="H322" s="550"/>
      <c r="I322" s="1025">
        <v>31.4</v>
      </c>
      <c r="J322" s="1085" t="str">
        <f>IF(ISBLANK(I322)," ",IF(ISTEXT(I322)," ",IF(I322&lt;=[2]Нормативы!$H$38,"КМС",IF(I322&lt;=[2]Нормативы!$H$39,"КМС",IF(I322&lt;=[2]Нормативы!$L$40,"КМС",IF(I322&lt;=[2]Нормативы!$L$41,"I",IF(I322&lt;=[2]Нормативы!$L$42,"II",IF(I322&lt;=[2]Нормативы!$L$43,"III",IF(I322&lt;=[2]Нормативы!$L$44,"I юн",IF(I322&lt;=[2]Нормативы!$L$45,"II юн",IF(I322&lt;=[2]Нормативы!$L$46,"III юн","б/р")))))))))))</f>
        <v>II юн</v>
      </c>
      <c r="K322" s="976"/>
    </row>
    <row r="323" spans="1:11" x14ac:dyDescent="0.3">
      <c r="A323" s="1086">
        <v>8</v>
      </c>
      <c r="B323" s="550" t="s">
        <v>21</v>
      </c>
      <c r="C323" s="550" t="s">
        <v>1340</v>
      </c>
      <c r="D323" s="551" t="s">
        <v>1739</v>
      </c>
      <c r="E323" s="1042">
        <v>41939</v>
      </c>
      <c r="F323" s="550" t="s">
        <v>1450</v>
      </c>
      <c r="G323" s="895"/>
      <c r="H323" s="550"/>
      <c r="I323" s="1025">
        <v>31.94</v>
      </c>
      <c r="J323" s="1085" t="str">
        <f>IF(ISBLANK(I323)," ",IF(ISTEXT(I323)," ",IF(I323&lt;=[2]Нормативы!$H$38,"КМС",IF(I323&lt;=[2]Нормативы!$H$39,"КМС",IF(I323&lt;=[2]Нормативы!$L$40,"КМС",IF(I323&lt;=[2]Нормативы!$L$41,"I",IF(I323&lt;=[2]Нормативы!$L$42,"II",IF(I323&lt;=[2]Нормативы!$L$43,"III",IF(I323&lt;=[2]Нормативы!$L$44,"I юн",IF(I323&lt;=[2]Нормативы!$L$45,"II юн",IF(I323&lt;=[2]Нормативы!$L$46,"III юн","б/р")))))))))))</f>
        <v>III юн</v>
      </c>
      <c r="K323" s="976"/>
    </row>
    <row r="324" spans="1:11" x14ac:dyDescent="0.3">
      <c r="A324" s="1086">
        <v>9</v>
      </c>
      <c r="B324" s="550" t="s">
        <v>21</v>
      </c>
      <c r="C324" s="550" t="s">
        <v>1783</v>
      </c>
      <c r="D324" s="551" t="s">
        <v>1733</v>
      </c>
      <c r="E324" s="1042">
        <v>42219</v>
      </c>
      <c r="F324" s="550" t="s">
        <v>1450</v>
      </c>
      <c r="G324" s="895"/>
      <c r="H324" s="550"/>
      <c r="I324" s="1025">
        <v>32</v>
      </c>
      <c r="J324" s="1085" t="str">
        <f>IF(ISBLANK(I324)," ",IF(ISTEXT(I324)," ",IF(I324&lt;=[2]Нормативы!$H$38,"КМС",IF(I324&lt;=[2]Нормативы!$H$39,"КМС",IF(I324&lt;=[2]Нормативы!$L$40,"КМС",IF(I324&lt;=[2]Нормативы!$L$41,"I",IF(I324&lt;=[2]Нормативы!$L$42,"II",IF(I324&lt;=[2]Нормативы!$L$43,"III",IF(I324&lt;=[2]Нормативы!$L$44,"I юн",IF(I324&lt;=[2]Нормативы!$L$45,"II юн",IF(I324&lt;=[2]Нормативы!$L$46,"III юн","б/р")))))))))))</f>
        <v>III юн</v>
      </c>
      <c r="K324" s="1034"/>
    </row>
    <row r="325" spans="1:11" x14ac:dyDescent="0.3">
      <c r="A325" s="1086">
        <v>10</v>
      </c>
      <c r="B325" s="550" t="s">
        <v>20</v>
      </c>
      <c r="C325" s="550" t="s">
        <v>1930</v>
      </c>
      <c r="D325" s="551" t="s">
        <v>1768</v>
      </c>
      <c r="E325" s="1042">
        <v>41918</v>
      </c>
      <c r="F325" s="550" t="s">
        <v>1250</v>
      </c>
      <c r="G325" s="895"/>
      <c r="H325" s="550"/>
      <c r="I325" s="1025">
        <v>32</v>
      </c>
      <c r="J325" s="1085" t="str">
        <f>IF(ISBLANK(I325)," ",IF(ISTEXT(I325)," ",IF(I325&lt;=[2]Нормативы!$H$38,"КМС",IF(I325&lt;=[2]Нормативы!$H$39,"КМС",IF(I325&lt;=[2]Нормативы!$L$40,"КМС",IF(I325&lt;=[2]Нормативы!$L$41,"I",IF(I325&lt;=[2]Нормативы!$L$42,"II",IF(I325&lt;=[2]Нормативы!$L$43,"III",IF(I325&lt;=[2]Нормативы!$L$44,"I юн",IF(I325&lt;=[2]Нормативы!$L$45,"II юн",IF(I325&lt;=[2]Нормативы!$L$46,"III юн","б/р")))))))))))</f>
        <v>III юн</v>
      </c>
      <c r="K325" s="976"/>
    </row>
    <row r="326" spans="1:11" x14ac:dyDescent="0.3">
      <c r="A326" s="1086">
        <v>11</v>
      </c>
      <c r="B326" s="550" t="s">
        <v>25</v>
      </c>
      <c r="C326" s="550" t="s">
        <v>1793</v>
      </c>
      <c r="D326" s="551" t="s">
        <v>1794</v>
      </c>
      <c r="E326" s="1042">
        <v>41986</v>
      </c>
      <c r="F326" s="550" t="s">
        <v>1450</v>
      </c>
      <c r="G326" s="895"/>
      <c r="H326" s="550"/>
      <c r="I326" s="1025">
        <v>32.130000000000003</v>
      </c>
      <c r="J326" s="1085" t="str">
        <f>IF(ISBLANK(I326)," ",IF(ISTEXT(I326)," ",IF(I326&lt;=[2]Нормативы!$H$38,"КМС",IF(I326&lt;=[2]Нормативы!$H$39,"КМС",IF(I326&lt;=[2]Нормативы!$L$40,"КМС",IF(I326&lt;=[2]Нормативы!$L$41,"I",IF(I326&lt;=[2]Нормативы!$L$42,"II",IF(I326&lt;=[2]Нормативы!$L$43,"III",IF(I326&lt;=[2]Нормативы!$L$44,"I юн",IF(I326&lt;=[2]Нормативы!$L$45,"II юн",IF(I326&lt;=[2]Нормативы!$L$46,"III юн","б/р")))))))))))</f>
        <v>III юн</v>
      </c>
      <c r="K326" s="976"/>
    </row>
    <row r="327" spans="1:11" x14ac:dyDescent="0.3">
      <c r="A327" s="1086">
        <v>12</v>
      </c>
      <c r="B327" s="550" t="s">
        <v>1638</v>
      </c>
      <c r="C327" s="550" t="s">
        <v>1784</v>
      </c>
      <c r="D327" s="551" t="s">
        <v>1785</v>
      </c>
      <c r="E327" s="1042">
        <v>42343</v>
      </c>
      <c r="F327" s="550" t="s">
        <v>1640</v>
      </c>
      <c r="G327" s="895"/>
      <c r="H327" s="550"/>
      <c r="I327" s="1025">
        <v>32.869999999999997</v>
      </c>
      <c r="J327" s="1085" t="str">
        <f>IF(ISBLANK(I327)," ",IF(ISTEXT(I327)," ",IF(I327&lt;=[2]Нормативы!$H$38,"КМС",IF(I327&lt;=[2]Нормативы!$H$39,"КМС",IF(I327&lt;=[2]Нормативы!$L$40,"КМС",IF(I327&lt;=[2]Нормативы!$L$41,"I",IF(I327&lt;=[2]Нормативы!$L$42,"II",IF(I327&lt;=[2]Нормативы!$L$43,"III",IF(I327&lt;=[2]Нормативы!$L$44,"I юн",IF(I327&lt;=[2]Нормативы!$L$45,"II юн",IF(I327&lt;=[2]Нормативы!$L$46,"III юн","б/р")))))))))))</f>
        <v>III юн</v>
      </c>
      <c r="K327" s="976"/>
    </row>
    <row r="328" spans="1:11" x14ac:dyDescent="0.3">
      <c r="A328" s="1086">
        <v>13</v>
      </c>
      <c r="B328" s="550" t="s">
        <v>21</v>
      </c>
      <c r="C328" s="550" t="s">
        <v>1779</v>
      </c>
      <c r="D328" s="551" t="s">
        <v>1733</v>
      </c>
      <c r="E328" s="1042">
        <v>41856</v>
      </c>
      <c r="F328" s="550" t="s">
        <v>1452</v>
      </c>
      <c r="G328" s="895"/>
      <c r="H328" s="550"/>
      <c r="I328" s="1025">
        <v>33.11</v>
      </c>
      <c r="J328" s="1085" t="str">
        <f>IF(ISBLANK(I328)," ",IF(ISTEXT(I328)," ",IF(I328&lt;=[2]Нормативы!$H$38,"КМС",IF(I328&lt;=[2]Нормативы!$H$39,"КМС",IF(I328&lt;=[2]Нормативы!$L$40,"КМС",IF(I328&lt;=[2]Нормативы!$L$41,"I",IF(I328&lt;=[2]Нормативы!$L$42,"II",IF(I328&lt;=[2]Нормативы!$L$43,"III",IF(I328&lt;=[2]Нормативы!$L$44,"I юн",IF(I328&lt;=[2]Нормативы!$L$45,"II юн",IF(I328&lt;=[2]Нормативы!$L$46,"III юн","б/р")))))))))))</f>
        <v>III юн</v>
      </c>
      <c r="K328" s="976"/>
    </row>
    <row r="329" spans="1:11" x14ac:dyDescent="0.3">
      <c r="A329" s="1086">
        <v>14</v>
      </c>
      <c r="B329" s="550" t="s">
        <v>21</v>
      </c>
      <c r="C329" s="550" t="s">
        <v>1772</v>
      </c>
      <c r="D329" s="551" t="s">
        <v>1764</v>
      </c>
      <c r="E329" s="1042">
        <v>42315</v>
      </c>
      <c r="F329" s="550" t="s">
        <v>1596</v>
      </c>
      <c r="G329" s="895"/>
      <c r="H329" s="550"/>
      <c r="I329" s="1025">
        <v>33.200000000000003</v>
      </c>
      <c r="J329" s="1085" t="str">
        <f>IF(ISBLANK(I329)," ",IF(ISTEXT(I329)," ",IF(I329&lt;=[2]Нормативы!$H$38,"КМС",IF(I329&lt;=[2]Нормативы!$H$39,"КМС",IF(I329&lt;=[2]Нормативы!$L$40,"КМС",IF(I329&lt;=[2]Нормативы!$L$41,"I",IF(I329&lt;=[2]Нормативы!$L$42,"II",IF(I329&lt;=[2]Нормативы!$L$43,"III",IF(I329&lt;=[2]Нормативы!$L$44,"I юн",IF(I329&lt;=[2]Нормативы!$L$45,"II юн",IF(I329&lt;=[2]Нормативы!$L$46,"III юн","б/р")))))))))))</f>
        <v>III юн</v>
      </c>
      <c r="K329" s="976"/>
    </row>
    <row r="330" spans="1:11" x14ac:dyDescent="0.3">
      <c r="A330" s="1086">
        <v>15</v>
      </c>
      <c r="B330" s="550" t="s">
        <v>21</v>
      </c>
      <c r="C330" s="550" t="s">
        <v>1777</v>
      </c>
      <c r="D330" s="551" t="s">
        <v>1778</v>
      </c>
      <c r="E330" s="1042">
        <v>41784</v>
      </c>
      <c r="F330" s="550" t="s">
        <v>1452</v>
      </c>
      <c r="G330" s="895"/>
      <c r="H330" s="550"/>
      <c r="I330" s="1025">
        <v>33.39</v>
      </c>
      <c r="J330" s="1085" t="str">
        <f>IF(ISBLANK(I330)," ",IF(ISTEXT(I330)," ",IF(I330&lt;=[2]Нормативы!$H$38,"КМС",IF(I330&lt;=[2]Нормативы!$H$39,"КМС",IF(I330&lt;=[2]Нормативы!$L$40,"КМС",IF(I330&lt;=[2]Нормативы!$L$41,"I",IF(I330&lt;=[2]Нормативы!$L$42,"II",IF(I330&lt;=[2]Нормативы!$L$43,"III",IF(I330&lt;=[2]Нормативы!$L$44,"I юн",IF(I330&lt;=[2]Нормативы!$L$45,"II юн",IF(I330&lt;=[2]Нормативы!$L$46,"III юн","б/р")))))))))))</f>
        <v>III юн</v>
      </c>
      <c r="K330" s="1035"/>
    </row>
    <row r="331" spans="1:11" x14ac:dyDescent="0.3">
      <c r="A331" s="1086">
        <v>16</v>
      </c>
      <c r="B331" s="550" t="s">
        <v>21</v>
      </c>
      <c r="C331" s="550" t="s">
        <v>1776</v>
      </c>
      <c r="D331" s="551" t="s">
        <v>1768</v>
      </c>
      <c r="E331" s="1042">
        <v>41911</v>
      </c>
      <c r="F331" s="550" t="s">
        <v>1640</v>
      </c>
      <c r="G331" s="895"/>
      <c r="H331" s="550"/>
      <c r="I331" s="1025">
        <v>33.6</v>
      </c>
      <c r="J331" s="1085" t="str">
        <f>IF(ISBLANK(I331)," ",IF(ISTEXT(I331)," ",IF(I331&lt;=[2]Нормативы!$H$38,"КМС",IF(I331&lt;=[2]Нормативы!$H$39,"КМС",IF(I331&lt;=[2]Нормативы!$L$40,"КМС",IF(I331&lt;=[2]Нормативы!$L$41,"I",IF(I331&lt;=[2]Нормативы!$L$42,"II",IF(I331&lt;=[2]Нормативы!$L$43,"III",IF(I331&lt;=[2]Нормативы!$L$44,"I юн",IF(I331&lt;=[2]Нормативы!$L$45,"II юн",IF(I331&lt;=[2]Нормативы!$L$46,"III юн","б/р")))))))))))</f>
        <v>III юн</v>
      </c>
      <c r="K331" s="976"/>
    </row>
    <row r="332" spans="1:11" x14ac:dyDescent="0.3">
      <c r="A332" s="1086">
        <v>17</v>
      </c>
      <c r="B332" s="550" t="s">
        <v>21</v>
      </c>
      <c r="C332" s="550" t="s">
        <v>1786</v>
      </c>
      <c r="D332" s="551" t="s">
        <v>1787</v>
      </c>
      <c r="E332" s="1042">
        <v>41912</v>
      </c>
      <c r="F332" s="550" t="s">
        <v>1452</v>
      </c>
      <c r="G332" s="895"/>
      <c r="H332" s="550"/>
      <c r="I332" s="1025">
        <v>33.74</v>
      </c>
      <c r="J332" s="1085" t="str">
        <f>IF(ISBLANK(I332)," ",IF(ISTEXT(I332)," ",IF(I332&lt;=[2]Нормативы!$H$38,"КМС",IF(I332&lt;=[2]Нормативы!$H$39,"КМС",IF(I332&lt;=[2]Нормативы!$L$40,"КМС",IF(I332&lt;=[2]Нормативы!$L$41,"I",IF(I332&lt;=[2]Нормативы!$L$42,"II",IF(I332&lt;=[2]Нормативы!$L$43,"III",IF(I332&lt;=[2]Нормативы!$L$44,"I юн",IF(I332&lt;=[2]Нормативы!$L$45,"II юн",IF(I332&lt;=[2]Нормативы!$L$46,"III юн","б/р")))))))))))</f>
        <v>III юн</v>
      </c>
      <c r="K332" s="976"/>
    </row>
    <row r="333" spans="1:11" x14ac:dyDescent="0.3">
      <c r="A333" s="1086">
        <v>18</v>
      </c>
      <c r="B333" s="550" t="s">
        <v>21</v>
      </c>
      <c r="C333" s="550" t="s">
        <v>1774</v>
      </c>
      <c r="D333" s="551" t="s">
        <v>1775</v>
      </c>
      <c r="E333" s="1042">
        <v>42218</v>
      </c>
      <c r="F333" s="550" t="s">
        <v>1596</v>
      </c>
      <c r="G333" s="895"/>
      <c r="H333" s="550"/>
      <c r="I333" s="1025">
        <v>33.75</v>
      </c>
      <c r="J333" s="1085" t="str">
        <f>IF(ISBLANK(I333)," ",IF(ISTEXT(I333)," ",IF(I333&lt;=[2]Нормативы!$H$38,"КМС",IF(I333&lt;=[2]Нормативы!$H$39,"КМС",IF(I333&lt;=[2]Нормативы!$L$40,"КМС",IF(I333&lt;=[2]Нормативы!$L$41,"I",IF(I333&lt;=[2]Нормативы!$L$42,"II",IF(I333&lt;=[2]Нормативы!$L$43,"III",IF(I333&lt;=[2]Нормативы!$L$44,"I юн",IF(I333&lt;=[2]Нормативы!$L$45,"II юн",IF(I333&lt;=[2]Нормативы!$L$46,"III юн","б/р")))))))))))</f>
        <v>III юн</v>
      </c>
      <c r="K333" s="976"/>
    </row>
    <row r="334" spans="1:11" x14ac:dyDescent="0.3">
      <c r="A334" s="1086">
        <v>19</v>
      </c>
      <c r="B334" s="550" t="s">
        <v>23</v>
      </c>
      <c r="C334" s="551" t="s">
        <v>1780</v>
      </c>
      <c r="D334" s="890" t="s">
        <v>1781</v>
      </c>
      <c r="E334" s="1042">
        <v>42053</v>
      </c>
      <c r="F334" s="550" t="str">
        <f>'[3]Техническая один зачет'!$E$16</f>
        <v>КСШ г. Ачинск</v>
      </c>
      <c r="G334" s="895"/>
      <c r="H334" s="550"/>
      <c r="I334" s="1025">
        <v>34.270000000000003</v>
      </c>
      <c r="J334" s="1085" t="str">
        <f>IF(ISBLANK(I334)," ",IF(ISTEXT(I334)," ",IF(I334&lt;=[2]Нормативы!$H$38,"КМС",IF(I334&lt;=[2]Нормативы!$H$39,"КМС",IF(I334&lt;=[2]Нормативы!$L$40,"КМС",IF(I334&lt;=[2]Нормативы!$L$41,"I",IF(I334&lt;=[2]Нормативы!$L$42,"II",IF(I334&lt;=[2]Нормативы!$L$43,"III",IF(I334&lt;=[2]Нормативы!$L$44,"I юн",IF(I334&lt;=[2]Нормативы!$L$45,"II юн",IF(I334&lt;=[2]Нормативы!$L$46,"III юн","б/р")))))))))))</f>
        <v>III юн</v>
      </c>
      <c r="K334" s="976"/>
    </row>
    <row r="335" spans="1:11" x14ac:dyDescent="0.3">
      <c r="A335" s="1086">
        <v>20</v>
      </c>
      <c r="B335" s="550" t="s">
        <v>25</v>
      </c>
      <c r="C335" s="550" t="s">
        <v>1769</v>
      </c>
      <c r="D335" s="551" t="s">
        <v>1752</v>
      </c>
      <c r="E335" s="1042">
        <v>42021</v>
      </c>
      <c r="F335" s="550" t="s">
        <v>1596</v>
      </c>
      <c r="G335" s="895"/>
      <c r="H335" s="550"/>
      <c r="I335" s="1025">
        <v>34.81</v>
      </c>
      <c r="J335" s="1085" t="str">
        <f>IF(ISBLANK(I335)," ",IF(ISTEXT(I335)," ",IF(I335&lt;=[2]Нормативы!$H$38,"КМС",IF(I335&lt;=[2]Нормативы!$H$39,"КМС",IF(I335&lt;=[2]Нормативы!$L$40,"КМС",IF(I335&lt;=[2]Нормативы!$L$41,"I",IF(I335&lt;=[2]Нормативы!$L$42,"II",IF(I335&lt;=[2]Нормативы!$L$43,"III",IF(I335&lt;=[2]Нормативы!$L$44,"I юн",IF(I335&lt;=[2]Нормативы!$L$45,"II юн",IF(I335&lt;=[2]Нормативы!$L$46,"III юн","б/р")))))))))))</f>
        <v>III юн</v>
      </c>
      <c r="K335" s="976"/>
    </row>
    <row r="336" spans="1:11" x14ac:dyDescent="0.3">
      <c r="A336" s="1086">
        <v>21</v>
      </c>
      <c r="B336" s="897" t="s">
        <v>25</v>
      </c>
      <c r="C336" s="883" t="s">
        <v>1988</v>
      </c>
      <c r="D336" s="883" t="s">
        <v>1733</v>
      </c>
      <c r="E336" s="1058">
        <v>42139</v>
      </c>
      <c r="F336" s="550" t="s">
        <v>1598</v>
      </c>
      <c r="G336" s="942"/>
      <c r="H336" s="947"/>
      <c r="I336" s="1025">
        <v>34.85</v>
      </c>
      <c r="J336" s="1085" t="str">
        <f>IF(ISBLANK(I336)," ",IF(ISTEXT(I336)," ",IF(I336&lt;=[2]Нормативы!$H$38,"КМС",IF(I336&lt;=[2]Нормативы!$H$39,"КМС",IF(I336&lt;=[2]Нормативы!$L$40,"КМС",IF(I336&lt;=[2]Нормативы!$L$41,"I",IF(I336&lt;=[2]Нормативы!$L$42,"II",IF(I336&lt;=[2]Нормативы!$L$43,"III",IF(I336&lt;=[2]Нормативы!$L$44,"I юн",IF(I336&lt;=[2]Нормативы!$L$45,"II юн",IF(I336&lt;=[2]Нормативы!$L$46,"III юн","б/р")))))))))))</f>
        <v>III юн</v>
      </c>
      <c r="K336" s="976"/>
    </row>
    <row r="337" spans="1:11" x14ac:dyDescent="0.3">
      <c r="A337" s="1086">
        <v>22</v>
      </c>
      <c r="B337" s="550" t="s">
        <v>25</v>
      </c>
      <c r="C337" s="550" t="s">
        <v>1767</v>
      </c>
      <c r="D337" s="551" t="s">
        <v>1768</v>
      </c>
      <c r="E337" s="1042">
        <v>42357</v>
      </c>
      <c r="F337" s="550" t="s">
        <v>1598</v>
      </c>
      <c r="G337" s="895"/>
      <c r="H337" s="550"/>
      <c r="I337" s="1025">
        <v>35.39</v>
      </c>
      <c r="J337" s="1085" t="str">
        <f>IF(ISBLANK(I337)," ",IF(ISTEXT(I337)," ",IF(I337&lt;=[2]Нормативы!$H$38,"КМС",IF(I337&lt;=[2]Нормативы!$H$39,"КМС",IF(I337&lt;=[2]Нормативы!$L$40,"КМС",IF(I337&lt;=[2]Нормативы!$L$41,"I",IF(I337&lt;=[2]Нормативы!$L$42,"II",IF(I337&lt;=[2]Нормативы!$L$43,"III",IF(I337&lt;=[2]Нормативы!$L$44,"I юн",IF(I337&lt;=[2]Нормативы!$L$45,"II юн",IF(I337&lt;=[2]Нормативы!$L$46,"III юн","б/р")))))))))))</f>
        <v>б/р</v>
      </c>
      <c r="K337" s="1035"/>
    </row>
    <row r="338" spans="1:11" x14ac:dyDescent="0.3">
      <c r="A338" s="1086">
        <v>23</v>
      </c>
      <c r="B338" s="550" t="s">
        <v>25</v>
      </c>
      <c r="C338" s="550" t="s">
        <v>1765</v>
      </c>
      <c r="D338" s="551" t="s">
        <v>1766</v>
      </c>
      <c r="E338" s="1042">
        <v>42185</v>
      </c>
      <c r="F338" s="550" t="s">
        <v>1740</v>
      </c>
      <c r="G338" s="895"/>
      <c r="H338" s="550"/>
      <c r="I338" s="1025">
        <v>35.72</v>
      </c>
      <c r="J338" s="1085" t="str">
        <f>IF(ISBLANK(I338)," ",IF(ISTEXT(I338)," ",IF(I338&lt;=[2]Нормативы!$H$38,"КМС",IF(I338&lt;=[2]Нормативы!$H$39,"КМС",IF(I338&lt;=[2]Нормативы!$L$40,"КМС",IF(I338&lt;=[2]Нормативы!$L$41,"I",IF(I338&lt;=[2]Нормативы!$L$42,"II",IF(I338&lt;=[2]Нормативы!$L$43,"III",IF(I338&lt;=[2]Нормативы!$L$44,"I юн",IF(I338&lt;=[2]Нормативы!$L$45,"II юн",IF(I338&lt;=[2]Нормативы!$L$46,"III юн","б/р")))))))))))</f>
        <v>б/р</v>
      </c>
      <c r="K338" s="976"/>
    </row>
    <row r="339" spans="1:11" x14ac:dyDescent="0.3">
      <c r="A339" s="1086">
        <v>24</v>
      </c>
      <c r="B339" s="550" t="s">
        <v>25</v>
      </c>
      <c r="C339" s="550" t="s">
        <v>1770</v>
      </c>
      <c r="D339" s="551" t="s">
        <v>1742</v>
      </c>
      <c r="E339" s="1042">
        <v>42065</v>
      </c>
      <c r="F339" s="550" t="s">
        <v>1596</v>
      </c>
      <c r="G339" s="895"/>
      <c r="H339" s="550"/>
      <c r="I339" s="1025">
        <v>36.5</v>
      </c>
      <c r="J339" s="1085" t="str">
        <f>IF(ISBLANK(I339)," ",IF(ISTEXT(I339)," ",IF(I339&lt;=[2]Нормативы!$H$38,"КМС",IF(I339&lt;=[2]Нормативы!$H$39,"КМС",IF(I339&lt;=[2]Нормативы!$L$40,"КМС",IF(I339&lt;=[2]Нормативы!$L$41,"I",IF(I339&lt;=[2]Нормативы!$L$42,"II",IF(I339&lt;=[2]Нормативы!$L$43,"III",IF(I339&lt;=[2]Нормативы!$L$44,"I юн",IF(I339&lt;=[2]Нормативы!$L$45,"II юн",IF(I339&lt;=[2]Нормативы!$L$46,"III юн","б/р")))))))))))</f>
        <v>б/р</v>
      </c>
      <c r="K339" s="976"/>
    </row>
    <row r="340" spans="1:11" x14ac:dyDescent="0.3">
      <c r="A340" s="1086">
        <v>25</v>
      </c>
      <c r="B340" s="550" t="s">
        <v>25</v>
      </c>
      <c r="C340" s="550" t="s">
        <v>1762</v>
      </c>
      <c r="D340" s="551" t="s">
        <v>1737</v>
      </c>
      <c r="E340" s="1042">
        <v>42312</v>
      </c>
      <c r="F340" s="550" t="s">
        <v>1596</v>
      </c>
      <c r="G340" s="895"/>
      <c r="H340" s="550"/>
      <c r="I340" s="1025">
        <v>36.950000000000003</v>
      </c>
      <c r="J340" s="1085" t="str">
        <f>IF(ISBLANK(I340)," ",IF(ISTEXT(I340)," ",IF(I340&lt;=[2]Нормативы!$H$38,"КМС",IF(I340&lt;=[2]Нормативы!$H$39,"КМС",IF(I340&lt;=[2]Нормативы!$L$40,"КМС",IF(I340&lt;=[2]Нормативы!$L$41,"I",IF(I340&lt;=[2]Нормативы!$L$42,"II",IF(I340&lt;=[2]Нормативы!$L$43,"III",IF(I340&lt;=[2]Нормативы!$L$44,"I юн",IF(I340&lt;=[2]Нормативы!$L$45,"II юн",IF(I340&lt;=[2]Нормативы!$L$46,"III юн","б/р")))))))))))</f>
        <v>б/р</v>
      </c>
      <c r="K340" s="976"/>
    </row>
    <row r="341" spans="1:11" x14ac:dyDescent="0.3">
      <c r="A341" s="1086">
        <v>26</v>
      </c>
      <c r="B341" s="550" t="s">
        <v>25</v>
      </c>
      <c r="C341" s="550" t="s">
        <v>1771</v>
      </c>
      <c r="D341" s="551" t="s">
        <v>1752</v>
      </c>
      <c r="E341" s="1042">
        <v>41850</v>
      </c>
      <c r="F341" s="550" t="s">
        <v>1598</v>
      </c>
      <c r="G341" s="895"/>
      <c r="H341" s="550"/>
      <c r="I341" s="1025">
        <v>37.020000000000003</v>
      </c>
      <c r="J341" s="1085" t="str">
        <f>IF(ISBLANK(I341)," ",IF(ISTEXT(I341)," ",IF(I341&lt;=[2]Нормативы!$H$38,"КМС",IF(I341&lt;=[2]Нормативы!$H$39,"КМС",IF(I341&lt;=[2]Нормативы!$L$40,"КМС",IF(I341&lt;=[2]Нормативы!$L$41,"I",IF(I341&lt;=[2]Нормативы!$L$42,"II",IF(I341&lt;=[2]Нормативы!$L$43,"III",IF(I341&lt;=[2]Нормативы!$L$44,"I юн",IF(I341&lt;=[2]Нормативы!$L$45,"II юн",IF(I341&lt;=[2]Нормативы!$L$46,"III юн","б/р")))))))))))</f>
        <v>б/р</v>
      </c>
      <c r="K341" s="1035"/>
    </row>
    <row r="342" spans="1:11" x14ac:dyDescent="0.3">
      <c r="A342" s="1086">
        <v>27</v>
      </c>
      <c r="B342" s="550" t="s">
        <v>25</v>
      </c>
      <c r="C342" s="550" t="s">
        <v>1761</v>
      </c>
      <c r="D342" s="551" t="s">
        <v>1725</v>
      </c>
      <c r="E342" s="1042">
        <v>42184</v>
      </c>
      <c r="F342" s="550" t="s">
        <v>1628</v>
      </c>
      <c r="G342" s="895"/>
      <c r="H342" s="550"/>
      <c r="I342" s="1025">
        <v>37.29</v>
      </c>
      <c r="J342" s="1085" t="str">
        <f>IF(ISBLANK(I342)," ",IF(ISTEXT(I342)," ",IF(I342&lt;=[2]Нормативы!$H$38,"КМС",IF(I342&lt;=[2]Нормативы!$H$39,"КМС",IF(I342&lt;=[2]Нормативы!$L$40,"КМС",IF(I342&lt;=[2]Нормативы!$L$41,"I",IF(I342&lt;=[2]Нормативы!$L$42,"II",IF(I342&lt;=[2]Нормативы!$L$43,"III",IF(I342&lt;=[2]Нормативы!$L$44,"I юн",IF(I342&lt;=[2]Нормативы!$L$45,"II юн",IF(I342&lt;=[2]Нормативы!$L$46,"III юн","б/р")))))))))))</f>
        <v>б/р</v>
      </c>
      <c r="K342" s="976"/>
    </row>
    <row r="343" spans="1:11" x14ac:dyDescent="0.3">
      <c r="A343" s="1086">
        <v>28</v>
      </c>
      <c r="B343" s="550" t="s">
        <v>25</v>
      </c>
      <c r="C343" s="550" t="s">
        <v>1763</v>
      </c>
      <c r="D343" s="551" t="s">
        <v>1764</v>
      </c>
      <c r="E343" s="1042">
        <v>42299</v>
      </c>
      <c r="F343" s="550" t="s">
        <v>1634</v>
      </c>
      <c r="G343" s="895"/>
      <c r="H343" s="550"/>
      <c r="I343" s="1025">
        <v>37.57</v>
      </c>
      <c r="J343" s="1085" t="str">
        <f>IF(ISBLANK(I343)," ",IF(ISTEXT(I343)," ",IF(I343&lt;=[2]Нормативы!$H$38,"КМС",IF(I343&lt;=[2]Нормативы!$H$39,"КМС",IF(I343&lt;=[2]Нормативы!$L$40,"КМС",IF(I343&lt;=[2]Нормативы!$L$41,"I",IF(I343&lt;=[2]Нормативы!$L$42,"II",IF(I343&lt;=[2]Нормативы!$L$43,"III",IF(I343&lt;=[2]Нормативы!$L$44,"I юн",IF(I343&lt;=[2]Нормативы!$L$45,"II юн",IF(I343&lt;=[2]Нормативы!$L$46,"III юн","б/р")))))))))))</f>
        <v>б/р</v>
      </c>
      <c r="K343" s="976"/>
    </row>
    <row r="344" spans="1:11" x14ac:dyDescent="0.3">
      <c r="A344" s="1086">
        <v>29</v>
      </c>
      <c r="B344" s="550" t="s">
        <v>25</v>
      </c>
      <c r="C344" s="550" t="s">
        <v>1758</v>
      </c>
      <c r="D344" s="551" t="s">
        <v>1750</v>
      </c>
      <c r="E344" s="1042">
        <v>42355</v>
      </c>
      <c r="F344" s="550" t="s">
        <v>1596</v>
      </c>
      <c r="G344" s="895"/>
      <c r="H344" s="550"/>
      <c r="I344" s="1025">
        <v>38.5</v>
      </c>
      <c r="J344" s="1085" t="str">
        <f>IF(ISBLANK(I344)," ",IF(ISTEXT(I344)," ",IF(I344&lt;=[2]Нормативы!$H$38,"КМС",IF(I344&lt;=[2]Нормативы!$H$39,"КМС",IF(I344&lt;=[2]Нормативы!$L$40,"КМС",IF(I344&lt;=[2]Нормативы!$L$41,"I",IF(I344&lt;=[2]Нормативы!$L$42,"II",IF(I344&lt;=[2]Нормативы!$L$43,"III",IF(I344&lt;=[2]Нормативы!$L$44,"I юн",IF(I344&lt;=[2]Нормативы!$L$45,"II юн",IF(I344&lt;=[2]Нормативы!$L$46,"III юн","б/р")))))))))))</f>
        <v>б/р</v>
      </c>
      <c r="K344" s="1026"/>
    </row>
    <row r="345" spans="1:11" x14ac:dyDescent="0.3">
      <c r="A345" s="1086">
        <v>30</v>
      </c>
      <c r="B345" s="550" t="s">
        <v>25</v>
      </c>
      <c r="C345" s="550" t="s">
        <v>1759</v>
      </c>
      <c r="D345" s="551" t="s">
        <v>1760</v>
      </c>
      <c r="E345" s="1042">
        <v>41994</v>
      </c>
      <c r="F345" s="550" t="s">
        <v>1596</v>
      </c>
      <c r="G345" s="895"/>
      <c r="H345" s="550"/>
      <c r="I345" s="1025">
        <v>38.74</v>
      </c>
      <c r="J345" s="1085" t="str">
        <f>IF(ISBLANK(I345)," ",IF(ISTEXT(I345)," ",IF(I345&lt;=[2]Нормативы!$H$38,"КМС",IF(I345&lt;=[2]Нормативы!$H$39,"КМС",IF(I345&lt;=[2]Нормативы!$L$40,"КМС",IF(I345&lt;=[2]Нормативы!$L$41,"I",IF(I345&lt;=[2]Нормативы!$L$42,"II",IF(I345&lt;=[2]Нормативы!$L$43,"III",IF(I345&lt;=[2]Нормативы!$L$44,"I юн",IF(I345&lt;=[2]Нормативы!$L$45,"II юн",IF(I345&lt;=[2]Нормативы!$L$46,"III юн","б/р")))))))))))</f>
        <v>б/р</v>
      </c>
      <c r="K345" s="976"/>
    </row>
    <row r="346" spans="1:11" x14ac:dyDescent="0.3">
      <c r="A346" s="1086"/>
      <c r="B346" s="550" t="s">
        <v>20</v>
      </c>
      <c r="C346" s="550" t="s">
        <v>1790</v>
      </c>
      <c r="D346" s="551" t="s">
        <v>1739</v>
      </c>
      <c r="E346" s="1042">
        <v>42075</v>
      </c>
      <c r="F346" s="550" t="s">
        <v>1634</v>
      </c>
      <c r="G346" s="895"/>
      <c r="H346" s="550"/>
      <c r="I346" s="1074" t="s">
        <v>2066</v>
      </c>
      <c r="J346" s="885"/>
      <c r="K346" s="976"/>
    </row>
    <row r="347" spans="1:11" x14ac:dyDescent="0.3">
      <c r="A347" s="1086"/>
      <c r="B347" s="952"/>
      <c r="C347" s="947"/>
      <c r="D347" s="1026"/>
      <c r="E347" s="981"/>
      <c r="F347" s="947"/>
      <c r="G347" s="947"/>
      <c r="H347" s="982"/>
      <c r="I347" s="982"/>
      <c r="J347" s="24"/>
      <c r="K347" s="1026"/>
    </row>
    <row r="348" spans="1:11" ht="15.6" x14ac:dyDescent="0.3">
      <c r="A348" s="1086"/>
      <c r="B348" s="550"/>
      <c r="C348" s="928" t="s">
        <v>1906</v>
      </c>
      <c r="D348" s="374"/>
      <c r="E348" s="374"/>
      <c r="F348" s="374"/>
      <c r="G348" s="374"/>
      <c r="H348" s="929"/>
      <c r="I348" s="1025"/>
      <c r="J348" s="878"/>
      <c r="K348" s="359"/>
    </row>
    <row r="349" spans="1:11" x14ac:dyDescent="0.3">
      <c r="A349" s="1086"/>
      <c r="B349" s="952"/>
      <c r="C349" s="947"/>
      <c r="D349" s="976"/>
      <c r="E349" s="981"/>
      <c r="F349" s="947"/>
      <c r="G349" s="947"/>
      <c r="H349" s="982"/>
      <c r="I349" s="1025"/>
      <c r="J349" s="549"/>
      <c r="K349" s="880"/>
    </row>
    <row r="350" spans="1:11" x14ac:dyDescent="0.3">
      <c r="A350" s="1086">
        <v>1</v>
      </c>
      <c r="B350" s="550" t="s">
        <v>21</v>
      </c>
      <c r="C350" s="551" t="s">
        <v>1621</v>
      </c>
      <c r="D350" s="890" t="s">
        <v>1595</v>
      </c>
      <c r="E350" s="1042">
        <v>42811</v>
      </c>
      <c r="F350" s="550" t="s">
        <v>1452</v>
      </c>
      <c r="G350" s="895"/>
      <c r="H350" s="550"/>
      <c r="I350" s="1025">
        <v>117.67</v>
      </c>
      <c r="J350" s="1085" t="str">
        <f>IF(ISBLANK(I350)," ",IF(ISTEXT(I350)," ",IF(I350&lt;=[2]Нормативы!$H$49,"КМС",IF(I350&lt;=[2]Нормативы!$H$50,"КМС",IF(I350&lt;=[2]Нормативы!$L$51,"КМС",IF(I350&lt;=[2]Нормативы!$L$52,"I",IF(I350&lt;=[2]Нормативы!$L$53,"II",IF(I350&lt;=[2]Нормативы!$L$54,"III",IF(I350&lt;=[2]Нормативы!$L$55,"I юн",IF(I350&lt;=[2]Нормативы!$L$56,"II юн",IF(I350&lt;=[2]Нормативы!$L$57,"III юн","б/р")))))))))))</f>
        <v>б/р</v>
      </c>
      <c r="K350" s="880"/>
    </row>
    <row r="351" spans="1:11" x14ac:dyDescent="0.3">
      <c r="A351" s="1086">
        <v>2</v>
      </c>
      <c r="B351" s="550" t="s">
        <v>25</v>
      </c>
      <c r="C351" s="551" t="s">
        <v>1907</v>
      </c>
      <c r="D351" s="890" t="s">
        <v>1595</v>
      </c>
      <c r="E351" s="1042">
        <v>42864</v>
      </c>
      <c r="F351" s="550" t="s">
        <v>1598</v>
      </c>
      <c r="G351" s="895"/>
      <c r="H351" s="550"/>
      <c r="I351" s="1025">
        <v>117.72</v>
      </c>
      <c r="J351" s="1085" t="str">
        <f>IF(ISBLANK(I351)," ",IF(ISTEXT(I351)," ",IF(I351&lt;=[2]Нормативы!$H$49,"КМС",IF(I351&lt;=[2]Нормативы!$H$50,"КМС",IF(I351&lt;=[2]Нормативы!$L$51,"КМС",IF(I351&lt;=[2]Нормативы!$L$52,"I",IF(I351&lt;=[2]Нормативы!$L$53,"II",IF(I351&lt;=[2]Нормативы!$L$54,"III",IF(I351&lt;=[2]Нормативы!$L$55,"I юн",IF(I351&lt;=[2]Нормативы!$L$56,"II юн",IF(I351&lt;=[2]Нормативы!$L$57,"III юн","б/р")))))))))))</f>
        <v>б/р</v>
      </c>
      <c r="K351" s="976"/>
    </row>
    <row r="352" spans="1:11" x14ac:dyDescent="0.3">
      <c r="A352" s="1086">
        <v>3</v>
      </c>
      <c r="B352" s="550" t="s">
        <v>25</v>
      </c>
      <c r="C352" s="551" t="s">
        <v>1610</v>
      </c>
      <c r="D352" s="890" t="s">
        <v>1611</v>
      </c>
      <c r="E352" s="1042">
        <v>43410</v>
      </c>
      <c r="F352" s="550" t="s">
        <v>1598</v>
      </c>
      <c r="G352" s="895"/>
      <c r="H352" s="550"/>
      <c r="I352" s="1025">
        <v>132.30000000000001</v>
      </c>
      <c r="J352" s="1085" t="str">
        <f>IF(ISBLANK(I352)," ",IF(ISTEXT(I352)," ",IF(I352&lt;=[2]Нормативы!$H$49,"КМС",IF(I352&lt;=[2]Нормативы!$H$50,"КМС",IF(I352&lt;=[2]Нормативы!$L$51,"КМС",IF(I352&lt;=[2]Нормативы!$L$52,"I",IF(I352&lt;=[2]Нормативы!$L$53,"II",IF(I352&lt;=[2]Нормативы!$L$54,"III",IF(I352&lt;=[2]Нормативы!$L$55,"I юн",IF(I352&lt;=[2]Нормативы!$L$56,"II юн",IF(I352&lt;=[2]Нормативы!$L$57,"III юн","б/р")))))))))))</f>
        <v>б/р</v>
      </c>
      <c r="K352" s="976"/>
    </row>
    <row r="353" spans="1:11" x14ac:dyDescent="0.3">
      <c r="A353" s="1086">
        <v>4</v>
      </c>
      <c r="B353" s="550" t="s">
        <v>25</v>
      </c>
      <c r="C353" s="551" t="s">
        <v>1597</v>
      </c>
      <c r="D353" s="890" t="s">
        <v>1595</v>
      </c>
      <c r="E353" s="1042">
        <v>43557</v>
      </c>
      <c r="F353" s="550" t="s">
        <v>1598</v>
      </c>
      <c r="G353" s="895"/>
      <c r="H353" s="550"/>
      <c r="I353" s="1025">
        <v>145.82</v>
      </c>
      <c r="J353" s="1085" t="str">
        <f>IF(ISBLANK(I353)," ",IF(ISTEXT(I353)," ",IF(I353&lt;=[2]Нормативы!$H$49,"КМС",IF(I353&lt;=[2]Нормативы!$H$50,"КМС",IF(I353&lt;=[2]Нормативы!$L$51,"КМС",IF(I353&lt;=[2]Нормативы!$L$52,"I",IF(I353&lt;=[2]Нормативы!$L$53,"II",IF(I353&lt;=[2]Нормативы!$L$54,"III",IF(I353&lt;=[2]Нормативы!$L$55,"I юн",IF(I353&lt;=[2]Нормативы!$L$56,"II юн",IF(I353&lt;=[2]Нормативы!$L$57,"III юн","б/р")))))))))))</f>
        <v>б/р</v>
      </c>
      <c r="K353" s="976"/>
    </row>
    <row r="354" spans="1:11" x14ac:dyDescent="0.3">
      <c r="A354" s="1086"/>
      <c r="B354" s="952"/>
      <c r="C354" s="947"/>
      <c r="D354" s="976"/>
      <c r="E354" s="981"/>
      <c r="F354" s="947"/>
      <c r="G354" s="947"/>
      <c r="H354" s="982"/>
      <c r="I354" s="1025"/>
      <c r="J354" s="549"/>
    </row>
    <row r="355" spans="1:11" ht="15.6" x14ac:dyDescent="0.3">
      <c r="A355" s="1086"/>
      <c r="B355" s="550"/>
      <c r="C355" s="928" t="s">
        <v>1908</v>
      </c>
      <c r="D355" s="374"/>
      <c r="E355" s="374"/>
      <c r="F355" s="374"/>
      <c r="G355" s="374"/>
      <c r="H355" s="929"/>
      <c r="I355" s="1025"/>
      <c r="J355" s="878"/>
      <c r="K355" s="880"/>
    </row>
    <row r="356" spans="1:11" x14ac:dyDescent="0.3">
      <c r="A356" s="1086"/>
      <c r="B356" s="986"/>
      <c r="C356" s="72"/>
      <c r="D356" s="18"/>
      <c r="E356" s="996"/>
      <c r="F356" s="952"/>
      <c r="G356" s="987"/>
      <c r="H356" s="358"/>
      <c r="I356" s="1072"/>
      <c r="J356" s="549"/>
      <c r="K356" s="880"/>
    </row>
    <row r="357" spans="1:11" x14ac:dyDescent="0.3">
      <c r="A357" s="1161">
        <v>1</v>
      </c>
      <c r="B357" s="550" t="s">
        <v>24</v>
      </c>
      <c r="C357" s="551" t="s">
        <v>1435</v>
      </c>
      <c r="D357" s="890" t="s">
        <v>1657</v>
      </c>
      <c r="E357" s="1042">
        <v>41951</v>
      </c>
      <c r="F357" s="550" t="s">
        <v>1450</v>
      </c>
      <c r="G357" s="895"/>
      <c r="H357" s="550"/>
      <c r="I357" s="1025">
        <v>100.13</v>
      </c>
      <c r="J357" s="1085" t="str">
        <f>IF(ISBLANK(I357)," ",IF(ISTEXT(I357)," ",IF(I357&lt;=[2]Нормативы!$H$49,"КМС",IF(I357&lt;=[2]Нормативы!$H$50,"КМС",IF(I357&lt;=[2]Нормативы!$L$51,"КМС",IF(I357&lt;=[2]Нормативы!$L$52,"I",IF(I357&lt;=[2]Нормативы!$L$53,"II",IF(I357&lt;=[2]Нормативы!$L$54,"III",IF(I357&lt;=[2]Нормативы!$L$55,"I юн",IF(I357&lt;=[2]Нормативы!$L$56,"II юн",IF(I357&lt;=[2]Нормативы!$L$57,"III юн","б/р")))))))))))</f>
        <v>II юн</v>
      </c>
      <c r="K357" s="1008"/>
    </row>
    <row r="358" spans="1:11" x14ac:dyDescent="0.3">
      <c r="A358" s="1161">
        <v>2</v>
      </c>
      <c r="B358" s="550" t="s">
        <v>24</v>
      </c>
      <c r="C358" s="551" t="s">
        <v>1658</v>
      </c>
      <c r="D358" s="890" t="s">
        <v>1649</v>
      </c>
      <c r="E358" s="1042">
        <v>41793</v>
      </c>
      <c r="F358" s="550" t="s">
        <v>1381</v>
      </c>
      <c r="G358" s="895"/>
      <c r="H358" s="550"/>
      <c r="I358" s="1025">
        <v>100.26</v>
      </c>
      <c r="J358" s="1085" t="str">
        <f>IF(ISBLANK(I358)," ",IF(ISTEXT(I358)," ",IF(I358&lt;=[2]Нормативы!$H$49,"КМС",IF(I358&lt;=[2]Нормативы!$H$50,"КМС",IF(I358&lt;=[2]Нормативы!$L$51,"КМС",IF(I358&lt;=[2]Нормативы!$L$52,"I",IF(I358&lt;=[2]Нормативы!$L$53,"II",IF(I358&lt;=[2]Нормативы!$L$54,"III",IF(I358&lt;=[2]Нормативы!$L$55,"I юн",IF(I358&lt;=[2]Нормативы!$L$56,"II юн",IF(I358&lt;=[2]Нормативы!$L$57,"III юн","б/р")))))))))))</f>
        <v>II юн</v>
      </c>
      <c r="K358" s="1008"/>
    </row>
    <row r="359" spans="1:11" x14ac:dyDescent="0.3">
      <c r="A359" s="1161">
        <v>3</v>
      </c>
      <c r="B359" s="550" t="s">
        <v>24</v>
      </c>
      <c r="C359" s="551" t="s">
        <v>1911</v>
      </c>
      <c r="D359" s="890" t="s">
        <v>1603</v>
      </c>
      <c r="E359" s="1042">
        <v>41733</v>
      </c>
      <c r="F359" s="550" t="s">
        <v>1634</v>
      </c>
      <c r="G359" s="895"/>
      <c r="H359" s="550"/>
      <c r="I359" s="1025">
        <v>101.33</v>
      </c>
      <c r="J359" s="1085" t="str">
        <f>IF(ISBLANK(I359)," ",IF(ISTEXT(I359)," ",IF(I359&lt;=[2]Нормативы!$H$49,"КМС",IF(I359&lt;=[2]Нормативы!$H$50,"КМС",IF(I359&lt;=[2]Нормативы!$L$51,"КМС",IF(I359&lt;=[2]Нормативы!$L$52,"I",IF(I359&lt;=[2]Нормативы!$L$53,"II",IF(I359&lt;=[2]Нормативы!$L$54,"III",IF(I359&lt;=[2]Нормативы!$L$55,"I юн",IF(I359&lt;=[2]Нормативы!$L$56,"II юн",IF(I359&lt;=[2]Нормативы!$L$57,"III юн","б/р")))))))))))</f>
        <v>II юн</v>
      </c>
      <c r="K359" s="1008"/>
    </row>
    <row r="360" spans="1:11" x14ac:dyDescent="0.3">
      <c r="A360" s="1161">
        <v>4</v>
      </c>
      <c r="B360" s="550" t="s">
        <v>20</v>
      </c>
      <c r="C360" s="551" t="s">
        <v>1651</v>
      </c>
      <c r="D360" s="890" t="s">
        <v>1652</v>
      </c>
      <c r="E360" s="1042">
        <v>42012</v>
      </c>
      <c r="F360" s="550" t="s">
        <v>1450</v>
      </c>
      <c r="G360" s="895"/>
      <c r="H360" s="550"/>
      <c r="I360" s="1025">
        <v>106.51</v>
      </c>
      <c r="J360" s="1085" t="str">
        <f>IF(ISBLANK(I360)," ",IF(ISTEXT(I360)," ",IF(I360&lt;=[2]Нормативы!$H$49,"КМС",IF(I360&lt;=[2]Нормативы!$H$50,"КМС",IF(I360&lt;=[2]Нормативы!$L$51,"КМС",IF(I360&lt;=[2]Нормативы!$L$52,"I",IF(I360&lt;=[2]Нормативы!$L$53,"II",IF(I360&lt;=[2]Нормативы!$L$54,"III",IF(I360&lt;=[2]Нормативы!$L$55,"I юн",IF(I360&lt;=[2]Нормативы!$L$56,"II юн",IF(I360&lt;=[2]Нормативы!$L$57,"III юн","б/р")))))))))))</f>
        <v>III юн</v>
      </c>
      <c r="K360" s="1031"/>
    </row>
    <row r="361" spans="1:11" x14ac:dyDescent="0.3">
      <c r="A361" s="1161">
        <v>5</v>
      </c>
      <c r="B361" s="550" t="s">
        <v>21</v>
      </c>
      <c r="C361" s="551" t="s">
        <v>1909</v>
      </c>
      <c r="D361" s="890" t="s">
        <v>1595</v>
      </c>
      <c r="E361" s="1042">
        <v>42357</v>
      </c>
      <c r="F361" s="550" t="s">
        <v>1598</v>
      </c>
      <c r="G361" s="895"/>
      <c r="H361" s="550"/>
      <c r="I361" s="1025">
        <v>111.25</v>
      </c>
      <c r="J361" s="1085" t="str">
        <f>IF(ISBLANK(I361)," ",IF(ISTEXT(I361)," ",IF(I361&lt;=[2]Нормативы!$H$49,"КМС",IF(I361&lt;=[2]Нормативы!$H$50,"КМС",IF(I361&lt;=[2]Нормативы!$L$51,"КМС",IF(I361&lt;=[2]Нормативы!$L$52,"I",IF(I361&lt;=[2]Нормативы!$L$53,"II",IF(I361&lt;=[2]Нормативы!$L$54,"III",IF(I361&lt;=[2]Нормативы!$L$55,"I юн",IF(I361&lt;=[2]Нормативы!$L$56,"II юн",IF(I361&lt;=[2]Нормативы!$L$57,"III юн","б/р")))))))))))</f>
        <v>б/р</v>
      </c>
      <c r="K361" s="1008"/>
    </row>
    <row r="362" spans="1:11" x14ac:dyDescent="0.3">
      <c r="A362" s="1161">
        <v>6</v>
      </c>
      <c r="B362" s="550" t="s">
        <v>21</v>
      </c>
      <c r="C362" s="551" t="s">
        <v>1910</v>
      </c>
      <c r="D362" s="890" t="s">
        <v>1620</v>
      </c>
      <c r="E362" s="1042">
        <v>42179</v>
      </c>
      <c r="F362" s="550" t="s">
        <v>1598</v>
      </c>
      <c r="G362" s="895"/>
      <c r="H362" s="550"/>
      <c r="I362" s="1025">
        <v>114.63</v>
      </c>
      <c r="J362" s="1085" t="str">
        <f>IF(ISBLANK(I362)," ",IF(ISTEXT(I362)," ",IF(I362&lt;=[2]Нормативы!$H$49,"КМС",IF(I362&lt;=[2]Нормативы!$H$50,"КМС",IF(I362&lt;=[2]Нормативы!$L$51,"КМС",IF(I362&lt;=[2]Нормативы!$L$52,"I",IF(I362&lt;=[2]Нормативы!$L$53,"II",IF(I362&lt;=[2]Нормативы!$L$54,"III",IF(I362&lt;=[2]Нормативы!$L$55,"I юн",IF(I362&lt;=[2]Нормативы!$L$56,"II юн",IF(I362&lt;=[2]Нормативы!$L$57,"III юн","б/р")))))))))))</f>
        <v>б/р</v>
      </c>
      <c r="K362" s="359"/>
    </row>
    <row r="363" spans="1:11" ht="15.6" x14ac:dyDescent="0.3">
      <c r="A363" s="1162"/>
      <c r="B363" s="374"/>
      <c r="C363" s="928"/>
      <c r="D363" s="374"/>
      <c r="E363" s="374"/>
      <c r="F363" s="374"/>
      <c r="G363" s="374"/>
      <c r="H363" s="929"/>
      <c r="I363" s="983"/>
      <c r="J363" s="549"/>
      <c r="K363" s="885"/>
    </row>
    <row r="364" spans="1:11" ht="15.6" x14ac:dyDescent="0.3">
      <c r="A364" s="1086"/>
      <c r="B364" s="550"/>
      <c r="C364" s="928" t="s">
        <v>1917</v>
      </c>
      <c r="D364" s="374"/>
      <c r="E364" s="374"/>
      <c r="F364" s="374"/>
      <c r="G364" s="374"/>
      <c r="H364" s="929"/>
      <c r="I364" s="1025"/>
      <c r="J364" s="878"/>
      <c r="K364" s="885"/>
    </row>
    <row r="365" spans="1:11" x14ac:dyDescent="0.3">
      <c r="A365" s="1086"/>
      <c r="B365" s="953"/>
      <c r="C365" s="225"/>
      <c r="D365" s="361"/>
      <c r="E365" s="990"/>
      <c r="F365" s="991"/>
      <c r="G365" s="361"/>
      <c r="H365" s="952"/>
      <c r="I365" s="1073"/>
      <c r="J365" s="906"/>
      <c r="K365" s="1025"/>
    </row>
    <row r="366" spans="1:11" x14ac:dyDescent="0.3">
      <c r="A366" s="1086">
        <v>1</v>
      </c>
      <c r="B366" s="550" t="s">
        <v>21</v>
      </c>
      <c r="C366" s="550" t="s">
        <v>1918</v>
      </c>
      <c r="D366" s="551" t="s">
        <v>1789</v>
      </c>
      <c r="E366" s="1042">
        <v>42412</v>
      </c>
      <c r="F366" s="550" t="s">
        <v>1598</v>
      </c>
      <c r="G366" s="895"/>
      <c r="H366" s="550"/>
      <c r="I366" s="1025">
        <v>101.13</v>
      </c>
      <c r="J366" s="1085" t="str">
        <f>IF(ISBLANK(I366)," ",IF(ISTEXT(I366)," ",IF(I366&lt;=[2]Нормативы!$H$60,"КМС",IF(I366&lt;=[2]Нормативы!$H$61,"КМС",IF(I366&lt;=[2]Нормативы!$L$62,"КМС",IF(I366&lt;=[2]Нормативы!$L$63,"I",IF(I366&lt;=[2]Нормативы!$L$64,"II",IF(I366&lt;=[2]Нормативы!$L$65,"III",IF(I366&lt;=[2]Нормативы!$L$66,"I юн",IF(I366&lt;=[2]Нормативы!$L$67,"II юн",IF(I366&lt;=[2]Нормативы!$L$68,"III юн","б/р")))))))))))</f>
        <v>III юн</v>
      </c>
      <c r="K366" s="1025"/>
    </row>
    <row r="367" spans="1:11" x14ac:dyDescent="0.3">
      <c r="A367" s="1086">
        <v>2</v>
      </c>
      <c r="B367" s="550" t="s">
        <v>25</v>
      </c>
      <c r="C367" s="550" t="s">
        <v>1745</v>
      </c>
      <c r="D367" s="551" t="s">
        <v>1746</v>
      </c>
      <c r="E367" s="1042">
        <v>42717</v>
      </c>
      <c r="F367" s="550" t="s">
        <v>1634</v>
      </c>
      <c r="G367" s="895"/>
      <c r="H367" s="550"/>
      <c r="I367" s="1025">
        <v>120.1</v>
      </c>
      <c r="J367" s="1085" t="str">
        <f>IF(ISBLANK(I367)," ",IF(ISTEXT(I367)," ",IF(I367&lt;=[2]Нормативы!$H$60,"КМС",IF(I367&lt;=[2]Нормативы!$H$61,"КМС",IF(I367&lt;=[2]Нормативы!$L$62,"КМС",IF(I367&lt;=[2]Нормативы!$L$63,"I",IF(I367&lt;=[2]Нормативы!$L$64,"II",IF(I367&lt;=[2]Нормативы!$L$65,"III",IF(I367&lt;=[2]Нормативы!$L$66,"I юн",IF(I367&lt;=[2]Нормативы!$L$67,"II юн",IF(I367&lt;=[2]Нормативы!$L$68,"III юн","б/р")))))))))))</f>
        <v>б/р</v>
      </c>
      <c r="K367" s="1025"/>
    </row>
    <row r="368" spans="1:11" x14ac:dyDescent="0.3">
      <c r="A368" s="1086"/>
      <c r="B368" s="550"/>
      <c r="C368" s="550"/>
      <c r="D368" s="551"/>
      <c r="E368" s="1042"/>
      <c r="F368" s="550"/>
      <c r="G368" s="895"/>
      <c r="H368" s="550"/>
      <c r="I368" s="1025"/>
      <c r="J368" s="549"/>
      <c r="K368" s="1025"/>
    </row>
    <row r="369" spans="1:11" ht="15.6" x14ac:dyDescent="0.3">
      <c r="A369" s="1086"/>
      <c r="B369" s="550"/>
      <c r="C369" s="928" t="s">
        <v>1919</v>
      </c>
      <c r="D369" s="374"/>
      <c r="E369" s="374"/>
      <c r="F369" s="374"/>
      <c r="G369" s="374"/>
      <c r="H369" s="929"/>
      <c r="I369" s="1025"/>
      <c r="J369" s="878"/>
      <c r="K369" s="1025"/>
    </row>
    <row r="370" spans="1:11" x14ac:dyDescent="0.3">
      <c r="A370" s="1086"/>
      <c r="B370" s="953"/>
      <c r="C370" s="225"/>
      <c r="D370" s="361"/>
      <c r="E370" s="990"/>
      <c r="F370" s="991"/>
      <c r="G370" s="361"/>
      <c r="H370" s="952"/>
      <c r="I370" s="1073"/>
      <c r="J370" s="549"/>
      <c r="K370" s="880"/>
    </row>
    <row r="371" spans="1:11" x14ac:dyDescent="0.3">
      <c r="A371" s="1086">
        <v>1</v>
      </c>
      <c r="B371" s="550" t="s">
        <v>24</v>
      </c>
      <c r="C371" s="550" t="s">
        <v>1341</v>
      </c>
      <c r="D371" s="551" t="s">
        <v>1723</v>
      </c>
      <c r="E371" s="1042">
        <v>41737</v>
      </c>
      <c r="F371" s="550" t="s">
        <v>1598</v>
      </c>
      <c r="G371" s="895"/>
      <c r="H371" s="550"/>
      <c r="I371" s="1025">
        <v>52.53</v>
      </c>
      <c r="J371" s="1085" t="str">
        <f>IF(ISBLANK(I371)," ",IF(ISTEXT(I371)," ",IF(I371&lt;=[2]Нормативы!$H$60,"КМС",IF(I371&lt;=[2]Нормативы!$H$61,"КМС",IF(I371&lt;=[2]Нормативы!$L$62,"КМС",IF(I371&lt;=[2]Нормативы!$L$63,"I",IF(I371&lt;=[2]Нормативы!$L$64,"II",IF(I371&lt;=[2]Нормативы!$L$65,"III",IF(I371&lt;=[2]Нормативы!$L$66,"I юн",IF(I371&lt;=[2]Нормативы!$L$67,"II юн",IF(I371&lt;=[2]Нормативы!$L$68,"III юн","б/р")))))))))))</f>
        <v>I юн</v>
      </c>
      <c r="K371" s="885"/>
    </row>
    <row r="372" spans="1:11" x14ac:dyDescent="0.3">
      <c r="A372" s="1086">
        <v>2</v>
      </c>
      <c r="B372" s="550" t="s">
        <v>35</v>
      </c>
      <c r="C372" s="550" t="s">
        <v>1922</v>
      </c>
      <c r="D372" s="551" t="s">
        <v>1729</v>
      </c>
      <c r="E372" s="1042">
        <v>42206</v>
      </c>
      <c r="F372" s="550" t="s">
        <v>1634</v>
      </c>
      <c r="G372" s="895"/>
      <c r="H372" s="550"/>
      <c r="I372" s="1025">
        <v>57.57</v>
      </c>
      <c r="J372" s="1085" t="str">
        <f>IF(ISBLANK(I372)," ",IF(ISTEXT(I372)," ",IF(I372&lt;=[2]Нормативы!$H$60,"КМС",IF(I372&lt;=[2]Нормативы!$H$61,"КМС",IF(I372&lt;=[2]Нормативы!$L$62,"КМС",IF(I372&lt;=[2]Нормативы!$L$63,"I",IF(I372&lt;=[2]Нормативы!$L$64,"II",IF(I372&lt;=[2]Нормативы!$L$65,"III",IF(I372&lt;=[2]Нормативы!$L$66,"I юн",IF(I372&lt;=[2]Нормативы!$L$67,"II юн",IF(I372&lt;=[2]Нормативы!$L$68,"III юн","б/р")))))))))))</f>
        <v>II юн</v>
      </c>
      <c r="K372" s="885"/>
    </row>
    <row r="373" spans="1:11" x14ac:dyDescent="0.3">
      <c r="A373" s="1086">
        <v>3</v>
      </c>
      <c r="B373" s="550" t="s">
        <v>35</v>
      </c>
      <c r="C373" s="550" t="s">
        <v>1921</v>
      </c>
      <c r="D373" s="551" t="s">
        <v>1744</v>
      </c>
      <c r="E373" s="1042">
        <v>41920</v>
      </c>
      <c r="F373" s="550" t="s">
        <v>1450</v>
      </c>
      <c r="G373" s="895"/>
      <c r="H373" s="550"/>
      <c r="I373" s="1025">
        <v>59.85</v>
      </c>
      <c r="J373" s="1085" t="str">
        <f>IF(ISBLANK(I373)," ",IF(ISTEXT(I373)," ",IF(I373&lt;=[2]Нормативы!$H$60,"КМС",IF(I373&lt;=[2]Нормативы!$H$61,"КМС",IF(I373&lt;=[2]Нормативы!$L$62,"КМС",IF(I373&lt;=[2]Нормативы!$L$63,"I",IF(I373&lt;=[2]Нормативы!$L$64,"II",IF(I373&lt;=[2]Нормативы!$L$65,"III",IF(I373&lt;=[2]Нормативы!$L$66,"I юн",IF(I373&lt;=[2]Нормативы!$L$67,"II юн",IF(I373&lt;=[2]Нормативы!$L$68,"III юн","б/р")))))))))))</f>
        <v>III юн</v>
      </c>
      <c r="K373" s="982"/>
    </row>
    <row r="374" spans="1:11" x14ac:dyDescent="0.3">
      <c r="A374" s="1086">
        <v>4</v>
      </c>
      <c r="B374" s="550" t="s">
        <v>1796</v>
      </c>
      <c r="C374" s="550" t="s">
        <v>1797</v>
      </c>
      <c r="D374" s="551" t="s">
        <v>1798</v>
      </c>
      <c r="E374" s="1042">
        <v>41889</v>
      </c>
      <c r="F374" s="550" t="s">
        <v>1640</v>
      </c>
      <c r="G374" s="895"/>
      <c r="H374" s="550"/>
      <c r="I374" s="1025">
        <v>108.13</v>
      </c>
      <c r="J374" s="1085" t="str">
        <f>IF(ISBLANK(I374)," ",IF(ISTEXT(I374)," ",IF(I374&lt;=[2]Нормативы!$H$60,"КМС",IF(I374&lt;=[2]Нормативы!$H$61,"КМС",IF(I374&lt;=[2]Нормативы!$L$62,"КМС",IF(I374&lt;=[2]Нормативы!$L$63,"I",IF(I374&lt;=[2]Нормативы!$L$64,"II",IF(I374&lt;=[2]Нормативы!$L$65,"III",IF(I374&lt;=[2]Нормативы!$L$66,"I юн",IF(I374&lt;=[2]Нормативы!$L$67,"II юн",IF(I374&lt;=[2]Нормативы!$L$68,"III юн","б/р")))))))))))</f>
        <v>б/р</v>
      </c>
      <c r="K374" s="982"/>
    </row>
    <row r="375" spans="1:11" x14ac:dyDescent="0.3">
      <c r="A375" s="1086">
        <v>5</v>
      </c>
      <c r="B375" s="550" t="s">
        <v>21</v>
      </c>
      <c r="C375" s="550" t="s">
        <v>1783</v>
      </c>
      <c r="D375" s="551" t="s">
        <v>1733</v>
      </c>
      <c r="E375" s="1042">
        <v>42219</v>
      </c>
      <c r="F375" s="550" t="s">
        <v>1450</v>
      </c>
      <c r="G375" s="895"/>
      <c r="H375" s="550"/>
      <c r="I375" s="1025">
        <v>111.57</v>
      </c>
      <c r="J375" s="1085" t="str">
        <f>IF(ISBLANK(I375)," ",IF(ISTEXT(I375)," ",IF(I375&lt;=[2]Нормативы!$H$60,"КМС",IF(I375&lt;=[2]Нормативы!$H$61,"КМС",IF(I375&lt;=[2]Нормативы!$L$62,"КМС",IF(I375&lt;=[2]Нормативы!$L$63,"I",IF(I375&lt;=[2]Нормативы!$L$64,"II",IF(I375&lt;=[2]Нормативы!$L$65,"III",IF(I375&lt;=[2]Нормативы!$L$66,"I юн",IF(I375&lt;=[2]Нормативы!$L$67,"II юн",IF(I375&lt;=[2]Нормативы!$L$68,"III юн","б/р")))))))))))</f>
        <v>б/р</v>
      </c>
      <c r="K375" s="982"/>
    </row>
    <row r="376" spans="1:11" x14ac:dyDescent="0.3">
      <c r="A376" s="1086">
        <v>6</v>
      </c>
      <c r="B376" s="550" t="s">
        <v>21</v>
      </c>
      <c r="C376" s="550" t="s">
        <v>1920</v>
      </c>
      <c r="D376" s="551" t="s">
        <v>1737</v>
      </c>
      <c r="E376" s="1042">
        <v>42364</v>
      </c>
      <c r="F376" s="550" t="s">
        <v>1598</v>
      </c>
      <c r="G376" s="895"/>
      <c r="H376" s="550"/>
      <c r="I376" s="1025">
        <v>112.46</v>
      </c>
      <c r="J376" s="1085" t="str">
        <f>IF(ISBLANK(I376)," ",IF(ISTEXT(I376)," ",IF(I376&lt;=[2]Нормативы!$H$60,"КМС",IF(I376&lt;=[2]Нормативы!$H$61,"КМС",IF(I376&lt;=[2]Нормативы!$L$62,"КМС",IF(I376&lt;=[2]Нормативы!$L$63,"I",IF(I376&lt;=[2]Нормативы!$L$64,"II",IF(I376&lt;=[2]Нормативы!$L$65,"III",IF(I376&lt;=[2]Нормативы!$L$66,"I юн",IF(I376&lt;=[2]Нормативы!$L$67,"II юн",IF(I376&lt;=[2]Нормативы!$L$68,"III юн","б/р")))))))))))</f>
        <v>б/р</v>
      </c>
      <c r="K376" s="1033"/>
    </row>
    <row r="377" spans="1:11" x14ac:dyDescent="0.3">
      <c r="A377" s="1086">
        <v>7</v>
      </c>
      <c r="B377" s="24" t="s">
        <v>21</v>
      </c>
      <c r="C377" s="551" t="s">
        <v>1791</v>
      </c>
      <c r="D377" s="890" t="s">
        <v>1792</v>
      </c>
      <c r="E377" s="1042">
        <v>41935</v>
      </c>
      <c r="F377" s="24" t="str">
        <f>'[3]Техническая один зачет'!$E$16</f>
        <v>КСШ г. Ачинск</v>
      </c>
      <c r="G377" s="895"/>
      <c r="H377" s="550"/>
      <c r="I377" s="1025">
        <v>116.26</v>
      </c>
      <c r="J377" s="1085" t="str">
        <f>IF(ISBLANK(I377)," ",IF(ISTEXT(I377)," ",IF(I377&lt;=[2]Нормативы!$H$60,"КМС",IF(I377&lt;=[2]Нормативы!$H$61,"КМС",IF(I377&lt;=[2]Нормативы!$L$62,"КМС",IF(I377&lt;=[2]Нормативы!$L$63,"I",IF(I377&lt;=[2]Нормативы!$L$64,"II",IF(I377&lt;=[2]Нормативы!$L$65,"III",IF(I377&lt;=[2]Нормативы!$L$66,"I юн",IF(I377&lt;=[2]Нормативы!$L$67,"II юн",IF(I377&lt;=[2]Нормативы!$L$68,"III юн","б/р")))))))))))</f>
        <v>б/р</v>
      </c>
      <c r="K377" s="982"/>
    </row>
    <row r="378" spans="1:11" x14ac:dyDescent="0.3">
      <c r="A378" s="1086">
        <v>8</v>
      </c>
      <c r="B378" s="550" t="s">
        <v>21</v>
      </c>
      <c r="C378" s="550" t="s">
        <v>1776</v>
      </c>
      <c r="D378" s="551" t="s">
        <v>1768</v>
      </c>
      <c r="E378" s="1042">
        <v>41911</v>
      </c>
      <c r="F378" s="550" t="s">
        <v>1640</v>
      </c>
      <c r="G378" s="895"/>
      <c r="H378" s="550"/>
      <c r="I378" s="1025">
        <v>119.87</v>
      </c>
      <c r="J378" s="1085" t="str">
        <f>IF(ISBLANK(I378)," ",IF(ISTEXT(I378)," ",IF(I378&lt;=[2]Нормативы!$H$60,"КМС",IF(I378&lt;=[2]Нормативы!$H$61,"КМС",IF(I378&lt;=[2]Нормативы!$L$62,"КМС",IF(I378&lt;=[2]Нормативы!$L$63,"I",IF(I378&lt;=[2]Нормативы!$L$64,"II",IF(I378&lt;=[2]Нормативы!$L$65,"III",IF(I378&lt;=[2]Нормативы!$L$66,"I юн",IF(I378&lt;=[2]Нормативы!$L$67,"II юн",IF(I378&lt;=[2]Нормативы!$L$68,"III юн","б/р")))))))))))</f>
        <v>б/р</v>
      </c>
      <c r="K378" s="880"/>
    </row>
    <row r="379" spans="1:11" x14ac:dyDescent="0.3">
      <c r="A379" s="1086">
        <v>9</v>
      </c>
      <c r="B379" s="550" t="s">
        <v>25</v>
      </c>
      <c r="C379" s="550" t="s">
        <v>1793</v>
      </c>
      <c r="D379" s="551" t="s">
        <v>1794</v>
      </c>
      <c r="E379" s="1042">
        <v>41986</v>
      </c>
      <c r="F379" s="550" t="s">
        <v>1450</v>
      </c>
      <c r="G379" s="895"/>
      <c r="H379" s="550"/>
      <c r="I379" s="1025">
        <v>122.87</v>
      </c>
      <c r="J379" s="1085" t="str">
        <f>IF(ISBLANK(I379)," ",IF(ISTEXT(I379)," ",IF(I379&lt;=[2]Нормативы!$H$60,"КМС",IF(I379&lt;=[2]Нормативы!$H$61,"КМС",IF(I379&lt;=[2]Нормативы!$L$62,"КМС",IF(I379&lt;=[2]Нормативы!$L$63,"I",IF(I379&lt;=[2]Нормативы!$L$64,"II",IF(I379&lt;=[2]Нормативы!$L$65,"III",IF(I379&lt;=[2]Нормативы!$L$66,"I юн",IF(I379&lt;=[2]Нормативы!$L$67,"II юн",IF(I379&lt;=[2]Нормативы!$L$68,"III юн","б/р")))))))))))</f>
        <v>б/р</v>
      </c>
    </row>
    <row r="380" spans="1:11" x14ac:dyDescent="0.3">
      <c r="A380" s="1161"/>
      <c r="B380" s="880"/>
      <c r="C380" s="880"/>
      <c r="D380" s="880"/>
      <c r="E380" s="880"/>
      <c r="F380" s="880"/>
      <c r="G380" s="880"/>
      <c r="H380" s="880"/>
      <c r="I380" s="880"/>
      <c r="J380" s="549"/>
      <c r="K380" s="885"/>
    </row>
    <row r="381" spans="1:11" ht="15.6" x14ac:dyDescent="0.3">
      <c r="A381" s="1086"/>
      <c r="B381" s="361"/>
      <c r="C381" s="928" t="s">
        <v>1928</v>
      </c>
      <c r="D381" s="374"/>
      <c r="E381" s="374"/>
      <c r="F381" s="374"/>
      <c r="G381" s="374"/>
      <c r="H381" s="929"/>
      <c r="I381" s="1071"/>
      <c r="J381" s="549"/>
      <c r="K381" s="1008"/>
    </row>
    <row r="382" spans="1:11" x14ac:dyDescent="0.3">
      <c r="A382" s="1028"/>
      <c r="B382" s="952"/>
      <c r="C382" s="927"/>
      <c r="D382" s="880"/>
      <c r="E382" s="981"/>
      <c r="F382" s="947"/>
      <c r="G382" s="947"/>
      <c r="H382" s="982"/>
      <c r="I382" s="1070"/>
      <c r="J382" s="549"/>
      <c r="K382" s="1008"/>
    </row>
    <row r="383" spans="1:11" x14ac:dyDescent="0.3">
      <c r="A383" s="1086">
        <v>1</v>
      </c>
      <c r="B383" s="550" t="s">
        <v>24</v>
      </c>
      <c r="C383" s="551" t="s">
        <v>1660</v>
      </c>
      <c r="D383" s="890" t="s">
        <v>1595</v>
      </c>
      <c r="E383" s="1043">
        <v>41845</v>
      </c>
      <c r="F383" s="550" t="s">
        <v>1430</v>
      </c>
      <c r="G383" s="895"/>
      <c r="H383" s="550"/>
      <c r="I383" s="1075">
        <v>212.44</v>
      </c>
      <c r="J383" s="1085" t="str">
        <f>IF(ISBLANK(I383)," ",IF(ISTEXT(I383)," ",IF(I383&lt;=[2]Нормативы!$H$115,"КМС",IF(I383&lt;=[2]Нормативы!$H$116,"КМС",IF(I383&lt;=[2]Нормативы!$L$117,"КМС",IF(I383&lt;=[2]Нормативы!$L$118,"I",IF(I383&lt;=[2]Нормативы!$L$119,"II",IF(I383&lt;=[2]Нормативы!$L$120,"III",IF(I383&lt;=[2]Нормативы!$L$121,"I юн",IF(I383&lt;=[2]Нормативы!$L$122,"II юн",IF(I383&lt;=[2]Нормативы!$L$123,"III юн","б/р")))))))))))</f>
        <v>II</v>
      </c>
      <c r="K383" s="982"/>
    </row>
    <row r="384" spans="1:11" x14ac:dyDescent="0.3">
      <c r="A384" s="1086">
        <v>2</v>
      </c>
      <c r="B384" s="550" t="s">
        <v>23</v>
      </c>
      <c r="C384" s="551" t="s">
        <v>1662</v>
      </c>
      <c r="D384" s="890" t="s">
        <v>1657</v>
      </c>
      <c r="E384" s="1042">
        <v>41841</v>
      </c>
      <c r="F384" s="550" t="s">
        <v>1596</v>
      </c>
      <c r="G384" s="895"/>
      <c r="H384" s="550"/>
      <c r="I384" s="1025">
        <v>214.17</v>
      </c>
      <c r="J384" s="1085" t="str">
        <f>IF(ISBLANK(I384)," ",IF(ISTEXT(I384)," ",IF(I384&lt;=[2]Нормативы!$H$115,"КМС",IF(I384&lt;=[2]Нормативы!$H$116,"КМС",IF(I384&lt;=[2]Нормативы!$L$117,"КМС",IF(I384&lt;=[2]Нормативы!$L$118,"I",IF(I384&lt;=[2]Нормативы!$L$119,"II",IF(I384&lt;=[2]Нормативы!$L$120,"III",IF(I384&lt;=[2]Нормативы!$L$121,"I юн",IF(I384&lt;=[2]Нормативы!$L$122,"II юн",IF(I384&lt;=[2]Нормативы!$L$123,"III юн","б/р")))))))))))</f>
        <v>II</v>
      </c>
      <c r="K384" s="1008"/>
    </row>
    <row r="385" spans="1:11" x14ac:dyDescent="0.3">
      <c r="A385" s="1086">
        <v>3</v>
      </c>
      <c r="B385" s="550" t="s">
        <v>24</v>
      </c>
      <c r="C385" s="551" t="s">
        <v>1659</v>
      </c>
      <c r="D385" s="890" t="s">
        <v>1620</v>
      </c>
      <c r="E385" s="1042">
        <v>41965</v>
      </c>
      <c r="F385" s="550" t="s">
        <v>1450</v>
      </c>
      <c r="G385" s="895"/>
      <c r="H385" s="550"/>
      <c r="I385" s="1025">
        <v>215.84</v>
      </c>
      <c r="J385" s="1085" t="str">
        <f>IF(ISBLANK(I385)," ",IF(ISTEXT(I385)," ",IF(I385&lt;=[2]Нормативы!$H$115,"КМС",IF(I385&lt;=[2]Нормативы!$H$116,"КМС",IF(I385&lt;=[2]Нормативы!$L$117,"КМС",IF(I385&lt;=[2]Нормативы!$L$118,"I",IF(I385&lt;=[2]Нормативы!$L$119,"II",IF(I385&lt;=[2]Нормативы!$L$120,"III",IF(I385&lt;=[2]Нормативы!$L$121,"I юн",IF(I385&lt;=[2]Нормативы!$L$122,"II юн",IF(I385&lt;=[2]Нормативы!$L$123,"III юн","б/р")))))))))))</f>
        <v>III</v>
      </c>
      <c r="K385" s="1008"/>
    </row>
    <row r="386" spans="1:11" x14ac:dyDescent="0.3">
      <c r="A386" s="1086">
        <v>4</v>
      </c>
      <c r="B386" s="550" t="s">
        <v>24</v>
      </c>
      <c r="C386" s="551" t="s">
        <v>1435</v>
      </c>
      <c r="D386" s="890" t="s">
        <v>1657</v>
      </c>
      <c r="E386" s="1042">
        <v>41951</v>
      </c>
      <c r="F386" s="550" t="s">
        <v>1450</v>
      </c>
      <c r="G386" s="895"/>
      <c r="H386" s="550"/>
      <c r="I386" s="1025">
        <v>219.81</v>
      </c>
      <c r="J386" s="1085" t="str">
        <f>IF(ISBLANK(I386)," ",IF(ISTEXT(I386)," ",IF(I386&lt;=[2]Нормативы!$H$115,"КМС",IF(I386&lt;=[2]Нормативы!$H$116,"КМС",IF(I386&lt;=[2]Нормативы!$L$117,"КМС",IF(I386&lt;=[2]Нормативы!$L$118,"I",IF(I386&lt;=[2]Нормативы!$L$119,"II",IF(I386&lt;=[2]Нормативы!$L$120,"III",IF(I386&lt;=[2]Нормативы!$L$121,"I юн",IF(I386&lt;=[2]Нормативы!$L$122,"II юн",IF(I386&lt;=[2]Нормативы!$L$123,"III юн","б/р")))))))))))</f>
        <v>III</v>
      </c>
      <c r="K386" s="1008"/>
    </row>
    <row r="387" spans="1:11" x14ac:dyDescent="0.3">
      <c r="A387" s="1086">
        <v>5</v>
      </c>
      <c r="B387" s="550" t="s">
        <v>24</v>
      </c>
      <c r="C387" s="551" t="s">
        <v>1911</v>
      </c>
      <c r="D387" s="890" t="s">
        <v>1603</v>
      </c>
      <c r="E387" s="1042">
        <v>41733</v>
      </c>
      <c r="F387" s="550" t="s">
        <v>1634</v>
      </c>
      <c r="G387" s="895"/>
      <c r="H387" s="550"/>
      <c r="I387" s="1025">
        <v>224.68</v>
      </c>
      <c r="J387" s="1085" t="str">
        <f>IF(ISBLANK(I387)," ",IF(ISTEXT(I387)," ",IF(I387&lt;=[2]Нормативы!$H$115,"КМС",IF(I387&lt;=[2]Нормативы!$H$116,"КМС",IF(I387&lt;=[2]Нормативы!$L$117,"КМС",IF(I387&lt;=[2]Нормативы!$L$118,"I",IF(I387&lt;=[2]Нормативы!$L$119,"II",IF(I387&lt;=[2]Нормативы!$L$120,"III",IF(I387&lt;=[2]Нормативы!$L$121,"I юн",IF(I387&lt;=[2]Нормативы!$L$122,"II юн",IF(I387&lt;=[2]Нормативы!$L$123,"III юн","б/р")))))))))))</f>
        <v>III</v>
      </c>
      <c r="K387" s="1008"/>
    </row>
    <row r="388" spans="1:11" x14ac:dyDescent="0.3">
      <c r="A388" s="1086">
        <v>6</v>
      </c>
      <c r="B388" s="550" t="s">
        <v>24</v>
      </c>
      <c r="C388" s="551" t="s">
        <v>1661</v>
      </c>
      <c r="D388" s="890" t="s">
        <v>1620</v>
      </c>
      <c r="E388" s="1042">
        <v>41969</v>
      </c>
      <c r="F388" s="550" t="s">
        <v>1381</v>
      </c>
      <c r="G388" s="895"/>
      <c r="H388" s="550"/>
      <c r="I388" s="1025">
        <v>224.96</v>
      </c>
      <c r="J388" s="1085" t="str">
        <f>IF(ISBLANK(I388)," ",IF(ISTEXT(I388)," ",IF(I388&lt;=[2]Нормативы!$H$115,"КМС",IF(I388&lt;=[2]Нормативы!$H$116,"КМС",IF(I388&lt;=[2]Нормативы!$L$117,"КМС",IF(I388&lt;=[2]Нормативы!$L$118,"I",IF(I388&lt;=[2]Нормативы!$L$119,"II",IF(I388&lt;=[2]Нормативы!$L$120,"III",IF(I388&lt;=[2]Нормативы!$L$121,"I юн",IF(I388&lt;=[2]Нормативы!$L$122,"II юн",IF(I388&lt;=[2]Нормативы!$L$123,"III юн","б/р")))))))))))</f>
        <v>III</v>
      </c>
      <c r="K388" s="982"/>
    </row>
    <row r="389" spans="1:11" x14ac:dyDescent="0.3">
      <c r="A389" s="1086">
        <v>7</v>
      </c>
      <c r="B389" s="550" t="s">
        <v>35</v>
      </c>
      <c r="C389" s="551" t="s">
        <v>1653</v>
      </c>
      <c r="D389" s="890" t="s">
        <v>1618</v>
      </c>
      <c r="E389" s="1042">
        <v>41889</v>
      </c>
      <c r="F389" s="550" t="s">
        <v>1654</v>
      </c>
      <c r="G389" s="895"/>
      <c r="H389" s="550"/>
      <c r="I389" s="1025">
        <v>233.13</v>
      </c>
      <c r="J389" s="1085" t="str">
        <f>IF(ISBLANK(I389)," ",IF(ISTEXT(I389)," ",IF(I389&lt;=[2]Нормативы!$H$115,"КМС",IF(I389&lt;=[2]Нормативы!$H$116,"КМС",IF(I389&lt;=[2]Нормативы!$L$117,"КМС",IF(I389&lt;=[2]Нормативы!$L$118,"I",IF(I389&lt;=[2]Нормативы!$L$119,"II",IF(I389&lt;=[2]Нормативы!$L$120,"III",IF(I389&lt;=[2]Нормативы!$L$121,"I юн",IF(I389&lt;=[2]Нормативы!$L$122,"II юн",IF(I389&lt;=[2]Нормативы!$L$123,"III юн","б/р")))))))))))</f>
        <v>I юн</v>
      </c>
      <c r="K389" s="1024"/>
    </row>
    <row r="390" spans="1:11" x14ac:dyDescent="0.3">
      <c r="A390" s="1086">
        <v>8</v>
      </c>
      <c r="B390" s="550" t="s">
        <v>35</v>
      </c>
      <c r="C390" s="551" t="s">
        <v>1650</v>
      </c>
      <c r="D390" s="890" t="s">
        <v>1630</v>
      </c>
      <c r="E390" s="1042">
        <v>41679</v>
      </c>
      <c r="F390" s="550" t="s">
        <v>1596</v>
      </c>
      <c r="G390" s="895"/>
      <c r="H390" s="550"/>
      <c r="I390" s="1025">
        <v>233.87</v>
      </c>
      <c r="J390" s="1085" t="str">
        <f>IF(ISBLANK(I390)," ",IF(ISTEXT(I390)," ",IF(I390&lt;=[2]Нормативы!$H$115,"КМС",IF(I390&lt;=[2]Нормативы!$H$116,"КМС",IF(I390&lt;=[2]Нормативы!$L$117,"КМС",IF(I390&lt;=[2]Нормативы!$L$118,"I",IF(I390&lt;=[2]Нормативы!$L$119,"II",IF(I390&lt;=[2]Нормативы!$L$120,"III",IF(I390&lt;=[2]Нормативы!$L$121,"I юн",IF(I390&lt;=[2]Нормативы!$L$122,"II юн",IF(I390&lt;=[2]Нормативы!$L$123,"III юн","б/р")))))))))))</f>
        <v>I юн</v>
      </c>
      <c r="K390" s="982"/>
    </row>
    <row r="391" spans="1:11" x14ac:dyDescent="0.3">
      <c r="A391" s="1086">
        <v>9</v>
      </c>
      <c r="B391" s="550" t="s">
        <v>35</v>
      </c>
      <c r="C391" s="551" t="s">
        <v>1646</v>
      </c>
      <c r="D391" s="890" t="s">
        <v>1613</v>
      </c>
      <c r="E391" s="1042">
        <v>41925</v>
      </c>
      <c r="F391" s="550" t="s">
        <v>1596</v>
      </c>
      <c r="G391" s="895"/>
      <c r="H391" s="550"/>
      <c r="I391" s="1025">
        <v>238.59</v>
      </c>
      <c r="J391" s="1085" t="str">
        <f>IF(ISBLANK(I391)," ",IF(ISTEXT(I391)," ",IF(I391&lt;=[2]Нормативы!$H$115,"КМС",IF(I391&lt;=[2]Нормативы!$H$116,"КМС",IF(I391&lt;=[2]Нормативы!$L$117,"КМС",IF(I391&lt;=[2]Нормативы!$L$118,"I",IF(I391&lt;=[2]Нормативы!$L$119,"II",IF(I391&lt;=[2]Нормативы!$L$120,"III",IF(I391&lt;=[2]Нормативы!$L$121,"I юн",IF(I391&lt;=[2]Нормативы!$L$122,"II юн",IF(I391&lt;=[2]Нормативы!$L$123,"III юн","б/р")))))))))))</f>
        <v>I юн</v>
      </c>
      <c r="K391" s="982"/>
    </row>
    <row r="392" spans="1:11" x14ac:dyDescent="0.3">
      <c r="A392" s="1086">
        <v>10</v>
      </c>
      <c r="B392" s="24" t="s">
        <v>35</v>
      </c>
      <c r="C392" s="551" t="s">
        <v>1647</v>
      </c>
      <c r="D392" s="890" t="s">
        <v>1595</v>
      </c>
      <c r="E392" s="1043">
        <v>41815</v>
      </c>
      <c r="F392" s="550" t="s">
        <v>1430</v>
      </c>
      <c r="G392" s="895"/>
      <c r="H392" s="550"/>
      <c r="I392" s="1075">
        <v>240.49</v>
      </c>
      <c r="J392" s="1085" t="str">
        <f>IF(ISBLANK(I392)," ",IF(ISTEXT(I392)," ",IF(I392&lt;=[2]Нормативы!$H$115,"КМС",IF(I392&lt;=[2]Нормативы!$H$116,"КМС",IF(I392&lt;=[2]Нормативы!$L$117,"КМС",IF(I392&lt;=[2]Нормативы!$L$118,"I",IF(I392&lt;=[2]Нормативы!$L$119,"II",IF(I392&lt;=[2]Нормативы!$L$120,"III",IF(I392&lt;=[2]Нормативы!$L$121,"I юн",IF(I392&lt;=[2]Нормативы!$L$122,"II юн",IF(I392&lt;=[2]Нормативы!$L$123,"III юн","б/р")))))))))))</f>
        <v>I юн</v>
      </c>
      <c r="K392" s="982"/>
    </row>
    <row r="393" spans="1:11" x14ac:dyDescent="0.3">
      <c r="A393" s="1086">
        <v>11</v>
      </c>
      <c r="B393" s="550" t="s">
        <v>20</v>
      </c>
      <c r="C393" s="551" t="s">
        <v>1643</v>
      </c>
      <c r="D393" s="890" t="s">
        <v>1644</v>
      </c>
      <c r="E393" s="1042">
        <v>41824</v>
      </c>
      <c r="F393" s="550" t="s">
        <v>1634</v>
      </c>
      <c r="G393" s="895"/>
      <c r="H393" s="550"/>
      <c r="I393" s="1025">
        <v>242.85</v>
      </c>
      <c r="J393" s="1085" t="str">
        <f>IF(ISBLANK(I393)," ",IF(ISTEXT(I393)," ",IF(I393&lt;=[2]Нормативы!$H$115,"КМС",IF(I393&lt;=[2]Нормативы!$H$116,"КМС",IF(I393&lt;=[2]Нормативы!$L$117,"КМС",IF(I393&lt;=[2]Нормативы!$L$118,"I",IF(I393&lt;=[2]Нормативы!$L$119,"II",IF(I393&lt;=[2]Нормативы!$L$120,"III",IF(I393&lt;=[2]Нормативы!$L$121,"I юн",IF(I393&lt;=[2]Нормативы!$L$122,"II юн",IF(I393&lt;=[2]Нормативы!$L$123,"III юн","б/р")))))))))))</f>
        <v>II юн</v>
      </c>
      <c r="K393" s="1020"/>
    </row>
    <row r="394" spans="1:11" x14ac:dyDescent="0.3">
      <c r="A394" s="1086">
        <v>12</v>
      </c>
      <c r="B394" s="550" t="s">
        <v>35</v>
      </c>
      <c r="C394" s="551" t="s">
        <v>1645</v>
      </c>
      <c r="D394" s="890" t="s">
        <v>1612</v>
      </c>
      <c r="E394" s="1042">
        <v>42175</v>
      </c>
      <c r="F394" s="550" t="s">
        <v>1596</v>
      </c>
      <c r="G394" s="895"/>
      <c r="H394" s="550"/>
      <c r="I394" s="1025">
        <v>247.81</v>
      </c>
      <c r="J394" s="1085" t="str">
        <f>IF(ISBLANK(I394)," ",IF(ISTEXT(I394)," ",IF(I394&lt;=[2]Нормативы!$H$115,"КМС",IF(I394&lt;=[2]Нормативы!$H$116,"КМС",IF(I394&lt;=[2]Нормативы!$L$117,"КМС",IF(I394&lt;=[2]Нормативы!$L$118,"I",IF(I394&lt;=[2]Нормативы!$L$119,"II",IF(I394&lt;=[2]Нормативы!$L$120,"III",IF(I394&lt;=[2]Нормативы!$L$121,"I юн",IF(I394&lt;=[2]Нормативы!$L$122,"II юн",IF(I394&lt;=[2]Нормативы!$L$123,"III юн","б/р")))))))))))</f>
        <v>II юн</v>
      </c>
      <c r="K394" s="1025"/>
    </row>
    <row r="395" spans="1:11" x14ac:dyDescent="0.3">
      <c r="A395" s="1086">
        <v>13</v>
      </c>
      <c r="B395" s="550" t="s">
        <v>20</v>
      </c>
      <c r="C395" s="551" t="s">
        <v>1641</v>
      </c>
      <c r="D395" s="890" t="s">
        <v>1642</v>
      </c>
      <c r="E395" s="1042">
        <v>42224</v>
      </c>
      <c r="F395" s="550" t="s">
        <v>1596</v>
      </c>
      <c r="G395" s="895"/>
      <c r="H395" s="550"/>
      <c r="I395" s="1025">
        <v>257.52999999999997</v>
      </c>
      <c r="J395" s="1085" t="str">
        <f>IF(ISBLANK(I395)," ",IF(ISTEXT(I395)," ",IF(I395&lt;=[2]Нормативы!$H$115,"КМС",IF(I395&lt;=[2]Нормативы!$H$116,"КМС",IF(I395&lt;=[2]Нормативы!$L$117,"КМС",IF(I395&lt;=[2]Нормативы!$L$118,"I",IF(I395&lt;=[2]Нормативы!$L$119,"II",IF(I395&lt;=[2]Нормативы!$L$120,"III",IF(I395&lt;=[2]Нормативы!$L$121,"I юн",IF(I395&lt;=[2]Нормативы!$L$122,"II юн",IF(I395&lt;=[2]Нормативы!$L$123,"III юн","б/р")))))))))))</f>
        <v>III юн</v>
      </c>
      <c r="K395" s="880"/>
    </row>
    <row r="396" spans="1:11" x14ac:dyDescent="0.3">
      <c r="A396" s="1086">
        <v>14</v>
      </c>
      <c r="B396" s="550" t="s">
        <v>25</v>
      </c>
      <c r="C396" s="551" t="s">
        <v>1633</v>
      </c>
      <c r="D396" s="890" t="s">
        <v>1603</v>
      </c>
      <c r="E396" s="1042">
        <v>42078</v>
      </c>
      <c r="F396" s="550" t="s">
        <v>1634</v>
      </c>
      <c r="G396" s="895"/>
      <c r="H396" s="550"/>
      <c r="I396" s="1025">
        <v>306.33</v>
      </c>
      <c r="J396" s="1085" t="str">
        <f>IF(ISBLANK(I396)," ",IF(ISTEXT(I396)," ",IF(I396&lt;=[2]Нормативы!$H$115,"КМС",IF(I396&lt;=[2]Нормативы!$H$116,"КМС",IF(I396&lt;=[2]Нормативы!$L$117,"КМС",IF(I396&lt;=[2]Нормативы!$L$118,"I",IF(I396&lt;=[2]Нормативы!$L$119,"II",IF(I396&lt;=[2]Нормативы!$L$120,"III",IF(I396&lt;=[2]Нормативы!$L$121,"I юн",IF(I396&lt;=[2]Нормативы!$L$122,"II юн",IF(I396&lt;=[2]Нормативы!$L$123,"III юн","б/р")))))))))))</f>
        <v>III юн</v>
      </c>
      <c r="K396" s="880"/>
    </row>
    <row r="397" spans="1:11" x14ac:dyDescent="0.3">
      <c r="A397" s="1086"/>
      <c r="B397" s="952"/>
      <c r="C397" s="981"/>
      <c r="D397" s="1008"/>
      <c r="E397" s="981"/>
      <c r="F397" s="981"/>
      <c r="G397" s="981"/>
      <c r="H397" s="1005"/>
      <c r="I397" s="982"/>
      <c r="J397" s="24"/>
      <c r="K397" s="1008"/>
    </row>
    <row r="398" spans="1:11" ht="15.6" x14ac:dyDescent="0.3">
      <c r="A398" s="1086"/>
      <c r="B398" s="374"/>
      <c r="C398" s="928" t="s">
        <v>1936</v>
      </c>
      <c r="D398" s="374"/>
      <c r="E398" s="374"/>
      <c r="F398" s="374"/>
      <c r="G398" s="374"/>
      <c r="H398" s="929"/>
      <c r="I398" s="1071"/>
      <c r="J398" s="906"/>
      <c r="K398" s="1008"/>
    </row>
    <row r="399" spans="1:11" x14ac:dyDescent="0.3">
      <c r="A399" s="1028"/>
      <c r="B399" s="953"/>
      <c r="C399" s="927"/>
      <c r="D399" s="880"/>
      <c r="E399" s="981"/>
      <c r="F399" s="947"/>
      <c r="G399" s="947"/>
      <c r="H399" s="982"/>
      <c r="I399" s="1074"/>
      <c r="J399" s="885"/>
      <c r="K399" s="1008"/>
    </row>
    <row r="400" spans="1:11" x14ac:dyDescent="0.3">
      <c r="A400" s="1086">
        <v>1</v>
      </c>
      <c r="B400" s="550" t="s">
        <v>35</v>
      </c>
      <c r="C400" s="550" t="s">
        <v>1801</v>
      </c>
      <c r="D400" s="551" t="s">
        <v>1764</v>
      </c>
      <c r="E400" s="1042">
        <v>41797</v>
      </c>
      <c r="F400" s="550" t="s">
        <v>1596</v>
      </c>
      <c r="G400" s="895"/>
      <c r="H400" s="550"/>
      <c r="I400" s="1025">
        <v>215.57</v>
      </c>
      <c r="J400" s="1085" t="str">
        <f>IF(ISBLANK(I400)," ",IF(ISTEXT(I400)," ",IF(I400&lt;=[2]Нормативы!$H$126,"КМС",IF(I400&lt;=[2]Нормативы!$H$127,"КМС",IF(I400&lt;=[2]Нормативы!$L$128,"КМС",IF(I400&lt;=[2]Нормативы!$L$129,"I",IF(I400&lt;=[2]Нормативы!$L$130,"II",IF(I400&lt;=[2]Нормативы!$L$131,"III",IF(I400&lt;=[2]Нормативы!$L$132,"I юн",IF(I400&lt;=[2]Нормативы!$L$133,"II юн",IF(I400&lt;=[2]Нормативы!$L$134,"III юн","б/р")))))))))))</f>
        <v>I юн</v>
      </c>
      <c r="K400" s="1025"/>
    </row>
    <row r="401" spans="1:11" x14ac:dyDescent="0.3">
      <c r="A401" s="1086">
        <v>2</v>
      </c>
      <c r="B401" s="550" t="s">
        <v>35</v>
      </c>
      <c r="C401" s="550" t="s">
        <v>1800</v>
      </c>
      <c r="D401" s="551" t="s">
        <v>1792</v>
      </c>
      <c r="E401" s="1042">
        <v>41692</v>
      </c>
      <c r="F401" s="550" t="s">
        <v>1430</v>
      </c>
      <c r="G401" s="895"/>
      <c r="H401" s="550"/>
      <c r="I401" s="1025">
        <v>216.11</v>
      </c>
      <c r="J401" s="1085" t="str">
        <f>IF(ISBLANK(I401)," ",IF(ISTEXT(I401)," ",IF(I401&lt;=[2]Нормативы!$H$126,"КМС",IF(I401&lt;=[2]Нормативы!$H$127,"КМС",IF(I401&lt;=[2]Нормативы!$L$128,"КМС",IF(I401&lt;=[2]Нормативы!$L$129,"I",IF(I401&lt;=[2]Нормативы!$L$130,"II",IF(I401&lt;=[2]Нормативы!$L$131,"III",IF(I401&lt;=[2]Нормативы!$L$132,"I юн",IF(I401&lt;=[2]Нормативы!$L$133,"II юн",IF(I401&lt;=[2]Нормативы!$L$134,"III юн","б/р")))))))))))</f>
        <v>I юн</v>
      </c>
      <c r="K401" s="1025"/>
    </row>
    <row r="402" spans="1:11" x14ac:dyDescent="0.3">
      <c r="A402" s="1086">
        <v>3</v>
      </c>
      <c r="B402" s="550" t="s">
        <v>35</v>
      </c>
      <c r="C402" s="550" t="s">
        <v>1921</v>
      </c>
      <c r="D402" s="551" t="s">
        <v>1744</v>
      </c>
      <c r="E402" s="1042">
        <v>41920</v>
      </c>
      <c r="F402" s="550" t="s">
        <v>1450</v>
      </c>
      <c r="G402" s="895"/>
      <c r="H402" s="550"/>
      <c r="I402" s="1025">
        <v>217.63</v>
      </c>
      <c r="J402" s="1085" t="str">
        <f>IF(ISBLANK(I402)," ",IF(ISTEXT(I402)," ",IF(I402&lt;=[2]Нормативы!$H$126,"КМС",IF(I402&lt;=[2]Нормативы!$H$127,"КМС",IF(I402&lt;=[2]Нормативы!$L$128,"КМС",IF(I402&lt;=[2]Нормативы!$L$129,"I",IF(I402&lt;=[2]Нормативы!$L$130,"II",IF(I402&lt;=[2]Нормативы!$L$131,"III",IF(I402&lt;=[2]Нормативы!$L$132,"I юн",IF(I402&lt;=[2]Нормативы!$L$133,"II юн",IF(I402&lt;=[2]Нормативы!$L$134,"III юн","б/р")))))))))))</f>
        <v>I юн</v>
      </c>
      <c r="K402" s="1008"/>
    </row>
    <row r="403" spans="1:11" x14ac:dyDescent="0.3">
      <c r="A403" s="1086">
        <v>4</v>
      </c>
      <c r="B403" s="550" t="s">
        <v>35</v>
      </c>
      <c r="C403" s="550" t="s">
        <v>1799</v>
      </c>
      <c r="D403" s="551" t="s">
        <v>1768</v>
      </c>
      <c r="E403" s="1042">
        <v>41713</v>
      </c>
      <c r="F403" s="550" t="s">
        <v>1640</v>
      </c>
      <c r="G403" s="895"/>
      <c r="H403" s="550"/>
      <c r="I403" s="1025">
        <v>220.13</v>
      </c>
      <c r="J403" s="1085" t="str">
        <f>IF(ISBLANK(I403)," ",IF(ISTEXT(I403)," ",IF(I403&lt;=[2]Нормативы!$H$126,"КМС",IF(I403&lt;=[2]Нормативы!$H$127,"КМС",IF(I403&lt;=[2]Нормативы!$L$128,"КМС",IF(I403&lt;=[2]Нормативы!$L$129,"I",IF(I403&lt;=[2]Нормативы!$L$130,"II",IF(I403&lt;=[2]Нормативы!$L$131,"III",IF(I403&lt;=[2]Нормативы!$L$132,"I юн",IF(I403&lt;=[2]Нормативы!$L$133,"II юн",IF(I403&lt;=[2]Нормативы!$L$134,"III юн","б/р")))))))))))</f>
        <v>I юн</v>
      </c>
      <c r="K403" s="1008"/>
    </row>
    <row r="404" spans="1:11" x14ac:dyDescent="0.3">
      <c r="A404" s="1086">
        <v>5</v>
      </c>
      <c r="B404" s="550" t="s">
        <v>35</v>
      </c>
      <c r="C404" s="550" t="s">
        <v>1938</v>
      </c>
      <c r="D404" s="551" t="s">
        <v>1737</v>
      </c>
      <c r="E404" s="1042">
        <v>42060</v>
      </c>
      <c r="F404" s="550" t="s">
        <v>1634</v>
      </c>
      <c r="G404" s="895"/>
      <c r="H404" s="550"/>
      <c r="I404" s="1025">
        <v>228.78</v>
      </c>
      <c r="J404" s="1085" t="str">
        <f>IF(ISBLANK(I404)," ",IF(ISTEXT(I404)," ",IF(I404&lt;=[2]Нормативы!$H$126,"КМС",IF(I404&lt;=[2]Нормативы!$H$127,"КМС",IF(I404&lt;=[2]Нормативы!$L$128,"КМС",IF(I404&lt;=[2]Нормативы!$L$129,"I",IF(I404&lt;=[2]Нормативы!$L$130,"II",IF(I404&lt;=[2]Нормативы!$L$131,"III",IF(I404&lt;=[2]Нормативы!$L$132,"I юн",IF(I404&lt;=[2]Нормативы!$L$133,"II юн",IF(I404&lt;=[2]Нормативы!$L$134,"III юн","б/р")))))))))))</f>
        <v>II юн</v>
      </c>
      <c r="K404" s="1024"/>
    </row>
    <row r="405" spans="1:11" x14ac:dyDescent="0.3">
      <c r="A405" s="1086">
        <v>6</v>
      </c>
      <c r="B405" s="550" t="s">
        <v>20</v>
      </c>
      <c r="C405" s="550" t="s">
        <v>1795</v>
      </c>
      <c r="D405" s="551" t="s">
        <v>1737</v>
      </c>
      <c r="E405" s="1042">
        <v>41686</v>
      </c>
      <c r="F405" s="550" t="s">
        <v>1430</v>
      </c>
      <c r="G405" s="895"/>
      <c r="H405" s="550"/>
      <c r="I405" s="1025">
        <v>229.11</v>
      </c>
      <c r="J405" s="1085" t="str">
        <f>IF(ISBLANK(I405)," ",IF(ISTEXT(I405)," ",IF(I405&lt;=[2]Нормативы!$H$126,"КМС",IF(I405&lt;=[2]Нормативы!$H$127,"КМС",IF(I405&lt;=[2]Нормативы!$L$128,"КМС",IF(I405&lt;=[2]Нормативы!$L$129,"I",IF(I405&lt;=[2]Нормативы!$L$130,"II",IF(I405&lt;=[2]Нормативы!$L$131,"III",IF(I405&lt;=[2]Нормативы!$L$132,"I юн",IF(I405&lt;=[2]Нормативы!$L$133,"II юн",IF(I405&lt;=[2]Нормативы!$L$134,"III юн","б/р")))))))))))</f>
        <v>II юн</v>
      </c>
      <c r="K405" s="1025"/>
    </row>
    <row r="406" spans="1:11" x14ac:dyDescent="0.3">
      <c r="A406" s="1086">
        <v>7</v>
      </c>
      <c r="B406" s="550" t="s">
        <v>20</v>
      </c>
      <c r="C406" s="550" t="s">
        <v>1937</v>
      </c>
      <c r="D406" s="551" t="s">
        <v>1862</v>
      </c>
      <c r="E406" s="1042">
        <v>42068</v>
      </c>
      <c r="F406" s="550" t="s">
        <v>1634</v>
      </c>
      <c r="G406" s="895"/>
      <c r="H406" s="550"/>
      <c r="I406" s="1025">
        <v>242.13</v>
      </c>
      <c r="J406" s="1085" t="str">
        <f>IF(ISBLANK(I406)," ",IF(ISTEXT(I406)," ",IF(I406&lt;=[2]Нормативы!$H$126,"КМС",IF(I406&lt;=[2]Нормативы!$H$127,"КМС",IF(I406&lt;=[2]Нормативы!$L$128,"КМС",IF(I406&lt;=[2]Нормативы!$L$129,"I",IF(I406&lt;=[2]Нормативы!$L$130,"II",IF(I406&lt;=[2]Нормативы!$L$131,"III",IF(I406&lt;=[2]Нормативы!$L$132,"I юн",IF(I406&lt;=[2]Нормативы!$L$133,"II юн",IF(I406&lt;=[2]Нормативы!$L$134,"III юн","б/р")))))))))))</f>
        <v>III юн</v>
      </c>
      <c r="K406" s="1008"/>
    </row>
    <row r="407" spans="1:11" x14ac:dyDescent="0.3">
      <c r="A407" s="1086">
        <v>8</v>
      </c>
      <c r="B407" s="550" t="s">
        <v>20</v>
      </c>
      <c r="C407" s="550" t="s">
        <v>1930</v>
      </c>
      <c r="D407" s="551" t="s">
        <v>1768</v>
      </c>
      <c r="E407" s="1042">
        <v>41918</v>
      </c>
      <c r="F407" s="550" t="s">
        <v>1250</v>
      </c>
      <c r="G407" s="947"/>
      <c r="H407" s="982"/>
      <c r="I407" s="1074">
        <v>243.22</v>
      </c>
      <c r="J407" s="1085" t="str">
        <f>IF(ISBLANK(I407)," ",IF(ISTEXT(I407)," ",IF(I407&lt;=[2]Нормативы!$H$126,"КМС",IF(I407&lt;=[2]Нормативы!$H$127,"КМС",IF(I407&lt;=[2]Нормативы!$L$128,"КМС",IF(I407&lt;=[2]Нормативы!$L$129,"I",IF(I407&lt;=[2]Нормативы!$L$130,"II",IF(I407&lt;=[2]Нормативы!$L$131,"III",IF(I407&lt;=[2]Нормативы!$L$132,"I юн",IF(I407&lt;=[2]Нормативы!$L$133,"II юн",IF(I407&lt;=[2]Нормативы!$L$134,"III юн","б/р")))))))))))</f>
        <v>III юн</v>
      </c>
      <c r="K407" s="1024"/>
    </row>
    <row r="408" spans="1:11" x14ac:dyDescent="0.3">
      <c r="A408" s="1086">
        <v>9</v>
      </c>
      <c r="B408" s="550" t="s">
        <v>21</v>
      </c>
      <c r="C408" s="550" t="s">
        <v>1786</v>
      </c>
      <c r="D408" s="551" t="s">
        <v>1787</v>
      </c>
      <c r="E408" s="1042">
        <v>41912</v>
      </c>
      <c r="F408" s="550" t="s">
        <v>1452</v>
      </c>
      <c r="G408" s="895"/>
      <c r="H408" s="550"/>
      <c r="I408" s="1025">
        <v>248.43</v>
      </c>
      <c r="J408" s="1085" t="str">
        <f>IF(ISBLANK(I408)," ",IF(ISTEXT(I408)," ",IF(I408&lt;=[2]Нормативы!$H$126,"КМС",IF(I408&lt;=[2]Нормативы!$H$127,"КМС",IF(I408&lt;=[2]Нормативы!$L$128,"КМС",IF(I408&lt;=[2]Нормативы!$L$129,"I",IF(I408&lt;=[2]Нормативы!$L$130,"II",IF(I408&lt;=[2]Нормативы!$L$131,"III",IF(I408&lt;=[2]Нормативы!$L$132,"I юн",IF(I408&lt;=[2]Нормативы!$L$133,"II юн",IF(I408&lt;=[2]Нормативы!$L$134,"III юн","б/р")))))))))))</f>
        <v>III юн</v>
      </c>
      <c r="K408" s="1008"/>
    </row>
    <row r="409" spans="1:11" x14ac:dyDescent="0.3">
      <c r="A409" s="1086">
        <v>10</v>
      </c>
      <c r="B409" s="550" t="s">
        <v>25</v>
      </c>
      <c r="C409" s="550" t="s">
        <v>1793</v>
      </c>
      <c r="D409" s="551" t="s">
        <v>1794</v>
      </c>
      <c r="E409" s="1042">
        <v>41986</v>
      </c>
      <c r="F409" s="550" t="s">
        <v>1450</v>
      </c>
      <c r="G409" s="895"/>
      <c r="H409" s="550"/>
      <c r="I409" s="1025">
        <v>249.45</v>
      </c>
      <c r="J409" s="1085" t="str">
        <f>IF(ISBLANK(I409)," ",IF(ISTEXT(I409)," ",IF(I409&lt;=[2]Нормативы!$H$126,"КМС",IF(I409&lt;=[2]Нормативы!$H$127,"КМС",IF(I409&lt;=[2]Нормативы!$L$128,"КМС",IF(I409&lt;=[2]Нормативы!$L$129,"I",IF(I409&lt;=[2]Нормативы!$L$130,"II",IF(I409&lt;=[2]Нормативы!$L$131,"III",IF(I409&lt;=[2]Нормативы!$L$132,"I юн",IF(I409&lt;=[2]Нормативы!$L$133,"II юн",IF(I409&lt;=[2]Нормативы!$L$134,"III юн","б/р")))))))))))</f>
        <v>III юн</v>
      </c>
      <c r="K409" s="880"/>
    </row>
    <row r="410" spans="1:11" x14ac:dyDescent="0.3">
      <c r="A410" s="1086">
        <v>11</v>
      </c>
      <c r="B410" s="550" t="s">
        <v>21</v>
      </c>
      <c r="C410" s="550" t="s">
        <v>1783</v>
      </c>
      <c r="D410" s="551" t="s">
        <v>1733</v>
      </c>
      <c r="E410" s="1042">
        <v>42219</v>
      </c>
      <c r="F410" s="550" t="s">
        <v>1450</v>
      </c>
      <c r="G410" s="895"/>
      <c r="H410" s="550"/>
      <c r="I410" s="1025">
        <v>250.63</v>
      </c>
      <c r="J410" s="1085" t="str">
        <f>IF(ISBLANK(I410)," ",IF(ISTEXT(I410)," ",IF(I410&lt;=[2]Нормативы!$H$126,"КМС",IF(I410&lt;=[2]Нормативы!$H$127,"КМС",IF(I410&lt;=[2]Нормативы!$L$128,"КМС",IF(I410&lt;=[2]Нормативы!$L$129,"I",IF(I410&lt;=[2]Нормативы!$L$130,"II",IF(I410&lt;=[2]Нормативы!$L$131,"III",IF(I410&lt;=[2]Нормативы!$L$132,"I юн",IF(I410&lt;=[2]Нормативы!$L$133,"II юн",IF(I410&lt;=[2]Нормативы!$L$134,"III юн","б/р")))))))))))</f>
        <v>б/р</v>
      </c>
      <c r="K410" s="1025"/>
    </row>
    <row r="411" spans="1:11" x14ac:dyDescent="0.3">
      <c r="A411" s="1086">
        <v>12</v>
      </c>
      <c r="B411" s="550" t="s">
        <v>21</v>
      </c>
      <c r="C411" s="550" t="s">
        <v>1777</v>
      </c>
      <c r="D411" s="551" t="s">
        <v>1778</v>
      </c>
      <c r="E411" s="1042">
        <v>41784</v>
      </c>
      <c r="F411" s="550" t="s">
        <v>1452</v>
      </c>
      <c r="G411" s="895"/>
      <c r="H411" s="550"/>
      <c r="I411" s="1025">
        <v>251.65</v>
      </c>
      <c r="J411" s="1085" t="str">
        <f>IF(ISBLANK(I411)," ",IF(ISTEXT(I411)," ",IF(I411&lt;=[2]Нормативы!$H$126,"КМС",IF(I411&lt;=[2]Нормативы!$H$127,"КМС",IF(I411&lt;=[2]Нормативы!$L$128,"КМС",IF(I411&lt;=[2]Нормативы!$L$129,"I",IF(I411&lt;=[2]Нормативы!$L$130,"II",IF(I411&lt;=[2]Нормативы!$L$131,"III",IF(I411&lt;=[2]Нормативы!$L$132,"I юн",IF(I411&lt;=[2]Нормативы!$L$133,"II юн",IF(I411&lt;=[2]Нормативы!$L$134,"III юн","б/р")))))))))))</f>
        <v>б/р</v>
      </c>
      <c r="K411" s="885"/>
    </row>
    <row r="412" spans="1:11" x14ac:dyDescent="0.3">
      <c r="A412" s="1086">
        <v>13</v>
      </c>
      <c r="B412" s="550" t="s">
        <v>21</v>
      </c>
      <c r="C412" s="550" t="s">
        <v>1788</v>
      </c>
      <c r="D412" s="551" t="s">
        <v>1789</v>
      </c>
      <c r="E412" s="1042">
        <v>41722</v>
      </c>
      <c r="F412" s="550" t="s">
        <v>1596</v>
      </c>
      <c r="G412" s="895"/>
      <c r="H412" s="550"/>
      <c r="I412" s="1025">
        <v>251.93</v>
      </c>
      <c r="J412" s="1085" t="str">
        <f>IF(ISBLANK(I412)," ",IF(ISTEXT(I412)," ",IF(I412&lt;=[2]Нормативы!$H$126,"КМС",IF(I412&lt;=[2]Нормативы!$H$127,"КМС",IF(I412&lt;=[2]Нормативы!$L$128,"КМС",IF(I412&lt;=[2]Нормативы!$L$129,"I",IF(I412&lt;=[2]Нормативы!$L$130,"II",IF(I412&lt;=[2]Нормативы!$L$131,"III",IF(I412&lt;=[2]Нормативы!$L$132,"I юн",IF(I412&lt;=[2]Нормативы!$L$133,"II юн",IF(I412&lt;=[2]Нормативы!$L$134,"III юн","б/р")))))))))))</f>
        <v>б/р</v>
      </c>
      <c r="K412" s="885"/>
    </row>
    <row r="413" spans="1:11" x14ac:dyDescent="0.3">
      <c r="A413" s="1086">
        <v>14</v>
      </c>
      <c r="B413" s="550" t="s">
        <v>21</v>
      </c>
      <c r="C413" s="550" t="s">
        <v>1779</v>
      </c>
      <c r="D413" s="551" t="s">
        <v>1733</v>
      </c>
      <c r="E413" s="1042">
        <v>41856</v>
      </c>
      <c r="F413" s="550" t="s">
        <v>1452</v>
      </c>
      <c r="G413" s="895"/>
      <c r="H413" s="550"/>
      <c r="I413" s="1025">
        <v>252.1</v>
      </c>
      <c r="J413" s="1085" t="str">
        <f>IF(ISBLANK(I413)," ",IF(ISTEXT(I413)," ",IF(I413&lt;=[2]Нормативы!$H$126,"КМС",IF(I413&lt;=[2]Нормативы!$H$127,"КМС",IF(I413&lt;=[2]Нормативы!$L$128,"КМС",IF(I413&lt;=[2]Нормативы!$L$129,"I",IF(I413&lt;=[2]Нормативы!$L$130,"II",IF(I413&lt;=[2]Нормативы!$L$131,"III",IF(I413&lt;=[2]Нормативы!$L$132,"I юн",IF(I413&lt;=[2]Нормативы!$L$133,"II юн",IF(I413&lt;=[2]Нормативы!$L$134,"III юн","б/р")))))))))))</f>
        <v>б/р</v>
      </c>
      <c r="K413" s="1025"/>
    </row>
    <row r="414" spans="1:11" x14ac:dyDescent="0.3">
      <c r="A414" s="1086">
        <v>15</v>
      </c>
      <c r="B414" s="550" t="s">
        <v>21</v>
      </c>
      <c r="C414" s="550" t="s">
        <v>1772</v>
      </c>
      <c r="D414" s="551" t="s">
        <v>1764</v>
      </c>
      <c r="E414" s="1042">
        <v>42315</v>
      </c>
      <c r="F414" s="550" t="s">
        <v>1596</v>
      </c>
      <c r="G414" s="895"/>
      <c r="H414" s="550"/>
      <c r="I414" s="1025">
        <v>253.46</v>
      </c>
      <c r="J414" s="1085" t="str">
        <f>IF(ISBLANK(I414)," ",IF(ISTEXT(I414)," ",IF(I414&lt;=[2]Нормативы!$H$126,"КМС",IF(I414&lt;=[2]Нормативы!$H$127,"КМС",IF(I414&lt;=[2]Нормативы!$L$128,"КМС",IF(I414&lt;=[2]Нормативы!$L$129,"I",IF(I414&lt;=[2]Нормативы!$L$130,"II",IF(I414&lt;=[2]Нормативы!$L$131,"III",IF(I414&lt;=[2]Нормативы!$L$132,"I юн",IF(I414&lt;=[2]Нормативы!$L$133,"II юн",IF(I414&lt;=[2]Нормативы!$L$134,"III юн","б/р")))))))))))</f>
        <v>б/р</v>
      </c>
      <c r="K414" s="976"/>
    </row>
    <row r="415" spans="1:11" x14ac:dyDescent="0.3">
      <c r="A415" s="1086">
        <v>16</v>
      </c>
      <c r="B415" s="550" t="s">
        <v>1638</v>
      </c>
      <c r="C415" s="550" t="s">
        <v>1784</v>
      </c>
      <c r="D415" s="551" t="s">
        <v>1785</v>
      </c>
      <c r="E415" s="1042">
        <v>42343</v>
      </c>
      <c r="F415" s="550" t="s">
        <v>1640</v>
      </c>
      <c r="G415" s="895"/>
      <c r="H415" s="550"/>
      <c r="I415" s="1025">
        <v>256.77999999999997</v>
      </c>
      <c r="J415" s="1085" t="str">
        <f>IF(ISBLANK(I415)," ",IF(ISTEXT(I415)," ",IF(I415&lt;=[2]Нормативы!$H$126,"КМС",IF(I415&lt;=[2]Нормативы!$H$127,"КМС",IF(I415&lt;=[2]Нормативы!$L$128,"КМС",IF(I415&lt;=[2]Нормативы!$L$129,"I",IF(I415&lt;=[2]Нормативы!$L$130,"II",IF(I415&lt;=[2]Нормативы!$L$131,"III",IF(I415&lt;=[2]Нормативы!$L$132,"I юн",IF(I415&lt;=[2]Нормативы!$L$133,"II юн",IF(I415&lt;=[2]Нормативы!$L$134,"III юн","б/р")))))))))))</f>
        <v>б/р</v>
      </c>
      <c r="K415" s="1025"/>
    </row>
    <row r="416" spans="1:11" x14ac:dyDescent="0.3">
      <c r="A416" s="1086">
        <v>17</v>
      </c>
      <c r="B416" s="550" t="s">
        <v>25</v>
      </c>
      <c r="C416" s="550" t="s">
        <v>1482</v>
      </c>
      <c r="D416" s="551" t="s">
        <v>1766</v>
      </c>
      <c r="E416" s="1042">
        <v>42257</v>
      </c>
      <c r="F416" s="550" t="s">
        <v>1628</v>
      </c>
      <c r="G416" s="880"/>
      <c r="H416" s="1010"/>
      <c r="I416" s="1025">
        <v>258.22000000000003</v>
      </c>
      <c r="J416" s="1085" t="str">
        <f>IF(ISBLANK(I416)," ",IF(ISTEXT(I416)," ",IF(I416&lt;=[2]Нормативы!$H$126,"КМС",IF(I416&lt;=[2]Нормативы!$H$127,"КМС",IF(I416&lt;=[2]Нормативы!$L$128,"КМС",IF(I416&lt;=[2]Нормативы!$L$129,"I",IF(I416&lt;=[2]Нормативы!$L$130,"II",IF(I416&lt;=[2]Нормативы!$L$131,"III",IF(I416&lt;=[2]Нормативы!$L$132,"I юн",IF(I416&lt;=[2]Нормативы!$L$133,"II юн",IF(I416&lt;=[2]Нормативы!$L$134,"III юн","б/р")))))))))))</f>
        <v>б/р</v>
      </c>
      <c r="K416" s="1020"/>
    </row>
    <row r="417" spans="1:11" x14ac:dyDescent="0.3">
      <c r="A417" s="1086">
        <v>18</v>
      </c>
      <c r="B417" s="550" t="s">
        <v>25</v>
      </c>
      <c r="C417" s="550" t="s">
        <v>1761</v>
      </c>
      <c r="D417" s="551" t="s">
        <v>1725</v>
      </c>
      <c r="E417" s="1042">
        <v>42184</v>
      </c>
      <c r="F417" s="550" t="s">
        <v>1628</v>
      </c>
      <c r="G417" s="895"/>
      <c r="H417" s="550"/>
      <c r="I417" s="1025">
        <v>302.45999999999998</v>
      </c>
      <c r="J417" s="1085" t="str">
        <f>IF(ISBLANK(I417)," ",IF(ISTEXT(I417)," ",IF(I417&lt;=[2]Нормативы!$H$126,"КМС",IF(I417&lt;=[2]Нормативы!$H$127,"КМС",IF(I417&lt;=[2]Нормативы!$L$128,"КМС",IF(I417&lt;=[2]Нормативы!$L$129,"I",IF(I417&lt;=[2]Нормативы!$L$130,"II",IF(I417&lt;=[2]Нормативы!$L$131,"III",IF(I417&lt;=[2]Нормативы!$L$132,"I юн",IF(I417&lt;=[2]Нормативы!$L$133,"II юн",IF(I417&lt;=[2]Нормативы!$L$134,"III юн","б/р")))))))))))</f>
        <v>б/р</v>
      </c>
      <c r="K417" s="976"/>
    </row>
    <row r="418" spans="1:11" x14ac:dyDescent="0.3">
      <c r="A418" s="1086">
        <v>19</v>
      </c>
      <c r="B418" s="550" t="s">
        <v>25</v>
      </c>
      <c r="C418" s="550" t="s">
        <v>1767</v>
      </c>
      <c r="D418" s="551" t="s">
        <v>1768</v>
      </c>
      <c r="E418" s="1042">
        <v>42357</v>
      </c>
      <c r="F418" s="550" t="s">
        <v>1598</v>
      </c>
      <c r="G418" s="895"/>
      <c r="H418" s="550"/>
      <c r="I418" s="1025">
        <v>302.74</v>
      </c>
      <c r="J418" s="1085" t="str">
        <f>IF(ISBLANK(I418)," ",IF(ISTEXT(I418)," ",IF(I418&lt;=[2]Нормативы!$H$126,"КМС",IF(I418&lt;=[2]Нормативы!$H$127,"КМС",IF(I418&lt;=[2]Нормативы!$L$128,"КМС",IF(I418&lt;=[2]Нормативы!$L$129,"I",IF(I418&lt;=[2]Нормативы!$L$130,"II",IF(I418&lt;=[2]Нормативы!$L$131,"III",IF(I418&lt;=[2]Нормативы!$L$132,"I юн",IF(I418&lt;=[2]Нормативы!$L$133,"II юн",IF(I418&lt;=[2]Нормативы!$L$134,"III юн","б/р")))))))))))</f>
        <v>б/р</v>
      </c>
      <c r="K418" s="1025"/>
    </row>
    <row r="419" spans="1:11" x14ac:dyDescent="0.3">
      <c r="A419" s="1086">
        <v>20</v>
      </c>
      <c r="B419" s="550" t="s">
        <v>25</v>
      </c>
      <c r="C419" s="550" t="s">
        <v>1763</v>
      </c>
      <c r="D419" s="551" t="s">
        <v>1764</v>
      </c>
      <c r="E419" s="1042">
        <v>42299</v>
      </c>
      <c r="F419" s="550" t="s">
        <v>1634</v>
      </c>
      <c r="G419" s="895"/>
      <c r="H419" s="550"/>
      <c r="I419" s="1025">
        <v>307.87</v>
      </c>
      <c r="J419" s="1085" t="str">
        <f>IF(ISBLANK(I419)," ",IF(ISTEXT(I419)," ",IF(I419&lt;=[2]Нормативы!$H$126,"КМС",IF(I419&lt;=[2]Нормативы!$H$127,"КМС",IF(I419&lt;=[2]Нормативы!$L$128,"КМС",IF(I419&lt;=[2]Нормативы!$L$129,"I",IF(I419&lt;=[2]Нормативы!$L$130,"II",IF(I419&lt;=[2]Нормативы!$L$131,"III",IF(I419&lt;=[2]Нормативы!$L$132,"I юн",IF(I419&lt;=[2]Нормативы!$L$133,"II юн",IF(I419&lt;=[2]Нормативы!$L$134,"III юн","б/р")))))))))))</f>
        <v>б/р</v>
      </c>
      <c r="K419" s="1025"/>
    </row>
    <row r="420" spans="1:11" x14ac:dyDescent="0.3">
      <c r="A420" s="1086"/>
      <c r="B420" s="952"/>
      <c r="C420" s="947"/>
      <c r="D420" s="976"/>
      <c r="E420" s="981"/>
      <c r="F420" s="947"/>
      <c r="G420" s="947"/>
      <c r="H420" s="982"/>
      <c r="I420" s="1036"/>
      <c r="J420" s="24"/>
      <c r="K420" s="1025"/>
    </row>
    <row r="421" spans="1:11" ht="15.6" x14ac:dyDescent="0.3">
      <c r="A421" s="1028"/>
      <c r="B421" s="374"/>
      <c r="C421" s="928" t="s">
        <v>2036</v>
      </c>
      <c r="D421" s="374"/>
      <c r="E421" s="374"/>
      <c r="F421" s="374"/>
      <c r="G421" s="374"/>
      <c r="H421" s="929"/>
      <c r="I421" s="977"/>
      <c r="J421" s="903"/>
      <c r="K421" s="1025"/>
    </row>
    <row r="422" spans="1:11" x14ac:dyDescent="0.3">
      <c r="A422" s="1086"/>
      <c r="B422" s="952"/>
      <c r="C422" s="947"/>
      <c r="D422" s="359"/>
      <c r="E422" s="981"/>
      <c r="F422" s="947"/>
      <c r="G422" s="947"/>
      <c r="H422" s="982"/>
      <c r="I422" s="983"/>
      <c r="J422" s="549"/>
      <c r="K422" s="1025"/>
    </row>
    <row r="423" spans="1:11" x14ac:dyDescent="0.3">
      <c r="A423" s="1086">
        <v>1</v>
      </c>
      <c r="B423" s="550" t="s">
        <v>25</v>
      </c>
      <c r="C423" s="551" t="s">
        <v>1907</v>
      </c>
      <c r="D423" s="890" t="s">
        <v>1595</v>
      </c>
      <c r="E423" s="1042">
        <v>42864</v>
      </c>
      <c r="F423" s="550" t="s">
        <v>1598</v>
      </c>
      <c r="G423" s="895"/>
      <c r="H423" s="550"/>
      <c r="I423" s="1025">
        <v>34.130000000000003</v>
      </c>
      <c r="J423" s="1085" t="str">
        <f>IF(ISBLANK(I423)," ",IF(ISTEXT(I423)," ",IF(I423&lt;=[4]Нормативы!$H$5,"КМС",IF(I423&lt;=[4]Нормативы!$H$6,"КМС",IF(I423&lt;=[4]Нормативы!$L$7,"КМС",IF(I423&lt;=[4]Нормативы!$L$8,"I",IF(I423&lt;=[4]Нормативы!$L$9,"II",IF(I423&lt;=[4]Нормативы!$L$10,"III",IF(I423&lt;=[4]Нормативы!$L$11,"I юн",IF(I423&lt;=[4]Нормативы!$L$12,"II юн",IF(I423&lt;=[4]Нормативы!$L$13,"III юн",IF(ISTEXT(I423)," ",IF(ISBLANK(I423)," ","б/р")))))))))))))</f>
        <v>б/р</v>
      </c>
      <c r="K423" s="1025"/>
    </row>
    <row r="424" spans="1:11" x14ac:dyDescent="0.3">
      <c r="A424" s="1086">
        <v>2</v>
      </c>
      <c r="B424" s="550" t="s">
        <v>21</v>
      </c>
      <c r="C424" s="551" t="s">
        <v>1622</v>
      </c>
      <c r="D424" s="890" t="s">
        <v>1623</v>
      </c>
      <c r="E424" s="1042">
        <v>42656</v>
      </c>
      <c r="F424" s="550" t="s">
        <v>1450</v>
      </c>
      <c r="G424" s="895"/>
      <c r="H424" s="550"/>
      <c r="I424" s="1025">
        <v>37.39</v>
      </c>
      <c r="J424" s="1085" t="str">
        <f>IF(ISBLANK(I424)," ",IF(ISTEXT(I424)," ",IF(I424&lt;=[4]Нормативы!$H$5,"КМС",IF(I424&lt;=[4]Нормативы!$H$6,"КМС",IF(I424&lt;=[4]Нормативы!$L$7,"КМС",IF(I424&lt;=[4]Нормативы!$L$8,"I",IF(I424&lt;=[4]Нормативы!$L$9,"II",IF(I424&lt;=[4]Нормативы!$L$10,"III",IF(I424&lt;=[4]Нормативы!$L$11,"I юн",IF(I424&lt;=[4]Нормативы!$L$12,"II юн",IF(I424&lt;=[4]Нормативы!$L$13,"III юн",IF(ISTEXT(I424)," ",IF(ISBLANK(I424)," ","б/р")))))))))))))</f>
        <v>б/р</v>
      </c>
      <c r="K424" s="976"/>
    </row>
    <row r="425" spans="1:11" x14ac:dyDescent="0.3">
      <c r="A425" s="1086">
        <v>3</v>
      </c>
      <c r="B425" s="550" t="s">
        <v>25</v>
      </c>
      <c r="C425" s="551" t="s">
        <v>1617</v>
      </c>
      <c r="D425" s="890" t="s">
        <v>1618</v>
      </c>
      <c r="E425" s="1042">
        <v>42486</v>
      </c>
      <c r="F425" s="550" t="s">
        <v>1452</v>
      </c>
      <c r="G425" s="895"/>
      <c r="H425" s="550"/>
      <c r="I425" s="1025">
        <v>38.159999999999997</v>
      </c>
      <c r="J425" s="1085" t="str">
        <f>IF(ISBLANK(I425)," ",IF(ISTEXT(I425)," ",IF(I425&lt;=[4]Нормативы!$H$5,"КМС",IF(I425&lt;=[4]Нормативы!$H$6,"КМС",IF(I425&lt;=[4]Нормативы!$L$7,"КМС",IF(I425&lt;=[4]Нормативы!$L$8,"I",IF(I425&lt;=[4]Нормативы!$L$9,"II",IF(I425&lt;=[4]Нормативы!$L$10,"III",IF(I425&lt;=[4]Нормативы!$L$11,"I юн",IF(I425&lt;=[4]Нормативы!$L$12,"II юн",IF(I425&lt;=[4]Нормативы!$L$13,"III юн",IF(ISTEXT(I425)," ",IF(ISBLANK(I425)," ","б/р")))))))))))))</f>
        <v>б/р</v>
      </c>
      <c r="K425" s="1025"/>
    </row>
    <row r="426" spans="1:11" x14ac:dyDescent="0.3">
      <c r="A426" s="1086">
        <v>4</v>
      </c>
      <c r="B426" s="550" t="s">
        <v>25</v>
      </c>
      <c r="C426" s="551" t="s">
        <v>1610</v>
      </c>
      <c r="D426" s="890" t="s">
        <v>1611</v>
      </c>
      <c r="E426" s="1042">
        <v>43410</v>
      </c>
      <c r="F426" s="550" t="s">
        <v>1598</v>
      </c>
      <c r="G426" s="895"/>
      <c r="H426" s="550"/>
      <c r="I426" s="1025">
        <v>40.81</v>
      </c>
      <c r="J426" s="1085" t="str">
        <f>IF(ISBLANK(I426)," ",IF(ISTEXT(I426)," ",IF(I426&lt;=[4]Нормативы!$H$5,"КМС",IF(I426&lt;=[4]Нормативы!$H$6,"КМС",IF(I426&lt;=[4]Нормативы!$L$7,"КМС",IF(I426&lt;=[4]Нормативы!$L$8,"I",IF(I426&lt;=[4]Нормативы!$L$9,"II",IF(I426&lt;=[4]Нормативы!$L$10,"III",IF(I426&lt;=[4]Нормативы!$L$11,"I юн",IF(I426&lt;=[4]Нормативы!$L$12,"II юн",IF(I426&lt;=[4]Нормативы!$L$13,"III юн",IF(ISTEXT(I426)," ",IF(ISBLANK(I426)," ","б/р")))))))))))))</f>
        <v>б/р</v>
      </c>
      <c r="K426" s="1020"/>
    </row>
    <row r="427" spans="1:11" x14ac:dyDescent="0.3">
      <c r="A427" s="1086">
        <v>5</v>
      </c>
      <c r="B427" s="550" t="s">
        <v>25</v>
      </c>
      <c r="C427" s="551" t="s">
        <v>1614</v>
      </c>
      <c r="D427" s="890" t="s">
        <v>1613</v>
      </c>
      <c r="E427" s="1042">
        <v>42794</v>
      </c>
      <c r="F427" s="550" t="s">
        <v>1452</v>
      </c>
      <c r="G427" s="895"/>
      <c r="H427" s="550"/>
      <c r="I427" s="1025">
        <v>48.54</v>
      </c>
      <c r="J427" s="1085" t="str">
        <f>IF(ISBLANK(I427)," ",IF(ISTEXT(I427)," ",IF(I427&lt;=[4]Нормативы!$H$5,"КМС",IF(I427&lt;=[4]Нормативы!$H$6,"КМС",IF(I427&lt;=[4]Нормативы!$L$7,"КМС",IF(I427&lt;=[4]Нормативы!$L$8,"I",IF(I427&lt;=[4]Нормативы!$L$9,"II",IF(I427&lt;=[4]Нормативы!$L$10,"III",IF(I427&lt;=[4]Нормативы!$L$11,"I юн",IF(I427&lt;=[4]Нормативы!$L$12,"II юн",IF(I427&lt;=[4]Нормативы!$L$13,"III юн",IF(ISTEXT(I427)," ",IF(ISBLANK(I427)," ","б/р")))))))))))))</f>
        <v>б/р</v>
      </c>
      <c r="K427" s="18"/>
    </row>
    <row r="428" spans="1:11" x14ac:dyDescent="0.3">
      <c r="A428" s="1086">
        <v>6</v>
      </c>
      <c r="B428" s="550" t="s">
        <v>25</v>
      </c>
      <c r="C428" s="551" t="s">
        <v>1615</v>
      </c>
      <c r="D428" s="890" t="s">
        <v>1616</v>
      </c>
      <c r="E428" s="1042">
        <v>42818</v>
      </c>
      <c r="F428" s="550" t="s">
        <v>1452</v>
      </c>
      <c r="G428" s="895"/>
      <c r="H428" s="550"/>
      <c r="I428" s="1074" t="s">
        <v>2066</v>
      </c>
      <c r="J428" s="549"/>
      <c r="K428" s="18"/>
    </row>
    <row r="429" spans="1:11" x14ac:dyDescent="0.3">
      <c r="A429" s="1086"/>
      <c r="B429" s="953"/>
      <c r="C429" s="225"/>
      <c r="D429" s="361"/>
      <c r="E429" s="990"/>
      <c r="F429" s="991"/>
      <c r="G429" s="361"/>
      <c r="H429" s="880"/>
      <c r="I429" s="953"/>
      <c r="J429" s="885"/>
      <c r="K429" s="359"/>
    </row>
    <row r="430" spans="1:11" ht="15.6" x14ac:dyDescent="0.3">
      <c r="A430" s="1028"/>
      <c r="B430" s="374"/>
      <c r="C430" s="928" t="s">
        <v>2037</v>
      </c>
      <c r="D430" s="374"/>
      <c r="E430" s="374"/>
      <c r="F430" s="374"/>
      <c r="G430" s="374"/>
      <c r="H430" s="929"/>
      <c r="I430" s="1044"/>
      <c r="J430" s="549"/>
      <c r="K430" s="1025"/>
    </row>
    <row r="431" spans="1:11" x14ac:dyDescent="0.3">
      <c r="A431" s="1070"/>
      <c r="B431" s="880"/>
      <c r="C431" s="880"/>
      <c r="D431" s="880"/>
      <c r="E431" s="880"/>
      <c r="F431" s="880"/>
      <c r="G431" s="880"/>
      <c r="H431" s="880"/>
      <c r="I431" s="300"/>
      <c r="J431" s="549"/>
      <c r="K431" s="1025"/>
    </row>
    <row r="432" spans="1:11" x14ac:dyDescent="0.3">
      <c r="A432" s="1086">
        <v>1</v>
      </c>
      <c r="B432" s="550" t="s">
        <v>137</v>
      </c>
      <c r="C432" s="551" t="s">
        <v>1658</v>
      </c>
      <c r="D432" s="890" t="s">
        <v>1649</v>
      </c>
      <c r="E432" s="1042">
        <v>41793</v>
      </c>
      <c r="F432" s="550" t="s">
        <v>1381</v>
      </c>
      <c r="G432" s="895"/>
      <c r="H432" s="880"/>
      <c r="I432" s="1025">
        <v>25.59</v>
      </c>
      <c r="J432" s="1085" t="str">
        <f>IF(ISBLANK(I432)," ",IF(ISTEXT(I432)," ",IF(I432&lt;=[4]Нормативы!$H$5,"КМС",IF(I432&lt;=[4]Нормативы!$H$6,"КМС",IF(I432&lt;=[4]Нормативы!$L$7,"КМС",IF(I432&lt;=[4]Нормативы!$L$8,"I",IF(I432&lt;=[4]Нормативы!$L$9,"II",IF(I432&lt;=[4]Нормативы!$L$10,"III",IF(I432&lt;=[4]Нормативы!$L$11,"I юн",IF(I432&lt;=[4]Нормативы!$L$12,"II юн",IF(I432&lt;=[4]Нормативы!$L$13,"III юн",IF(ISTEXT(I432)," ",IF(ISBLANK(I432)," ","б/р")))))))))))))</f>
        <v>I юн</v>
      </c>
      <c r="K432" s="1025"/>
    </row>
    <row r="433" spans="1:11" x14ac:dyDescent="0.3">
      <c r="A433" s="1086">
        <v>2</v>
      </c>
      <c r="B433" s="550" t="s">
        <v>25</v>
      </c>
      <c r="C433" s="551" t="s">
        <v>1648</v>
      </c>
      <c r="D433" s="890" t="s">
        <v>1649</v>
      </c>
      <c r="E433" s="1042">
        <v>42155</v>
      </c>
      <c r="F433" s="550" t="s">
        <v>1450</v>
      </c>
      <c r="G433" s="895"/>
      <c r="H433" s="880"/>
      <c r="I433" s="1025">
        <v>30.51</v>
      </c>
      <c r="J433" s="1085" t="str">
        <f>IF(ISBLANK(I433)," ",IF(ISTEXT(I433)," ",IF(I433&lt;=[4]Нормативы!$H$5,"КМС",IF(I433&lt;=[4]Нормативы!$H$6,"КМС",IF(I433&lt;=[4]Нормативы!$L$7,"КМС",IF(I433&lt;=[4]Нормативы!$L$8,"I",IF(I433&lt;=[4]Нормативы!$L$9,"II",IF(I433&lt;=[4]Нормативы!$L$10,"III",IF(I433&lt;=[4]Нормативы!$L$11,"I юн",IF(I433&lt;=[4]Нормативы!$L$12,"II юн",IF(I433&lt;=[4]Нормативы!$L$13,"III юн",IF(ISTEXT(I433)," ",IF(ISBLANK(I433)," ","б/р")))))))))))))</f>
        <v>III юн</v>
      </c>
      <c r="K433" s="1025"/>
    </row>
    <row r="434" spans="1:11" x14ac:dyDescent="0.3">
      <c r="A434" s="1086">
        <v>3</v>
      </c>
      <c r="B434" s="550" t="s">
        <v>35</v>
      </c>
      <c r="C434" s="551" t="s">
        <v>1656</v>
      </c>
      <c r="D434" s="890" t="s">
        <v>1618</v>
      </c>
      <c r="E434" s="1042">
        <v>42036</v>
      </c>
      <c r="F434" s="550" t="s">
        <v>1450</v>
      </c>
      <c r="G434" s="895"/>
      <c r="H434" s="880"/>
      <c r="I434" s="1025">
        <v>31.17</v>
      </c>
      <c r="J434" s="1085" t="str">
        <f>IF(ISBLANK(I434)," ",IF(ISTEXT(I434)," ",IF(I434&lt;=[4]Нормативы!$H$5,"КМС",IF(I434&lt;=[4]Нормативы!$H$6,"КМС",IF(I434&lt;=[4]Нормативы!$L$7,"КМС",IF(I434&lt;=[4]Нормативы!$L$8,"I",IF(I434&lt;=[4]Нормативы!$L$9,"II",IF(I434&lt;=[4]Нормативы!$L$10,"III",IF(I434&lt;=[4]Нормативы!$L$11,"I юн",IF(I434&lt;=[4]Нормативы!$L$12,"II юн",IF(I434&lt;=[4]Нормативы!$L$13,"III юн",IF(ISTEXT(I434)," ",IF(ISBLANK(I434)," ","б/р")))))))))))))</f>
        <v>III юн</v>
      </c>
      <c r="K434" s="1025"/>
    </row>
    <row r="435" spans="1:11" x14ac:dyDescent="0.3">
      <c r="A435" s="1086">
        <v>4</v>
      </c>
      <c r="B435" s="550" t="s">
        <v>21</v>
      </c>
      <c r="C435" s="551" t="s">
        <v>1909</v>
      </c>
      <c r="D435" s="890" t="s">
        <v>1595</v>
      </c>
      <c r="E435" s="1042">
        <v>42357</v>
      </c>
      <c r="F435" s="550" t="s">
        <v>1598</v>
      </c>
      <c r="G435" s="895"/>
      <c r="H435" s="880"/>
      <c r="I435" s="1025">
        <v>31.57</v>
      </c>
      <c r="J435" s="1085" t="str">
        <f>IF(ISBLANK(I435)," ",IF(ISTEXT(I435)," ",IF(I435&lt;=[4]Нормативы!$H$5,"КМС",IF(I435&lt;=[4]Нормативы!$H$6,"КМС",IF(I435&lt;=[4]Нормативы!$L$7,"КМС",IF(I435&lt;=[4]Нормативы!$L$8,"I",IF(I435&lt;=[4]Нормативы!$L$9,"II",IF(I435&lt;=[4]Нормативы!$L$10,"III",IF(I435&lt;=[4]Нормативы!$L$11,"I юн",IF(I435&lt;=[4]Нормативы!$L$12,"II юн",IF(I435&lt;=[4]Нормативы!$L$13,"III юн",IF(ISTEXT(I435)," ",IF(ISBLANK(I435)," ","б/р")))))))))))))</f>
        <v>III юн</v>
      </c>
      <c r="K435" s="76"/>
    </row>
    <row r="436" spans="1:11" x14ac:dyDescent="0.3">
      <c r="A436" s="1086">
        <v>5</v>
      </c>
      <c r="B436" s="550" t="s">
        <v>21</v>
      </c>
      <c r="C436" s="551" t="s">
        <v>1910</v>
      </c>
      <c r="D436" s="890" t="s">
        <v>1620</v>
      </c>
      <c r="E436" s="1042">
        <v>42179</v>
      </c>
      <c r="F436" s="550" t="s">
        <v>1598</v>
      </c>
      <c r="G436" s="895"/>
      <c r="H436" s="880"/>
      <c r="I436" s="1025">
        <v>33.32</v>
      </c>
      <c r="J436" s="1085" t="str">
        <f>IF(ISBLANK(I436)," ",IF(ISTEXT(I436)," ",IF(I436&lt;=[4]Нормативы!$H$5,"КМС",IF(I436&lt;=[4]Нормативы!$H$6,"КМС",IF(I436&lt;=[4]Нормативы!$L$7,"КМС",IF(I436&lt;=[4]Нормативы!$L$8,"I",IF(I436&lt;=[4]Нормативы!$L$9,"II",IF(I436&lt;=[4]Нормативы!$L$10,"III",IF(I436&lt;=[4]Нормативы!$L$11,"I юн",IF(I436&lt;=[4]Нормативы!$L$12,"II юн",IF(I436&lt;=[4]Нормативы!$L$13,"III юн",IF(ISTEXT(I436)," ",IF(ISBLANK(I436)," ","б/р")))))))))))))</f>
        <v>б/р</v>
      </c>
      <c r="K436" s="1026"/>
    </row>
    <row r="437" spans="1:11" x14ac:dyDescent="0.3">
      <c r="A437" s="1086">
        <v>6</v>
      </c>
      <c r="B437" s="550" t="s">
        <v>1638</v>
      </c>
      <c r="C437" s="551" t="s">
        <v>1639</v>
      </c>
      <c r="D437" s="890" t="s">
        <v>1618</v>
      </c>
      <c r="E437" s="1042">
        <v>42111</v>
      </c>
      <c r="F437" s="550" t="s">
        <v>1640</v>
      </c>
      <c r="G437" s="895"/>
      <c r="H437" s="880"/>
      <c r="I437" s="1025">
        <v>41.01</v>
      </c>
      <c r="J437" s="1085" t="str">
        <f>IF(ISBLANK(I437)," ",IF(ISTEXT(I437)," ",IF(I437&lt;=[4]Нормативы!$H$5,"КМС",IF(I437&lt;=[4]Нормативы!$H$6,"КМС",IF(I437&lt;=[4]Нормативы!$L$7,"КМС",IF(I437&lt;=[4]Нормативы!$L$8,"I",IF(I437&lt;=[4]Нормативы!$L$9,"II",IF(I437&lt;=[4]Нормативы!$L$10,"III",IF(I437&lt;=[4]Нормативы!$L$11,"I юн",IF(I437&lt;=[4]Нормативы!$L$12,"II юн",IF(I437&lt;=[4]Нормативы!$L$13,"III юн",IF(ISTEXT(I437)," ",IF(ISBLANK(I437)," ","б/р")))))))))))))</f>
        <v>б/р</v>
      </c>
      <c r="K437" s="76"/>
    </row>
    <row r="438" spans="1:11" x14ac:dyDescent="0.3">
      <c r="A438" s="1086"/>
      <c r="B438" s="952"/>
      <c r="C438" s="947"/>
      <c r="D438" s="976"/>
      <c r="E438" s="981"/>
      <c r="F438" s="947"/>
      <c r="G438" s="947"/>
      <c r="H438" s="982"/>
      <c r="I438" s="982"/>
      <c r="J438" s="24"/>
      <c r="K438" s="976"/>
    </row>
    <row r="439" spans="1:11" ht="15.6" x14ac:dyDescent="0.3">
      <c r="A439" s="1028"/>
      <c r="B439"/>
      <c r="C439" s="928" t="s">
        <v>2040</v>
      </c>
      <c r="D439" s="374"/>
      <c r="E439" s="374"/>
      <c r="F439" s="374"/>
      <c r="G439" s="374"/>
      <c r="H439" s="930"/>
      <c r="I439" s="550"/>
      <c r="J439" s="549"/>
      <c r="K439" s="1025"/>
    </row>
    <row r="440" spans="1:11" x14ac:dyDescent="0.3">
      <c r="A440" s="1163"/>
      <c r="B440" s="361"/>
      <c r="C440" s="978"/>
      <c r="D440" s="364"/>
      <c r="E440" s="139"/>
      <c r="F440" s="364"/>
      <c r="G440" s="364"/>
      <c r="H440" s="979"/>
      <c r="I440" s="1131"/>
      <c r="J440" s="885"/>
      <c r="K440" s="976"/>
    </row>
    <row r="441" spans="1:11" x14ac:dyDescent="0.3">
      <c r="A441" s="1086">
        <v>1</v>
      </c>
      <c r="B441" s="550" t="s">
        <v>21</v>
      </c>
      <c r="C441" s="550" t="s">
        <v>1918</v>
      </c>
      <c r="D441" s="551" t="s">
        <v>1789</v>
      </c>
      <c r="E441" s="1042">
        <v>42412</v>
      </c>
      <c r="F441" s="550" t="s">
        <v>1598</v>
      </c>
      <c r="G441" s="895"/>
      <c r="H441" s="550"/>
      <c r="I441" s="1025">
        <v>27.1</v>
      </c>
      <c r="J441" s="1085" t="str">
        <f>IF(ISBLANK(I441)," ",IF(ISTEXT(I441)," ",IF(I441&lt;=[4]Нормативы!$H$16,"КМС",IF(I441&lt;=[4]Нормативы!$H$17,"КМС",IF(I441&lt;=[4]Нормативы!$L$18,"КМС",IF(I441&lt;=[4]Нормативы!$L$19,"I",IF(I441&lt;=[4]Нормативы!$L$20,"II",IF(I441&lt;=[4]Нормативы!$L$21,"III",IF(I441&lt;=[4]Нормативы!$L$22,"I юн",IF(I441&lt;=[4]Нормативы!$L$23,"II юн",IF(I441&lt;=[4]Нормативы!$L$24,"III юн","б/р")))))))))))</f>
        <v>III юн</v>
      </c>
      <c r="K441" s="1026"/>
    </row>
    <row r="442" spans="1:11" x14ac:dyDescent="0.3">
      <c r="A442" s="1086">
        <v>2</v>
      </c>
      <c r="B442" s="550" t="s">
        <v>25</v>
      </c>
      <c r="C442" s="550" t="s">
        <v>1747</v>
      </c>
      <c r="D442" s="551" t="s">
        <v>1748</v>
      </c>
      <c r="E442" s="1042">
        <v>42447</v>
      </c>
      <c r="F442" s="550" t="s">
        <v>1598</v>
      </c>
      <c r="G442" s="895"/>
      <c r="H442" s="550"/>
      <c r="I442" s="1025">
        <v>33.5</v>
      </c>
      <c r="J442" s="1085" t="str">
        <f>IF(ISBLANK(I442)," ",IF(ISTEXT(I442)," ",IF(I442&lt;=[4]Нормативы!$H$16,"КМС",IF(I442&lt;=[4]Нормативы!$H$17,"КМС",IF(I442&lt;=[4]Нормативы!$L$18,"КМС",IF(I442&lt;=[4]Нормативы!$L$19,"I",IF(I442&lt;=[4]Нормативы!$L$20,"II",IF(I442&lt;=[4]Нормативы!$L$21,"III",IF(I442&lt;=[4]Нормативы!$L$22,"I юн",IF(I442&lt;=[4]Нормативы!$L$23,"II юн",IF(I442&lt;=[4]Нормативы!$L$24,"III юн","б/р")))))))))))</f>
        <v>б/р</v>
      </c>
      <c r="K442" s="1026"/>
    </row>
    <row r="443" spans="1:11" x14ac:dyDescent="0.3">
      <c r="A443" s="1086">
        <v>3</v>
      </c>
      <c r="B443" s="550" t="s">
        <v>25</v>
      </c>
      <c r="C443" s="550" t="s">
        <v>1749</v>
      </c>
      <c r="D443" s="551" t="s">
        <v>1750</v>
      </c>
      <c r="E443" s="1042">
        <v>42627</v>
      </c>
      <c r="F443" s="550" t="s">
        <v>1640</v>
      </c>
      <c r="G443" s="895"/>
      <c r="H443" s="550"/>
      <c r="I443" s="1025">
        <v>42.45</v>
      </c>
      <c r="J443" s="1085" t="str">
        <f>IF(ISBLANK(I443)," ",IF(ISTEXT(I443)," ",IF(I443&lt;=[4]Нормативы!$H$16,"КМС",IF(I443&lt;=[4]Нормативы!$H$17,"КМС",IF(I443&lt;=[4]Нормативы!$L$18,"КМС",IF(I443&lt;=[4]Нормативы!$L$19,"I",IF(I443&lt;=[4]Нормативы!$L$20,"II",IF(I443&lt;=[4]Нормативы!$L$21,"III",IF(I443&lt;=[4]Нормативы!$L$22,"I юн",IF(I443&lt;=[4]Нормативы!$L$23,"II юн",IF(I443&lt;=[4]Нормативы!$L$24,"III юн","б/р")))))))))))</f>
        <v>б/р</v>
      </c>
      <c r="K443" s="1026"/>
    </row>
    <row r="444" spans="1:11" x14ac:dyDescent="0.3">
      <c r="A444" s="1086">
        <v>4</v>
      </c>
      <c r="B444" s="550" t="s">
        <v>25</v>
      </c>
      <c r="C444" s="550" t="s">
        <v>1743</v>
      </c>
      <c r="D444" s="551" t="s">
        <v>1744</v>
      </c>
      <c r="E444" s="1042">
        <v>42919</v>
      </c>
      <c r="F444" s="550" t="s">
        <v>1452</v>
      </c>
      <c r="G444" s="895"/>
      <c r="H444" s="550"/>
      <c r="I444" s="1025">
        <v>44.57</v>
      </c>
      <c r="J444" s="1085" t="str">
        <f>IF(ISBLANK(I444)," ",IF(ISTEXT(I444)," ",IF(I444&lt;=[4]Нормативы!$H$16,"КМС",IF(I444&lt;=[4]Нормативы!$H$17,"КМС",IF(I444&lt;=[4]Нормативы!$L$18,"КМС",IF(I444&lt;=[4]Нормативы!$L$19,"I",IF(I444&lt;=[4]Нормативы!$L$20,"II",IF(I444&lt;=[4]Нормативы!$L$21,"III",IF(I444&lt;=[4]Нормативы!$L$22,"I юн",IF(I444&lt;=[4]Нормативы!$L$23,"II юн",IF(I444&lt;=[4]Нормативы!$L$24,"III юн","б/р")))))))))))</f>
        <v>б/р</v>
      </c>
      <c r="K444" s="976"/>
    </row>
    <row r="445" spans="1:11" x14ac:dyDescent="0.3">
      <c r="A445" s="1086">
        <v>5</v>
      </c>
      <c r="B445" s="550" t="s">
        <v>25</v>
      </c>
      <c r="C445" s="550" t="s">
        <v>1754</v>
      </c>
      <c r="D445" s="551" t="s">
        <v>1755</v>
      </c>
      <c r="E445" s="1042">
        <v>42486</v>
      </c>
      <c r="F445" s="550" t="s">
        <v>1640</v>
      </c>
      <c r="G445" s="895"/>
      <c r="H445" s="550"/>
      <c r="I445" s="1074" t="s">
        <v>2066</v>
      </c>
      <c r="J445" s="903"/>
      <c r="K445" s="1026"/>
    </row>
    <row r="446" spans="1:11" x14ac:dyDescent="0.3">
      <c r="A446" s="1086"/>
      <c r="B446" s="880"/>
      <c r="C446" s="880"/>
      <c r="D446" s="880"/>
      <c r="E446" s="880"/>
      <c r="F446" s="880"/>
      <c r="G446" s="880"/>
      <c r="H446" s="880"/>
      <c r="I446" s="300"/>
      <c r="J446" s="901"/>
      <c r="K446" s="976"/>
    </row>
    <row r="447" spans="1:11" ht="15.6" x14ac:dyDescent="0.3">
      <c r="A447" s="1028"/>
      <c r="B447" s="374"/>
      <c r="C447" s="928" t="s">
        <v>2041</v>
      </c>
      <c r="D447" s="374"/>
      <c r="E447" s="374"/>
      <c r="F447" s="374"/>
      <c r="G447" s="374"/>
      <c r="H447" s="929"/>
      <c r="I447" s="1044"/>
      <c r="J447" s="903"/>
      <c r="K447" s="976"/>
    </row>
    <row r="448" spans="1:11" x14ac:dyDescent="0.3">
      <c r="A448" s="24"/>
      <c r="B448" s="361"/>
      <c r="C448" s="1068"/>
      <c r="D448" s="355"/>
      <c r="E448" s="1066"/>
      <c r="F448" s="1068"/>
      <c r="G448" s="1068"/>
      <c r="H448" s="524"/>
      <c r="I448" s="1143"/>
      <c r="J448" s="549"/>
      <c r="K448" s="976"/>
    </row>
    <row r="449" spans="1:11" x14ac:dyDescent="0.3">
      <c r="A449" s="1086">
        <v>1</v>
      </c>
      <c r="B449" s="550" t="s">
        <v>24</v>
      </c>
      <c r="C449" s="550" t="s">
        <v>1341</v>
      </c>
      <c r="D449" s="551" t="s">
        <v>1723</v>
      </c>
      <c r="E449" s="1042">
        <v>41737</v>
      </c>
      <c r="F449" s="550" t="s">
        <v>1598</v>
      </c>
      <c r="G449" s="895"/>
      <c r="H449" s="550"/>
      <c r="I449" s="1025">
        <v>22.87</v>
      </c>
      <c r="J449" s="1085" t="str">
        <f>IF(ISBLANK(I449)," ",IF(ISTEXT(I449)," ",IF(I449&lt;=[4]Нормативы!$H$16,"КМС",IF(I449&lt;=[4]Нормативы!$H$17,"КМС",IF(I449&lt;=[4]Нормативы!$L$18,"КМС",IF(I449&lt;=[4]Нормативы!$L$19,"I",IF(I449&lt;=[4]Нормативы!$L$20,"II",IF(I449&lt;=[4]Нормативы!$L$21,"III",IF(I449&lt;=[4]Нормативы!$L$22,"I юн",IF(I449&lt;=[4]Нормативы!$L$23,"II юн",IF(I449&lt;=[4]Нормативы!$L$24,"III юн","б/р")))))))))))</f>
        <v>I юн</v>
      </c>
      <c r="K449" s="976"/>
    </row>
    <row r="450" spans="1:11" x14ac:dyDescent="0.3">
      <c r="A450" s="1086">
        <v>2</v>
      </c>
      <c r="B450" s="550" t="s">
        <v>35</v>
      </c>
      <c r="C450" s="550" t="s">
        <v>1922</v>
      </c>
      <c r="D450" s="551" t="s">
        <v>1729</v>
      </c>
      <c r="E450" s="1042">
        <v>42206</v>
      </c>
      <c r="F450" s="550" t="s">
        <v>1634</v>
      </c>
      <c r="G450" s="895"/>
      <c r="H450" s="550"/>
      <c r="I450" s="1025">
        <v>26.31</v>
      </c>
      <c r="J450" s="1085" t="str">
        <f>IF(ISBLANK(I450)," ",IF(ISTEXT(I450)," ",IF(I450&lt;=[4]Нормативы!$H$16,"КМС",IF(I450&lt;=[4]Нормативы!$H$17,"КМС",IF(I450&lt;=[4]Нормативы!$L$18,"КМС",IF(I450&lt;=[4]Нормативы!$L$19,"I",IF(I450&lt;=[4]Нормативы!$L$20,"II",IF(I450&lt;=[4]Нормативы!$L$21,"III",IF(I450&lt;=[4]Нормативы!$L$22,"I юн",IF(I450&lt;=[4]Нормативы!$L$23,"II юн",IF(I450&lt;=[4]Нормативы!$L$24,"III юн","б/р")))))))))))</f>
        <v>III юн</v>
      </c>
      <c r="K450" s="1026"/>
    </row>
    <row r="451" spans="1:11" x14ac:dyDescent="0.3">
      <c r="A451" s="1086">
        <v>3</v>
      </c>
      <c r="B451" s="550" t="s">
        <v>35</v>
      </c>
      <c r="C451" s="550" t="s">
        <v>1921</v>
      </c>
      <c r="D451" s="551" t="s">
        <v>1744</v>
      </c>
      <c r="E451" s="1042">
        <v>41920</v>
      </c>
      <c r="F451" s="550" t="s">
        <v>1450</v>
      </c>
      <c r="G451" s="895"/>
      <c r="H451" s="550"/>
      <c r="I451" s="1025">
        <v>27.28</v>
      </c>
      <c r="J451" s="1085" t="str">
        <f>IF(ISBLANK(I451)," ",IF(ISTEXT(I451)," ",IF(I451&lt;=[4]Нормативы!$H$16,"КМС",IF(I451&lt;=[4]Нормативы!$H$17,"КМС",IF(I451&lt;=[4]Нормативы!$L$18,"КМС",IF(I451&lt;=[4]Нормативы!$L$19,"I",IF(I451&lt;=[4]Нормативы!$L$20,"II",IF(I451&lt;=[4]Нормативы!$L$21,"III",IF(I451&lt;=[4]Нормативы!$L$22,"I юн",IF(I451&lt;=[4]Нормативы!$L$23,"II юн",IF(I451&lt;=[4]Нормативы!$L$24,"III юн","б/р")))))))))))</f>
        <v>III юн</v>
      </c>
      <c r="K451" s="976"/>
    </row>
    <row r="452" spans="1:11" x14ac:dyDescent="0.3">
      <c r="A452" s="1086">
        <v>4</v>
      </c>
      <c r="B452" s="550" t="s">
        <v>35</v>
      </c>
      <c r="C452" s="550" t="s">
        <v>1342</v>
      </c>
      <c r="D452" s="551" t="s">
        <v>2021</v>
      </c>
      <c r="E452" s="1042">
        <v>41920</v>
      </c>
      <c r="F452" s="550" t="s">
        <v>1450</v>
      </c>
      <c r="G452" s="895"/>
      <c r="H452" s="550"/>
      <c r="I452" s="1025">
        <v>27.32</v>
      </c>
      <c r="J452" s="1085" t="str">
        <f>IF(ISBLANK(I452)," ",IF(ISTEXT(I452)," ",IF(I452&lt;=[4]Нормативы!$H$16,"КМС",IF(I452&lt;=[4]Нормативы!$H$17,"КМС",IF(I452&lt;=[4]Нормативы!$L$18,"КМС",IF(I452&lt;=[4]Нормативы!$L$19,"I",IF(I452&lt;=[4]Нормативы!$L$20,"II",IF(I452&lt;=[4]Нормативы!$L$21,"III",IF(I452&lt;=[4]Нормативы!$L$22,"I юн",IF(I452&lt;=[4]Нормативы!$L$23,"II юн",IF(I452&lt;=[4]Нормативы!$L$24,"III юн","б/р")))))))))))</f>
        <v>III юн</v>
      </c>
      <c r="K452" s="1026"/>
    </row>
    <row r="453" spans="1:11" x14ac:dyDescent="0.3">
      <c r="A453" s="1086">
        <v>5</v>
      </c>
      <c r="B453" s="550" t="s">
        <v>35</v>
      </c>
      <c r="C453" s="550" t="s">
        <v>1938</v>
      </c>
      <c r="D453" s="551" t="s">
        <v>1737</v>
      </c>
      <c r="E453" s="1042">
        <v>42060</v>
      </c>
      <c r="F453" s="550" t="s">
        <v>1634</v>
      </c>
      <c r="G453" s="895"/>
      <c r="H453" s="550"/>
      <c r="I453" s="1025">
        <v>28.9</v>
      </c>
      <c r="J453" s="1085" t="str">
        <f>IF(ISBLANK(I453)," ",IF(ISTEXT(I453)," ",IF(I453&lt;=[4]Нормативы!$H$16,"КМС",IF(I453&lt;=[4]Нормативы!$H$17,"КМС",IF(I453&lt;=[4]Нормативы!$L$18,"КМС",IF(I453&lt;=[4]Нормативы!$L$19,"I",IF(I453&lt;=[4]Нормативы!$L$20,"II",IF(I453&lt;=[4]Нормативы!$L$21,"III",IF(I453&lt;=[4]Нормативы!$L$22,"I юн",IF(I453&lt;=[4]Нормативы!$L$23,"II юн",IF(I453&lt;=[4]Нормативы!$L$24,"III юн","б/р")))))))))))</f>
        <v>б/р</v>
      </c>
      <c r="K453" s="976"/>
    </row>
    <row r="454" spans="1:11" x14ac:dyDescent="0.3">
      <c r="A454" s="1086">
        <v>6</v>
      </c>
      <c r="B454" s="550" t="s">
        <v>21</v>
      </c>
      <c r="C454" s="550" t="s">
        <v>1920</v>
      </c>
      <c r="D454" s="551" t="s">
        <v>1737</v>
      </c>
      <c r="E454" s="1042">
        <v>42364</v>
      </c>
      <c r="F454" s="550" t="s">
        <v>1598</v>
      </c>
      <c r="G454" s="880"/>
      <c r="H454" s="880"/>
      <c r="I454" s="1025">
        <v>29.63</v>
      </c>
      <c r="J454" s="1085" t="str">
        <f>IF(ISBLANK(I454)," ",IF(ISTEXT(I454)," ",IF(I454&lt;=[4]Нормативы!$H$16,"КМС",IF(I454&lt;=[4]Нормативы!$H$17,"КМС",IF(I454&lt;=[4]Нормативы!$L$18,"КМС",IF(I454&lt;=[4]Нормативы!$L$19,"I",IF(I454&lt;=[4]Нормативы!$L$20,"II",IF(I454&lt;=[4]Нормативы!$L$21,"III",IF(I454&lt;=[4]Нормативы!$L$22,"I юн",IF(I454&lt;=[4]Нормативы!$L$23,"II юн",IF(I454&lt;=[4]Нормативы!$L$24,"III юн","б/р")))))))))))</f>
        <v>б/р</v>
      </c>
      <c r="K454" s="1025"/>
    </row>
    <row r="455" spans="1:11" x14ac:dyDescent="0.3">
      <c r="A455" s="1086">
        <v>7</v>
      </c>
      <c r="B455" s="550" t="s">
        <v>21</v>
      </c>
      <c r="C455" s="550" t="s">
        <v>1340</v>
      </c>
      <c r="D455" s="551" t="s">
        <v>1739</v>
      </c>
      <c r="E455" s="1042">
        <v>41939</v>
      </c>
      <c r="F455" s="550" t="s">
        <v>1450</v>
      </c>
      <c r="G455" s="895"/>
      <c r="H455" s="550"/>
      <c r="I455" s="1025">
        <v>29.75</v>
      </c>
      <c r="J455" s="1085" t="str">
        <f>IF(ISBLANK(I455)," ",IF(ISTEXT(I455)," ",IF(I455&lt;=[4]Нормативы!$H$16,"КМС",IF(I455&lt;=[4]Нормативы!$H$17,"КМС",IF(I455&lt;=[4]Нормативы!$L$18,"КМС",IF(I455&lt;=[4]Нормативы!$L$19,"I",IF(I455&lt;=[4]Нормативы!$L$20,"II",IF(I455&lt;=[4]Нормативы!$L$21,"III",IF(I455&lt;=[4]Нормативы!$L$22,"I юн",IF(I455&lt;=[4]Нормативы!$L$23,"II юн",IF(I455&lt;=[4]Нормативы!$L$24,"III юн","б/р")))))))))))</f>
        <v>б/р</v>
      </c>
      <c r="K455" s="976"/>
    </row>
    <row r="456" spans="1:11" x14ac:dyDescent="0.3">
      <c r="A456" s="1086">
        <v>8</v>
      </c>
      <c r="B456" s="550" t="s">
        <v>21</v>
      </c>
      <c r="C456" s="550" t="s">
        <v>1776</v>
      </c>
      <c r="D456" s="551" t="s">
        <v>1768</v>
      </c>
      <c r="E456" s="1042">
        <v>41911</v>
      </c>
      <c r="F456" s="550" t="s">
        <v>1640</v>
      </c>
      <c r="G456" s="895"/>
      <c r="H456" s="550"/>
      <c r="I456" s="1025">
        <v>34.86</v>
      </c>
      <c r="J456" s="1085" t="str">
        <f>IF(ISBLANK(I456)," ",IF(ISTEXT(I456)," ",IF(I456&lt;=[4]Нормативы!$H$16,"КМС",IF(I456&lt;=[4]Нормативы!$H$17,"КМС",IF(I456&lt;=[4]Нормативы!$L$18,"КМС",IF(I456&lt;=[4]Нормативы!$L$19,"I",IF(I456&lt;=[4]Нормативы!$L$20,"II",IF(I456&lt;=[4]Нормативы!$L$21,"III",IF(I456&lt;=[4]Нормативы!$L$22,"I юн",IF(I456&lt;=[4]Нормативы!$L$23,"II юн",IF(I456&lt;=[4]Нормативы!$L$24,"III юн","б/р")))))))))))</f>
        <v>б/р</v>
      </c>
      <c r="K456" s="976"/>
    </row>
    <row r="457" spans="1:11" x14ac:dyDescent="0.3">
      <c r="A457" s="1086"/>
      <c r="B457" s="952"/>
      <c r="C457" s="947"/>
      <c r="D457" s="976"/>
      <c r="E457" s="981"/>
      <c r="F457" s="947"/>
      <c r="G457" s="947"/>
      <c r="H457" s="982"/>
      <c r="I457" s="1036"/>
      <c r="J457" s="24"/>
      <c r="K457" s="1025"/>
    </row>
    <row r="458" spans="1:11" ht="15.6" x14ac:dyDescent="0.3">
      <c r="A458" s="1028"/>
      <c r="B458" s="374"/>
      <c r="C458" s="928" t="s">
        <v>2044</v>
      </c>
      <c r="D458" s="374"/>
      <c r="E458" s="374"/>
      <c r="F458" s="374"/>
      <c r="G458" s="374"/>
      <c r="H458" s="929"/>
      <c r="I458" s="300"/>
      <c r="J458" s="885"/>
      <c r="K458" s="976"/>
    </row>
    <row r="459" spans="1:11" x14ac:dyDescent="0.3">
      <c r="A459" s="1086"/>
      <c r="B459" s="891"/>
      <c r="C459" s="551"/>
      <c r="D459" s="880"/>
      <c r="E459" s="963"/>
      <c r="F459" s="550"/>
      <c r="G459" s="550"/>
      <c r="H459" s="1120"/>
      <c r="I459" s="885"/>
      <c r="J459" s="878"/>
      <c r="K459" s="976"/>
    </row>
    <row r="460" spans="1:11" x14ac:dyDescent="0.3">
      <c r="A460" s="1086">
        <v>1</v>
      </c>
      <c r="B460" s="550" t="s">
        <v>35</v>
      </c>
      <c r="C460" s="551" t="s">
        <v>1624</v>
      </c>
      <c r="D460" s="890" t="s">
        <v>1625</v>
      </c>
      <c r="E460" s="1042">
        <v>42586</v>
      </c>
      <c r="F460" s="550" t="s">
        <v>1596</v>
      </c>
      <c r="G460" s="895"/>
      <c r="H460" s="550"/>
      <c r="I460" s="1025">
        <v>107.55</v>
      </c>
      <c r="J460" s="1085" t="str">
        <f>IF(ISBLANK(I460)," ",IF(ISTEXT(I460)," ",IF(I460&lt;=[4]Нормативы!$H$71,"КМС",IF(I460&lt;=[4]Нормативы!$H$72,"КМС",IF(I460&lt;=[4]Нормативы!$L$73,"КМС",IF(I460&lt;=[4]Нормативы!$L$74,"I",IF(I460&lt;=[4]Нормативы!$L$75,"II",IF(I460&lt;=[4]Нормативы!$L$76,"III",IF(I460&lt;=[4]Нормативы!$L$77,"I юн",IF(I460&lt;=[4]Нормативы!$L$78,"II юн",IF(I460&lt;=[4]Нормативы!$L$79,"III юн","б/р")))))))))))</f>
        <v>I юн</v>
      </c>
      <c r="K460" s="1026"/>
    </row>
    <row r="461" spans="1:11" x14ac:dyDescent="0.3">
      <c r="A461" s="1086">
        <v>2</v>
      </c>
      <c r="B461" s="550" t="s">
        <v>20</v>
      </c>
      <c r="C461" s="551" t="s">
        <v>1619</v>
      </c>
      <c r="D461" s="890" t="s">
        <v>1620</v>
      </c>
      <c r="E461" s="1042">
        <v>42390</v>
      </c>
      <c r="F461" s="550" t="s">
        <v>1596</v>
      </c>
      <c r="G461" s="895"/>
      <c r="H461" s="550"/>
      <c r="I461" s="1025">
        <v>116.2</v>
      </c>
      <c r="J461" s="1085" t="str">
        <f>IF(ISBLANK(I461)," ",IF(ISTEXT(I461)," ",IF(I461&lt;=[4]Нормативы!$H$71,"КМС",IF(I461&lt;=[4]Нормативы!$H$72,"КМС",IF(I461&lt;=[4]Нормативы!$L$73,"КМС",IF(I461&lt;=[4]Нормативы!$L$74,"I",IF(I461&lt;=[4]Нормативы!$L$75,"II",IF(I461&lt;=[4]Нормативы!$L$76,"III",IF(I461&lt;=[4]Нормативы!$L$77,"I юн",IF(I461&lt;=[4]Нормативы!$L$78,"II юн",IF(I461&lt;=[4]Нормативы!$L$79,"III юн","б/р")))))))))))</f>
        <v>II юн</v>
      </c>
      <c r="K461" s="1025"/>
    </row>
    <row r="462" spans="1:11" x14ac:dyDescent="0.3">
      <c r="A462" s="1086">
        <v>3</v>
      </c>
      <c r="B462" s="550" t="s">
        <v>21</v>
      </c>
      <c r="C462" s="551" t="s">
        <v>1622</v>
      </c>
      <c r="D462" s="890" t="s">
        <v>1623</v>
      </c>
      <c r="E462" s="1042">
        <v>42656</v>
      </c>
      <c r="F462" s="550" t="s">
        <v>1450</v>
      </c>
      <c r="G462" s="895"/>
      <c r="H462" s="550"/>
      <c r="I462" s="1025">
        <v>118.34</v>
      </c>
      <c r="J462" s="1085" t="str">
        <f>IF(ISBLANK(I462)," ",IF(ISTEXT(I462)," ",IF(I462&lt;=[4]Нормативы!$H$71,"КМС",IF(I462&lt;=[4]Нормативы!$H$72,"КМС",IF(I462&lt;=[4]Нормативы!$L$73,"КМС",IF(I462&lt;=[4]Нормативы!$L$74,"I",IF(I462&lt;=[4]Нормативы!$L$75,"II",IF(I462&lt;=[4]Нормативы!$L$76,"III",IF(I462&lt;=[4]Нормативы!$L$77,"I юн",IF(I462&lt;=[4]Нормативы!$L$78,"II юн",IF(I462&lt;=[4]Нормативы!$L$79,"III юн","б/р")))))))))))</f>
        <v>II юн</v>
      </c>
      <c r="K462" s="1026"/>
    </row>
    <row r="463" spans="1:11" x14ac:dyDescent="0.3">
      <c r="A463" s="1086">
        <v>4</v>
      </c>
      <c r="B463" s="550" t="s">
        <v>21</v>
      </c>
      <c r="C463" s="551" t="s">
        <v>1621</v>
      </c>
      <c r="D463" s="890" t="s">
        <v>1595</v>
      </c>
      <c r="E463" s="1042">
        <v>42811</v>
      </c>
      <c r="F463" s="550" t="s">
        <v>1452</v>
      </c>
      <c r="G463" s="895"/>
      <c r="H463" s="550"/>
      <c r="I463" s="1025">
        <v>120.34</v>
      </c>
      <c r="J463" s="1085" t="str">
        <f>IF(ISBLANK(I463)," ",IF(ISTEXT(I463)," ",IF(I463&lt;=[4]Нормативы!$H$71,"КМС",IF(I463&lt;=[4]Нормативы!$H$72,"КМС",IF(I463&lt;=[4]Нормативы!$L$73,"КМС",IF(I463&lt;=[4]Нормативы!$L$74,"I",IF(I463&lt;=[4]Нормативы!$L$75,"II",IF(I463&lt;=[4]Нормативы!$L$76,"III",IF(I463&lt;=[4]Нормативы!$L$77,"I юн",IF(I463&lt;=[4]Нормативы!$L$78,"II юн",IF(I463&lt;=[4]Нормативы!$L$79,"III юн","б/р")))))))))))</f>
        <v>III юн</v>
      </c>
      <c r="K463" s="976"/>
    </row>
    <row r="464" spans="1:11" x14ac:dyDescent="0.3">
      <c r="A464" s="1086">
        <v>5</v>
      </c>
      <c r="B464" s="550" t="s">
        <v>25</v>
      </c>
      <c r="C464" s="551" t="s">
        <v>1617</v>
      </c>
      <c r="D464" s="890" t="s">
        <v>1618</v>
      </c>
      <c r="E464" s="1042">
        <v>42486</v>
      </c>
      <c r="F464" s="550" t="s">
        <v>1452</v>
      </c>
      <c r="G464" s="895"/>
      <c r="H464" s="550"/>
      <c r="I464" s="1025">
        <v>125.53</v>
      </c>
      <c r="J464" s="1085" t="str">
        <f>IF(ISBLANK(I464)," ",IF(ISTEXT(I464)," ",IF(I464&lt;=[4]Нормативы!$H$71,"КМС",IF(I464&lt;=[4]Нормативы!$H$72,"КМС",IF(I464&lt;=[4]Нормативы!$L$73,"КМС",IF(I464&lt;=[4]Нормативы!$L$74,"I",IF(I464&lt;=[4]Нормативы!$L$75,"II",IF(I464&lt;=[4]Нормативы!$L$76,"III",IF(I464&lt;=[4]Нормативы!$L$77,"I юн",IF(I464&lt;=[4]Нормативы!$L$78,"II юн",IF(I464&lt;=[4]Нормативы!$L$79,"III юн","б/р")))))))))))</f>
        <v>б/р</v>
      </c>
      <c r="K464" s="1026"/>
    </row>
    <row r="465" spans="1:11" x14ac:dyDescent="0.3">
      <c r="A465" s="1086">
        <v>6</v>
      </c>
      <c r="B465" s="550" t="s">
        <v>25</v>
      </c>
      <c r="C465" s="551" t="s">
        <v>1607</v>
      </c>
      <c r="D465" s="890" t="s">
        <v>1606</v>
      </c>
      <c r="E465" s="1043">
        <v>42641</v>
      </c>
      <c r="F465" s="550" t="s">
        <v>1430</v>
      </c>
      <c r="G465" s="895"/>
      <c r="H465" s="550"/>
      <c r="I465" s="1075">
        <v>125.56</v>
      </c>
      <c r="J465" s="1085" t="str">
        <f>IF(ISBLANK(I465)," ",IF(ISTEXT(I465)," ",IF(I465&lt;=[4]Нормативы!$H$71,"КМС",IF(I465&lt;=[4]Нормативы!$H$72,"КМС",IF(I465&lt;=[4]Нормативы!$L$73,"КМС",IF(I465&lt;=[4]Нормативы!$L$74,"I",IF(I465&lt;=[4]Нормативы!$L$75,"II",IF(I465&lt;=[4]Нормативы!$L$76,"III",IF(I465&lt;=[4]Нормативы!$L$77,"I юн",IF(I465&lt;=[4]Нормативы!$L$78,"II юн",IF(I465&lt;=[4]Нормативы!$L$79,"III юн","б/р")))))))))))</f>
        <v>б/р</v>
      </c>
      <c r="K465" s="1026"/>
    </row>
    <row r="466" spans="1:11" x14ac:dyDescent="0.3">
      <c r="A466" s="1086">
        <v>7</v>
      </c>
      <c r="B466" s="550" t="s">
        <v>25</v>
      </c>
      <c r="C466" s="551" t="s">
        <v>1615</v>
      </c>
      <c r="D466" s="890" t="s">
        <v>1616</v>
      </c>
      <c r="E466" s="1042">
        <v>42818</v>
      </c>
      <c r="F466" s="550" t="s">
        <v>1452</v>
      </c>
      <c r="G466" s="895"/>
      <c r="H466" s="550"/>
      <c r="I466" s="1025">
        <v>126.94</v>
      </c>
      <c r="J466" s="1085" t="str">
        <f>IF(ISBLANK(I466)," ",IF(ISTEXT(I466)," ",IF(I466&lt;=[4]Нормативы!$H$71,"КМС",IF(I466&lt;=[4]Нормативы!$H$72,"КМС",IF(I466&lt;=[4]Нормативы!$L$73,"КМС",IF(I466&lt;=[4]Нормативы!$L$74,"I",IF(I466&lt;=[4]Нормативы!$L$75,"II",IF(I466&lt;=[4]Нормативы!$L$76,"III",IF(I466&lt;=[4]Нормативы!$L$77,"I юн",IF(I466&lt;=[4]Нормативы!$L$78,"II юн",IF(I466&lt;=[4]Нормативы!$L$79,"III юн","б/р")))))))))))</f>
        <v>б/р</v>
      </c>
      <c r="K466" s="1032"/>
    </row>
    <row r="467" spans="1:11" x14ac:dyDescent="0.3">
      <c r="A467" s="1086">
        <v>8</v>
      </c>
      <c r="B467" s="550" t="s">
        <v>25</v>
      </c>
      <c r="C467" s="551" t="s">
        <v>1602</v>
      </c>
      <c r="D467" s="890" t="s">
        <v>1603</v>
      </c>
      <c r="E467" s="1043" t="s">
        <v>1604</v>
      </c>
      <c r="F467" s="550" t="s">
        <v>1430</v>
      </c>
      <c r="G467" s="895"/>
      <c r="H467" s="550"/>
      <c r="I467" s="1075">
        <v>130.38</v>
      </c>
      <c r="J467" s="1085" t="str">
        <f>IF(ISBLANK(I467)," ",IF(ISTEXT(I467)," ",IF(I467&lt;=[4]Нормативы!$H$71,"КМС",IF(I467&lt;=[4]Нормативы!$H$72,"КМС",IF(I467&lt;=[4]Нормативы!$L$73,"КМС",IF(I467&lt;=[4]Нормативы!$L$74,"I",IF(I467&lt;=[4]Нормативы!$L$75,"II",IF(I467&lt;=[4]Нормативы!$L$76,"III",IF(I467&lt;=[4]Нормативы!$L$77,"I юн",IF(I467&lt;=[4]Нормативы!$L$78,"II юн",IF(I467&lt;=[4]Нормативы!$L$79,"III юн","б/р")))))))))))</f>
        <v>б/р</v>
      </c>
      <c r="K467" s="885"/>
    </row>
    <row r="468" spans="1:11" x14ac:dyDescent="0.3">
      <c r="A468" s="1086">
        <v>9</v>
      </c>
      <c r="B468" s="550" t="s">
        <v>21</v>
      </c>
      <c r="C468" s="551" t="s">
        <v>1608</v>
      </c>
      <c r="D468" s="890" t="s">
        <v>1609</v>
      </c>
      <c r="E468" s="1042">
        <v>42815</v>
      </c>
      <c r="F468" s="550" t="s">
        <v>1596</v>
      </c>
      <c r="G468" s="895"/>
      <c r="H468" s="550"/>
      <c r="I468" s="1025">
        <v>131.59</v>
      </c>
      <c r="J468" s="1085" t="str">
        <f>IF(ISBLANK(I468)," ",IF(ISTEXT(I468)," ",IF(I468&lt;=[4]Нормативы!$H$71,"КМС",IF(I468&lt;=[4]Нормативы!$H$72,"КМС",IF(I468&lt;=[4]Нормативы!$L$73,"КМС",IF(I468&lt;=[4]Нормативы!$L$74,"I",IF(I468&lt;=[4]Нормативы!$L$75,"II",IF(I468&lt;=[4]Нормативы!$L$76,"III",IF(I468&lt;=[4]Нормативы!$L$77,"I юн",IF(I468&lt;=[4]Нормативы!$L$78,"II юн",IF(I468&lt;=[4]Нормативы!$L$79,"III юн","б/р")))))))))))</f>
        <v>б/р</v>
      </c>
      <c r="K468" s="885"/>
    </row>
    <row r="469" spans="1:11" x14ac:dyDescent="0.3">
      <c r="A469" s="1086">
        <v>10</v>
      </c>
      <c r="B469" s="550" t="s">
        <v>25</v>
      </c>
      <c r="C469" s="551" t="s">
        <v>1605</v>
      </c>
      <c r="D469" s="890" t="s">
        <v>1606</v>
      </c>
      <c r="E469" s="1042">
        <v>42872</v>
      </c>
      <c r="F469" s="550" t="s">
        <v>1596</v>
      </c>
      <c r="G469" s="895"/>
      <c r="H469" s="550"/>
      <c r="I469" s="1025">
        <v>133.59</v>
      </c>
      <c r="J469" s="1085" t="str">
        <f>IF(ISBLANK(I469)," ",IF(ISTEXT(I469)," ",IF(I469&lt;=[4]Нормативы!$H$71,"КМС",IF(I469&lt;=[4]Нормативы!$H$72,"КМС",IF(I469&lt;=[4]Нормативы!$L$73,"КМС",IF(I469&lt;=[4]Нормативы!$L$74,"I",IF(I469&lt;=[4]Нормативы!$L$75,"II",IF(I469&lt;=[4]Нормативы!$L$76,"III",IF(I469&lt;=[4]Нормативы!$L$77,"I юн",IF(I469&lt;=[4]Нормативы!$L$78,"II юн",IF(I469&lt;=[4]Нормативы!$L$79,"III юн","б/р")))))))))))</f>
        <v>б/р</v>
      </c>
      <c r="K469" s="976"/>
    </row>
    <row r="470" spans="1:11" x14ac:dyDescent="0.3">
      <c r="A470" s="1086">
        <v>11</v>
      </c>
      <c r="B470" s="550" t="s">
        <v>25</v>
      </c>
      <c r="C470" s="551" t="s">
        <v>1614</v>
      </c>
      <c r="D470" s="890" t="s">
        <v>1613</v>
      </c>
      <c r="E470" s="1042">
        <v>42794</v>
      </c>
      <c r="F470" s="550" t="s">
        <v>1452</v>
      </c>
      <c r="G470" s="895"/>
      <c r="H470" s="550"/>
      <c r="I470" s="1025">
        <v>211.75</v>
      </c>
      <c r="J470" s="1085" t="str">
        <f>IF(ISBLANK(I470)," ",IF(ISTEXT(I470)," ",IF(I470&lt;=[4]Нормативы!$H$71,"КМС",IF(I470&lt;=[4]Нормативы!$H$72,"КМС",IF(I470&lt;=[4]Нормативы!$L$73,"КМС",IF(I470&lt;=[4]Нормативы!$L$74,"I",IF(I470&lt;=[4]Нормативы!$L$75,"II",IF(I470&lt;=[4]Нормативы!$L$76,"III",IF(I470&lt;=[4]Нормативы!$L$77,"I юн",IF(I470&lt;=[4]Нормативы!$L$78,"II юн",IF(I470&lt;=[4]Нормативы!$L$79,"III юн","б/р")))))))))))</f>
        <v>б/р</v>
      </c>
      <c r="K470" s="1032"/>
    </row>
    <row r="471" spans="1:11" x14ac:dyDescent="0.3">
      <c r="A471" s="1028"/>
      <c r="B471" s="976"/>
      <c r="C471" s="976"/>
      <c r="D471" s="976"/>
      <c r="E471" s="976"/>
      <c r="F471" s="976"/>
      <c r="G471" s="976"/>
      <c r="H471" s="976"/>
      <c r="I471" s="1026"/>
      <c r="J471" s="1028"/>
      <c r="K471" s="976"/>
    </row>
    <row r="472" spans="1:11" ht="15.6" x14ac:dyDescent="0.3">
      <c r="A472" s="1028"/>
      <c r="B472" s="374"/>
      <c r="C472" s="928" t="s">
        <v>2045</v>
      </c>
      <c r="D472" s="374"/>
      <c r="E472" s="374"/>
      <c r="F472" s="374"/>
      <c r="G472" s="374"/>
      <c r="H472" s="929"/>
      <c r="I472" s="300"/>
      <c r="J472" s="885"/>
      <c r="K472" s="880"/>
    </row>
    <row r="473" spans="1:11" x14ac:dyDescent="0.3">
      <c r="A473" s="1086"/>
      <c r="B473" s="891"/>
      <c r="C473" s="550"/>
      <c r="D473" s="880"/>
      <c r="E473" s="963"/>
      <c r="F473" s="550"/>
      <c r="G473" s="550"/>
      <c r="H473" s="1120"/>
      <c r="I473" s="885"/>
      <c r="J473" s="885"/>
      <c r="K473" s="879"/>
    </row>
    <row r="474" spans="1:11" x14ac:dyDescent="0.3">
      <c r="A474" s="1086">
        <v>1</v>
      </c>
      <c r="B474" s="550" t="s">
        <v>24</v>
      </c>
      <c r="C474" s="551" t="s">
        <v>1659</v>
      </c>
      <c r="D474" s="890" t="s">
        <v>1620</v>
      </c>
      <c r="E474" s="1042">
        <v>41965</v>
      </c>
      <c r="F474" s="550" t="s">
        <v>1450</v>
      </c>
      <c r="G474" s="895"/>
      <c r="H474" s="550"/>
      <c r="I474" s="1025">
        <v>58.75</v>
      </c>
      <c r="J474" s="1085" t="str">
        <f>IF(ISBLANK(I474)," ",IF(ISTEXT(I474)," ",IF(I474&lt;=[4]Нормативы!$H$71,"КМС",IF(I474&lt;=[4]Нормативы!$H$72,"КМС",IF(I474&lt;=[4]Нормативы!$L$73,"КМС",IF(I474&lt;=[4]Нормативы!$L$74,"I",IF(I474&lt;=[4]Нормативы!$L$75,"II",IF(I474&lt;=[4]Нормативы!$L$76,"III",IF(I474&lt;=[4]Нормативы!$L$77,"I юн",IF(I474&lt;=[4]Нормативы!$L$78,"II юн",IF(I474&lt;=[4]Нормативы!$L$79,"III юн","б/р")))))))))))</f>
        <v>II</v>
      </c>
      <c r="K474" s="1025"/>
    </row>
    <row r="475" spans="1:11" x14ac:dyDescent="0.3">
      <c r="A475" s="1086">
        <v>2</v>
      </c>
      <c r="B475" s="550" t="s">
        <v>24</v>
      </c>
      <c r="C475" s="551" t="s">
        <v>1660</v>
      </c>
      <c r="D475" s="890" t="s">
        <v>1595</v>
      </c>
      <c r="E475" s="1043">
        <v>41845</v>
      </c>
      <c r="F475" s="550" t="s">
        <v>1430</v>
      </c>
      <c r="G475" s="895"/>
      <c r="H475" s="550"/>
      <c r="I475" s="1075">
        <v>58.84</v>
      </c>
      <c r="J475" s="1085" t="str">
        <f>IF(ISBLANK(I475)," ",IF(ISTEXT(I475)," ",IF(I475&lt;=[4]Нормативы!$H$71,"КМС",IF(I475&lt;=[4]Нормативы!$H$72,"КМС",IF(I475&lt;=[4]Нормативы!$L$73,"КМС",IF(I475&lt;=[4]Нормативы!$L$74,"I",IF(I475&lt;=[4]Нормативы!$L$75,"II",IF(I475&lt;=[4]Нормативы!$L$76,"III",IF(I475&lt;=[4]Нормативы!$L$77,"I юн",IF(I475&lt;=[4]Нормативы!$L$78,"II юн",IF(I475&lt;=[4]Нормативы!$L$79,"III юн","б/р")))))))))))</f>
        <v>II</v>
      </c>
      <c r="K475" s="1025"/>
    </row>
    <row r="476" spans="1:11" x14ac:dyDescent="0.3">
      <c r="A476" s="1086">
        <v>3</v>
      </c>
      <c r="B476" s="550" t="s">
        <v>23</v>
      </c>
      <c r="C476" s="551" t="s">
        <v>1662</v>
      </c>
      <c r="D476" s="890" t="s">
        <v>1657</v>
      </c>
      <c r="E476" s="1042">
        <v>41841</v>
      </c>
      <c r="F476" s="550" t="s">
        <v>1596</v>
      </c>
      <c r="G476" s="895"/>
      <c r="H476" s="550"/>
      <c r="I476" s="1025">
        <v>58.85</v>
      </c>
      <c r="J476" s="1085" t="str">
        <f>IF(ISBLANK(I476)," ",IF(ISTEXT(I476)," ",IF(I476&lt;=[4]Нормативы!$H$71,"КМС",IF(I476&lt;=[4]Нормативы!$H$72,"КМС",IF(I476&lt;=[4]Нормативы!$L$73,"КМС",IF(I476&lt;=[4]Нормативы!$L$74,"I",IF(I476&lt;=[4]Нормативы!$L$75,"II",IF(I476&lt;=[4]Нормативы!$L$76,"III",IF(I476&lt;=[4]Нормативы!$L$77,"I юн",IF(I476&lt;=[4]Нормативы!$L$78,"II юн",IF(I476&lt;=[4]Нормативы!$L$79,"III юн","б/р")))))))))))</f>
        <v>II</v>
      </c>
      <c r="K476" s="1025"/>
    </row>
    <row r="477" spans="1:11" x14ac:dyDescent="0.3">
      <c r="A477" s="1086">
        <v>4</v>
      </c>
      <c r="B477" s="550" t="s">
        <v>24</v>
      </c>
      <c r="C477" s="551" t="s">
        <v>1661</v>
      </c>
      <c r="D477" s="890" t="s">
        <v>1620</v>
      </c>
      <c r="E477" s="1042">
        <v>41969</v>
      </c>
      <c r="F477" s="550" t="s">
        <v>1381</v>
      </c>
      <c r="G477" s="895"/>
      <c r="H477" s="550"/>
      <c r="I477" s="1025">
        <v>102.63</v>
      </c>
      <c r="J477" s="1085" t="str">
        <f>IF(ISBLANK(I477)," ",IF(ISTEXT(I477)," ",IF(I477&lt;=[4]Нормативы!$H$71,"КМС",IF(I477&lt;=[4]Нормативы!$H$72,"КМС",IF(I477&lt;=[4]Нормативы!$L$73,"КМС",IF(I477&lt;=[4]Нормативы!$L$74,"I",IF(I477&lt;=[4]Нормативы!$L$75,"II",IF(I477&lt;=[4]Нормативы!$L$76,"III",IF(I477&lt;=[4]Нормативы!$L$77,"I юн",IF(I477&lt;=[4]Нормативы!$L$78,"II юн",IF(I477&lt;=[4]Нормативы!$L$79,"III юн","б/р")))))))))))</f>
        <v>III</v>
      </c>
      <c r="K477" s="885"/>
    </row>
    <row r="478" spans="1:11" x14ac:dyDescent="0.3">
      <c r="A478" s="1086">
        <v>5</v>
      </c>
      <c r="B478" s="550" t="s">
        <v>24</v>
      </c>
      <c r="C478" s="551" t="s">
        <v>1911</v>
      </c>
      <c r="D478" s="890" t="s">
        <v>1603</v>
      </c>
      <c r="E478" s="1042">
        <v>41733</v>
      </c>
      <c r="F478" s="550" t="s">
        <v>1634</v>
      </c>
      <c r="G478" s="895"/>
      <c r="H478" s="550"/>
      <c r="I478" s="1025">
        <v>103.89</v>
      </c>
      <c r="J478" s="1085" t="str">
        <f>IF(ISBLANK(I478)," ",IF(ISTEXT(I478)," ",IF(I478&lt;=[4]Нормативы!$H$71,"КМС",IF(I478&lt;=[4]Нормативы!$H$72,"КМС",IF(I478&lt;=[4]Нормативы!$L$73,"КМС",IF(I478&lt;=[4]Нормативы!$L$74,"I",IF(I478&lt;=[4]Нормативы!$L$75,"II",IF(I478&lt;=[4]Нормативы!$L$76,"III",IF(I478&lt;=[4]Нормативы!$L$77,"I юн",IF(I478&lt;=[4]Нормативы!$L$78,"II юн",IF(I478&lt;=[4]Нормативы!$L$79,"III юн","б/р")))))))))))</f>
        <v>III</v>
      </c>
      <c r="K478" s="880"/>
    </row>
    <row r="479" spans="1:11" x14ac:dyDescent="0.3">
      <c r="A479" s="1086">
        <v>6</v>
      </c>
      <c r="B479" s="550" t="s">
        <v>35</v>
      </c>
      <c r="C479" s="551" t="s">
        <v>1653</v>
      </c>
      <c r="D479" s="890" t="s">
        <v>1618</v>
      </c>
      <c r="E479" s="1042">
        <v>41889</v>
      </c>
      <c r="F479" s="550" t="s">
        <v>1654</v>
      </c>
      <c r="G479" s="895"/>
      <c r="H479" s="550"/>
      <c r="I479" s="1025">
        <v>106.57</v>
      </c>
      <c r="J479" s="1085" t="str">
        <f>IF(ISBLANK(I479)," ",IF(ISTEXT(I479)," ",IF(I479&lt;=[4]Нормативы!$H$71,"КМС",IF(I479&lt;=[4]Нормативы!$H$72,"КМС",IF(I479&lt;=[4]Нормативы!$L$73,"КМС",IF(I479&lt;=[4]Нормативы!$L$74,"I",IF(I479&lt;=[4]Нормативы!$L$75,"II",IF(I479&lt;=[4]Нормативы!$L$76,"III",IF(I479&lt;=[4]Нормативы!$L$77,"I юн",IF(I479&lt;=[4]Нормативы!$L$78,"II юн",IF(I479&lt;=[4]Нормативы!$L$79,"III юн","б/р")))))))))))</f>
        <v>III</v>
      </c>
      <c r="K479" s="885"/>
    </row>
    <row r="480" spans="1:11" x14ac:dyDescent="0.3">
      <c r="A480" s="1086">
        <v>7</v>
      </c>
      <c r="B480" s="550" t="s">
        <v>35</v>
      </c>
      <c r="C480" s="551" t="s">
        <v>1650</v>
      </c>
      <c r="D480" s="890" t="s">
        <v>1630</v>
      </c>
      <c r="E480" s="1042">
        <v>41679</v>
      </c>
      <c r="F480" s="550" t="s">
        <v>1596</v>
      </c>
      <c r="G480" s="895"/>
      <c r="H480" s="550"/>
      <c r="I480" s="1025">
        <v>107.45</v>
      </c>
      <c r="J480" s="1085" t="str">
        <f>IF(ISBLANK(I480)," ",IF(ISTEXT(I480)," ",IF(I480&lt;=[4]Нормативы!$H$71,"КМС",IF(I480&lt;=[4]Нормативы!$H$72,"КМС",IF(I480&lt;=[4]Нормативы!$L$73,"КМС",IF(I480&lt;=[4]Нормативы!$L$74,"I",IF(I480&lt;=[4]Нормативы!$L$75,"II",IF(I480&lt;=[4]Нормативы!$L$76,"III",IF(I480&lt;=[4]Нормативы!$L$77,"I юн",IF(I480&lt;=[4]Нормативы!$L$78,"II юн",IF(I480&lt;=[4]Нормативы!$L$79,"III юн","б/р")))))))))))</f>
        <v>I юн</v>
      </c>
      <c r="K480" s="1025"/>
    </row>
    <row r="481" spans="1:11" x14ac:dyDescent="0.3">
      <c r="A481" s="1086">
        <v>8</v>
      </c>
      <c r="B481" s="550" t="s">
        <v>35</v>
      </c>
      <c r="C481" s="551" t="s">
        <v>1656</v>
      </c>
      <c r="D481" s="890" t="s">
        <v>1618</v>
      </c>
      <c r="E481" s="1042">
        <v>42036</v>
      </c>
      <c r="F481" s="550" t="s">
        <v>1450</v>
      </c>
      <c r="G481" s="895"/>
      <c r="H481" s="550"/>
      <c r="I481" s="1025">
        <v>109.57</v>
      </c>
      <c r="J481" s="1085" t="str">
        <f>IF(ISBLANK(I481)," ",IF(ISTEXT(I481)," ",IF(I481&lt;=[4]Нормативы!$H$71,"КМС",IF(I481&lt;=[4]Нормативы!$H$72,"КМС",IF(I481&lt;=[4]Нормативы!$L$73,"КМС",IF(I481&lt;=[4]Нормативы!$L$74,"I",IF(I481&lt;=[4]Нормативы!$L$75,"II",IF(I481&lt;=[4]Нормативы!$L$76,"III",IF(I481&lt;=[4]Нормативы!$L$77,"I юн",IF(I481&lt;=[4]Нормативы!$L$78,"II юн",IF(I481&lt;=[4]Нормативы!$L$79,"III юн","б/р")))))))))))</f>
        <v>I юн</v>
      </c>
      <c r="K481" s="1025"/>
    </row>
    <row r="482" spans="1:11" x14ac:dyDescent="0.3">
      <c r="A482" s="1086">
        <v>9</v>
      </c>
      <c r="B482" s="24" t="s">
        <v>35</v>
      </c>
      <c r="C482" s="551" t="s">
        <v>1655</v>
      </c>
      <c r="D482" s="890" t="s">
        <v>1618</v>
      </c>
      <c r="E482" s="1043">
        <v>41777</v>
      </c>
      <c r="F482" s="550" t="s">
        <v>1430</v>
      </c>
      <c r="G482" s="895"/>
      <c r="H482" s="550"/>
      <c r="I482" s="1075">
        <v>109.74</v>
      </c>
      <c r="J482" s="1085" t="str">
        <f>IF(ISBLANK(I482)," ",IF(ISTEXT(I482)," ",IF(I482&lt;=[4]Нормативы!$H$71,"КМС",IF(I482&lt;=[4]Нормативы!$H$72,"КМС",IF(I482&lt;=[4]Нормативы!$L$73,"КМС",IF(I482&lt;=[4]Нормативы!$L$74,"I",IF(I482&lt;=[4]Нормативы!$L$75,"II",IF(I482&lt;=[4]Нормативы!$L$76,"III",IF(I482&lt;=[4]Нормативы!$L$77,"I юн",IF(I482&lt;=[4]Нормативы!$L$78,"II юн",IF(I482&lt;=[4]Нормативы!$L$79,"III юн","б/р")))))))))))</f>
        <v>I юн</v>
      </c>
      <c r="K482" s="1025"/>
    </row>
    <row r="483" spans="1:11" x14ac:dyDescent="0.3">
      <c r="A483" s="1086">
        <v>10</v>
      </c>
      <c r="B483" s="550" t="s">
        <v>35</v>
      </c>
      <c r="C483" s="551" t="s">
        <v>1646</v>
      </c>
      <c r="D483" s="890" t="s">
        <v>1613</v>
      </c>
      <c r="E483" s="1042">
        <v>41925</v>
      </c>
      <c r="F483" s="550" t="s">
        <v>1596</v>
      </c>
      <c r="G483" s="895"/>
      <c r="H483" s="550"/>
      <c r="I483" s="1025">
        <v>110.26</v>
      </c>
      <c r="J483" s="1085" t="str">
        <f>IF(ISBLANK(I483)," ",IF(ISTEXT(I483)," ",IF(I483&lt;=[4]Нормативы!$H$71,"КМС",IF(I483&lt;=[4]Нормативы!$H$72,"КМС",IF(I483&lt;=[4]Нормативы!$L$73,"КМС",IF(I483&lt;=[4]Нормативы!$L$74,"I",IF(I483&lt;=[4]Нормативы!$L$75,"II",IF(I483&lt;=[4]Нормативы!$L$76,"III",IF(I483&lt;=[4]Нормативы!$L$77,"I юн",IF(I483&lt;=[4]Нормативы!$L$78,"II юн",IF(I483&lt;=[4]Нормативы!$L$79,"III юн","б/р")))))))))))</f>
        <v>I юн</v>
      </c>
      <c r="K483" s="885"/>
    </row>
    <row r="484" spans="1:11" x14ac:dyDescent="0.3">
      <c r="A484" s="1086">
        <v>11</v>
      </c>
      <c r="B484" s="550" t="s">
        <v>25</v>
      </c>
      <c r="C484" s="551" t="s">
        <v>1648</v>
      </c>
      <c r="D484" s="890" t="s">
        <v>1649</v>
      </c>
      <c r="E484" s="1042">
        <v>42155</v>
      </c>
      <c r="F484" s="550" t="s">
        <v>1450</v>
      </c>
      <c r="G484" s="895"/>
      <c r="H484" s="550"/>
      <c r="I484" s="1025">
        <v>110.45</v>
      </c>
      <c r="J484" s="1085" t="str">
        <f>IF(ISBLANK(I484)," ",IF(ISTEXT(I484)," ",IF(I484&lt;=[4]Нормативы!$H$71,"КМС",IF(I484&lt;=[4]Нормативы!$H$72,"КМС",IF(I484&lt;=[4]Нормативы!$L$73,"КМС",IF(I484&lt;=[4]Нормативы!$L$74,"I",IF(I484&lt;=[4]Нормативы!$L$75,"II",IF(I484&lt;=[4]Нормативы!$L$76,"III",IF(I484&lt;=[4]Нормативы!$L$77,"I юн",IF(I484&lt;=[4]Нормативы!$L$78,"II юн",IF(I484&lt;=[4]Нормативы!$L$79,"III юн","б/р")))))))))))</f>
        <v>I юн</v>
      </c>
      <c r="K484" s="880"/>
    </row>
    <row r="485" spans="1:11" x14ac:dyDescent="0.3">
      <c r="A485" s="1086">
        <v>12</v>
      </c>
      <c r="B485" s="24" t="s">
        <v>35</v>
      </c>
      <c r="C485" s="551" t="s">
        <v>1647</v>
      </c>
      <c r="D485" s="890" t="s">
        <v>1595</v>
      </c>
      <c r="E485" s="1043">
        <v>41815</v>
      </c>
      <c r="F485" s="550" t="s">
        <v>1430</v>
      </c>
      <c r="G485" s="895"/>
      <c r="H485" s="550"/>
      <c r="I485" s="1075">
        <v>111.01</v>
      </c>
      <c r="J485" s="1085" t="str">
        <f>IF(ISBLANK(I485)," ",IF(ISTEXT(I485)," ",IF(I485&lt;=[4]Нормативы!$H$71,"КМС",IF(I485&lt;=[4]Нормативы!$H$72,"КМС",IF(I485&lt;=[4]Нормативы!$L$73,"КМС",IF(I485&lt;=[4]Нормативы!$L$74,"I",IF(I485&lt;=[4]Нормативы!$L$75,"II",IF(I485&lt;=[4]Нормативы!$L$76,"III",IF(I485&lt;=[4]Нормативы!$L$77,"I юн",IF(I485&lt;=[4]Нормативы!$L$78,"II юн",IF(I485&lt;=[4]Нормативы!$L$79,"III юн","б/р")))))))))))</f>
        <v>I юн</v>
      </c>
      <c r="K485" s="880"/>
    </row>
    <row r="486" spans="1:11" x14ac:dyDescent="0.3">
      <c r="A486" s="1086">
        <v>13</v>
      </c>
      <c r="B486" s="550" t="s">
        <v>35</v>
      </c>
      <c r="C486" s="551" t="s">
        <v>1645</v>
      </c>
      <c r="D486" s="890" t="s">
        <v>1612</v>
      </c>
      <c r="E486" s="1042">
        <v>42175</v>
      </c>
      <c r="F486" s="550" t="s">
        <v>1596</v>
      </c>
      <c r="G486" s="895"/>
      <c r="H486" s="550"/>
      <c r="I486" s="1025">
        <v>112.01</v>
      </c>
      <c r="J486" s="1085" t="str">
        <f>IF(ISBLANK(I486)," ",IF(ISTEXT(I486)," ",IF(I486&lt;=[4]Нормативы!$H$71,"КМС",IF(I486&lt;=[4]Нормативы!$H$72,"КМС",IF(I486&lt;=[4]Нормативы!$L$73,"КМС",IF(I486&lt;=[4]Нормативы!$L$74,"I",IF(I486&lt;=[4]Нормативы!$L$75,"II",IF(I486&lt;=[4]Нормативы!$L$76,"III",IF(I486&lt;=[4]Нормативы!$L$77,"I юн",IF(I486&lt;=[4]Нормативы!$L$78,"II юн",IF(I486&lt;=[4]Нормативы!$L$79,"III юн","б/р")))))))))))</f>
        <v>I юн</v>
      </c>
      <c r="K486" s="1025"/>
    </row>
    <row r="487" spans="1:11" x14ac:dyDescent="0.3">
      <c r="A487" s="1086">
        <v>14</v>
      </c>
      <c r="B487" s="550" t="s">
        <v>20</v>
      </c>
      <c r="C487" s="551" t="s">
        <v>1643</v>
      </c>
      <c r="D487" s="890" t="s">
        <v>1644</v>
      </c>
      <c r="E487" s="1042">
        <v>41824</v>
      </c>
      <c r="F487" s="550" t="s">
        <v>1634</v>
      </c>
      <c r="G487" s="895"/>
      <c r="H487" s="550"/>
      <c r="I487" s="1025">
        <v>115.46</v>
      </c>
      <c r="J487" s="1085" t="str">
        <f>IF(ISBLANK(I487)," ",IF(ISTEXT(I487)," ",IF(I487&lt;=[4]Нормативы!$H$71,"КМС",IF(I487&lt;=[4]Нормативы!$H$72,"КМС",IF(I487&lt;=[4]Нормативы!$L$73,"КМС",IF(I487&lt;=[4]Нормативы!$L$74,"I",IF(I487&lt;=[4]Нормативы!$L$75,"II",IF(I487&lt;=[4]Нормативы!$L$76,"III",IF(I487&lt;=[4]Нормативы!$L$77,"I юн",IF(I487&lt;=[4]Нормативы!$L$78,"II юн",IF(I487&lt;=[4]Нормативы!$L$79,"III юн","б/р")))))))))))</f>
        <v>II юн</v>
      </c>
      <c r="K487" s="1025"/>
    </row>
    <row r="488" spans="1:11" x14ac:dyDescent="0.3">
      <c r="A488" s="1086">
        <v>15</v>
      </c>
      <c r="B488" s="24" t="s">
        <v>25</v>
      </c>
      <c r="C488" s="550" t="s">
        <v>1637</v>
      </c>
      <c r="D488" s="7" t="s">
        <v>1649</v>
      </c>
      <c r="E488" s="1043">
        <v>42172</v>
      </c>
      <c r="F488" s="550" t="s">
        <v>1430</v>
      </c>
      <c r="G488" s="895"/>
      <c r="H488" s="550"/>
      <c r="I488" s="1075">
        <v>115.84</v>
      </c>
      <c r="J488" s="1085" t="str">
        <f>IF(ISBLANK(I488)," ",IF(ISTEXT(I488)," ",IF(I488&lt;=[4]Нормативы!$H$71,"КМС",IF(I488&lt;=[4]Нормативы!$H$72,"КМС",IF(I488&lt;=[4]Нормативы!$L$73,"КМС",IF(I488&lt;=[4]Нормативы!$L$74,"I",IF(I488&lt;=[4]Нормативы!$L$75,"II",IF(I488&lt;=[4]Нормативы!$L$76,"III",IF(I488&lt;=[4]Нормативы!$L$77,"I юн",IF(I488&lt;=[4]Нормативы!$L$78,"II юн",IF(I488&lt;=[4]Нормативы!$L$79,"III юн","б/р")))))))))))</f>
        <v>II юн</v>
      </c>
      <c r="K488" s="1024"/>
    </row>
    <row r="489" spans="1:11" x14ac:dyDescent="0.3">
      <c r="A489" s="1086">
        <v>16</v>
      </c>
      <c r="B489" s="550" t="s">
        <v>20</v>
      </c>
      <c r="C489" s="551" t="s">
        <v>1641</v>
      </c>
      <c r="D489" s="890" t="s">
        <v>1642</v>
      </c>
      <c r="E489" s="1042">
        <v>42224</v>
      </c>
      <c r="F489" s="550" t="s">
        <v>1596</v>
      </c>
      <c r="G489" s="895"/>
      <c r="H489" s="550"/>
      <c r="I489" s="1025">
        <v>119.68</v>
      </c>
      <c r="J489" s="1085" t="str">
        <f>IF(ISBLANK(I489)," ",IF(ISTEXT(I489)," ",IF(I489&lt;=[4]Нормативы!$H$71,"КМС",IF(I489&lt;=[4]Нормативы!$H$72,"КМС",IF(I489&lt;=[4]Нормативы!$L$73,"КМС",IF(I489&lt;=[4]Нормативы!$L$74,"I",IF(I489&lt;=[4]Нормативы!$L$75,"II",IF(I489&lt;=[4]Нормативы!$L$76,"III",IF(I489&lt;=[4]Нормативы!$L$77,"I юн",IF(I489&lt;=[4]Нормативы!$L$78,"II юн",IF(I489&lt;=[4]Нормативы!$L$79,"III юн","б/р")))))))))))</f>
        <v>III юн</v>
      </c>
      <c r="K489" s="1024"/>
    </row>
    <row r="490" spans="1:11" x14ac:dyDescent="0.3">
      <c r="A490" s="1086">
        <v>17</v>
      </c>
      <c r="B490" s="550" t="s">
        <v>1638</v>
      </c>
      <c r="C490" s="551" t="s">
        <v>1639</v>
      </c>
      <c r="D490" s="890" t="s">
        <v>1618</v>
      </c>
      <c r="E490" s="1042">
        <v>42111</v>
      </c>
      <c r="F490" s="550" t="s">
        <v>1640</v>
      </c>
      <c r="G490" s="895"/>
      <c r="H490" s="550"/>
      <c r="I490" s="1025">
        <v>122.31</v>
      </c>
      <c r="J490" s="1085" t="str">
        <f>IF(ISBLANK(I490)," ",IF(ISTEXT(I490)," ",IF(I490&lt;=[4]Нормативы!$H$71,"КМС",IF(I490&lt;=[4]Нормативы!$H$72,"КМС",IF(I490&lt;=[4]Нормативы!$L$73,"КМС",IF(I490&lt;=[4]Нормативы!$L$74,"I",IF(I490&lt;=[4]Нормативы!$L$75,"II",IF(I490&lt;=[4]Нормативы!$L$76,"III",IF(I490&lt;=[4]Нормативы!$L$77,"I юн",IF(I490&lt;=[4]Нормативы!$L$78,"II юн",IF(I490&lt;=[4]Нормативы!$L$79,"III юн","б/р")))))))))))</f>
        <v>III юн</v>
      </c>
      <c r="K490" s="1024"/>
    </row>
    <row r="491" spans="1:11" x14ac:dyDescent="0.3">
      <c r="A491" s="1086">
        <v>18</v>
      </c>
      <c r="B491" s="550" t="s">
        <v>25</v>
      </c>
      <c r="C491" s="550" t="s">
        <v>1626</v>
      </c>
      <c r="D491" s="7" t="s">
        <v>1627</v>
      </c>
      <c r="E491" s="1042">
        <v>42091</v>
      </c>
      <c r="F491" s="550" t="s">
        <v>1628</v>
      </c>
      <c r="G491" s="550"/>
      <c r="H491" s="550"/>
      <c r="I491" s="1025">
        <v>124.13</v>
      </c>
      <c r="J491" s="1085" t="str">
        <f>IF(ISBLANK(I491)," ",IF(ISTEXT(I491)," ",IF(I491&lt;=[4]Нормативы!$H$71,"КМС",IF(I491&lt;=[4]Нормативы!$H$72,"КМС",IF(I491&lt;=[4]Нормативы!$L$73,"КМС",IF(I491&lt;=[4]Нормативы!$L$74,"I",IF(I491&lt;=[4]Нормативы!$L$75,"II",IF(I491&lt;=[4]Нормативы!$L$76,"III",IF(I491&lt;=[4]Нормативы!$L$77,"I юн",IF(I491&lt;=[4]Нормативы!$L$78,"II юн",IF(I491&lt;=[4]Нормативы!$L$79,"III юн","б/р")))))))))))</f>
        <v>III юн</v>
      </c>
      <c r="K491" s="359"/>
    </row>
    <row r="492" spans="1:11" x14ac:dyDescent="0.3">
      <c r="A492" s="1086">
        <v>19</v>
      </c>
      <c r="B492" s="24" t="s">
        <v>25</v>
      </c>
      <c r="C492" s="550" t="s">
        <v>1929</v>
      </c>
      <c r="D492" s="7" t="s">
        <v>1616</v>
      </c>
      <c r="E492" s="1042">
        <v>41733</v>
      </c>
      <c r="F492" s="550" t="s">
        <v>1250</v>
      </c>
      <c r="G492" s="300"/>
      <c r="H492" s="300"/>
      <c r="I492" s="1025">
        <v>128.72</v>
      </c>
      <c r="J492" s="1085" t="str">
        <f>IF(ISBLANK(I492)," ",IF(ISTEXT(I492)," ",IF(I492&lt;=[4]Нормативы!$H$71,"КМС",IF(I492&lt;=[4]Нормативы!$H$72,"КМС",IF(I492&lt;=[4]Нормативы!$L$73,"КМС",IF(I492&lt;=[4]Нормативы!$L$74,"I",IF(I492&lt;=[4]Нормативы!$L$75,"II",IF(I492&lt;=[4]Нормативы!$L$76,"III",IF(I492&lt;=[4]Нормативы!$L$77,"I юн",IF(I492&lt;=[4]Нормативы!$L$78,"II юн",IF(I492&lt;=[4]Нормативы!$L$79,"III юн","б/р")))))))))))</f>
        <v>б/р</v>
      </c>
      <c r="K492" s="880"/>
    </row>
    <row r="493" spans="1:11" x14ac:dyDescent="0.3">
      <c r="A493" s="1086">
        <v>20</v>
      </c>
      <c r="B493" s="550" t="s">
        <v>25</v>
      </c>
      <c r="C493" s="551" t="s">
        <v>1631</v>
      </c>
      <c r="D493" s="890" t="s">
        <v>1613</v>
      </c>
      <c r="E493" s="1042">
        <v>42237</v>
      </c>
      <c r="F493" s="550" t="s">
        <v>1632</v>
      </c>
      <c r="G493" s="895"/>
      <c r="H493" s="550"/>
      <c r="I493" s="1025">
        <v>130.32</v>
      </c>
      <c r="J493" s="1085" t="str">
        <f>IF(ISBLANK(I493)," ",IF(ISTEXT(I493)," ",IF(I493&lt;=[4]Нормативы!$H$71,"КМС",IF(I493&lt;=[4]Нормативы!$H$72,"КМС",IF(I493&lt;=[4]Нормативы!$L$73,"КМС",IF(I493&lt;=[4]Нормативы!$L$74,"I",IF(I493&lt;=[4]Нормативы!$L$75,"II",IF(I493&lt;=[4]Нормативы!$L$76,"III",IF(I493&lt;=[4]Нормативы!$L$77,"I юн",IF(I493&lt;=[4]Нормативы!$L$78,"II юн",IF(I493&lt;=[4]Нормативы!$L$79,"III юн","б/р")))))))))))</f>
        <v>б/р</v>
      </c>
      <c r="K493" s="885"/>
    </row>
    <row r="494" spans="1:11" x14ac:dyDescent="0.3">
      <c r="A494" s="1086">
        <v>21</v>
      </c>
      <c r="B494" s="550" t="s">
        <v>25</v>
      </c>
      <c r="C494" s="551" t="s">
        <v>1635</v>
      </c>
      <c r="D494" s="890" t="s">
        <v>1636</v>
      </c>
      <c r="E494" s="1042">
        <v>42314</v>
      </c>
      <c r="F494" s="550" t="s">
        <v>1628</v>
      </c>
      <c r="G494" s="895"/>
      <c r="H494" s="550"/>
      <c r="I494" s="1025">
        <v>132.81</v>
      </c>
      <c r="J494" s="1085" t="str">
        <f>IF(ISBLANK(I494)," ",IF(ISTEXT(I494)," ",IF(I494&lt;=[4]Нормативы!$H$71,"КМС",IF(I494&lt;=[4]Нормативы!$H$72,"КМС",IF(I494&lt;=[4]Нормативы!$L$73,"КМС",IF(I494&lt;=[4]Нормативы!$L$74,"I",IF(I494&lt;=[4]Нормативы!$L$75,"II",IF(I494&lt;=[4]Нормативы!$L$76,"III",IF(I494&lt;=[4]Нормативы!$L$77,"I юн",IF(I494&lt;=[4]Нормативы!$L$78,"II юн",IF(I494&lt;=[4]Нормативы!$L$79,"III юн","б/р")))))))))))</f>
        <v>б/р</v>
      </c>
      <c r="K494" s="880"/>
    </row>
    <row r="495" spans="1:11" x14ac:dyDescent="0.3">
      <c r="A495" s="1086"/>
      <c r="B495" s="952"/>
      <c r="C495" s="947"/>
      <c r="D495" s="976"/>
      <c r="E495" s="981"/>
      <c r="F495" s="947"/>
      <c r="G495" s="947"/>
      <c r="H495" s="976"/>
      <c r="I495" s="982"/>
      <c r="J495" s="24"/>
      <c r="K495" s="39"/>
    </row>
    <row r="496" spans="1:11" ht="15.6" x14ac:dyDescent="0.3">
      <c r="A496" s="1028"/>
      <c r="B496" s="374"/>
      <c r="C496" s="928" t="s">
        <v>2047</v>
      </c>
      <c r="D496" s="374"/>
      <c r="E496" s="374"/>
      <c r="F496" s="374"/>
      <c r="G496" s="374"/>
      <c r="H496" s="929"/>
      <c r="I496" s="1070"/>
      <c r="J496" s="300"/>
      <c r="K496" s="880"/>
    </row>
    <row r="497" spans="1:11" x14ac:dyDescent="0.3">
      <c r="A497" s="1086"/>
      <c r="B497" s="1003"/>
      <c r="C497" s="225"/>
      <c r="D497" s="18"/>
      <c r="E497" s="899"/>
      <c r="F497" s="991"/>
      <c r="G497" s="991"/>
      <c r="H497" s="989"/>
      <c r="I497" s="1025"/>
      <c r="J497" s="300"/>
      <c r="K497" s="880"/>
    </row>
    <row r="498" spans="1:11" x14ac:dyDescent="0.3">
      <c r="A498" s="1086">
        <v>1</v>
      </c>
      <c r="B498" s="550" t="s">
        <v>20</v>
      </c>
      <c r="C498" s="550" t="s">
        <v>1756</v>
      </c>
      <c r="D498" s="551" t="s">
        <v>1757</v>
      </c>
      <c r="E498" s="1042">
        <v>42609</v>
      </c>
      <c r="F498" s="550" t="s">
        <v>1430</v>
      </c>
      <c r="G498" s="895"/>
      <c r="H498" s="550"/>
      <c r="I498" s="1025">
        <v>106.45</v>
      </c>
      <c r="J498" s="1085" t="str">
        <f>IF(ISBLANK(I498)," ",IF(ISTEXT(I498)," ",IF(I498&lt;=[4]Нормативы!$H$82,"КМС",IF(I498&lt;=[4]Нормативы!$H$83,"КМС",IF(I498&lt;=[4]Нормативы!$L$84,"КМС",IF(I498&lt;=[4]Нормативы!$L$85,"I",IF(I498&lt;=[4]Нормативы!$L$86,"II",IF(I498&lt;=[4]Нормативы!$L$87,"III",IF(I498&lt;=[4]Нормативы!$L$88,"I юн",IF(I498&lt;=[4]Нормативы!$L$89,"II юн",IF(I498&lt;=[4]Нормативы!$L$90,"III юн","б/р")))))))))))</f>
        <v>II юн</v>
      </c>
      <c r="K498" s="880"/>
    </row>
    <row r="499" spans="1:11" x14ac:dyDescent="0.3">
      <c r="A499" s="1086">
        <v>2</v>
      </c>
      <c r="B499" s="550" t="s">
        <v>25</v>
      </c>
      <c r="C499" s="550" t="s">
        <v>1753</v>
      </c>
      <c r="D499" s="551" t="s">
        <v>1746</v>
      </c>
      <c r="E499" s="1042">
        <v>43125</v>
      </c>
      <c r="F499" s="550" t="s">
        <v>1430</v>
      </c>
      <c r="G499" s="895"/>
      <c r="H499" s="550"/>
      <c r="I499" s="1025">
        <v>119.51</v>
      </c>
      <c r="J499" s="1085" t="str">
        <f>IF(ISBLANK(I499)," ",IF(ISTEXT(I499)," ",IF(I499&lt;=[4]Нормативы!$H$82,"КМС",IF(I499&lt;=[4]Нормативы!$H$83,"КМС",IF(I499&lt;=[4]Нормативы!$L$84,"КМС",IF(I499&lt;=[4]Нормативы!$L$85,"I",IF(I499&lt;=[4]Нормативы!$L$86,"II",IF(I499&lt;=[4]Нормативы!$L$87,"III",IF(I499&lt;=[4]Нормативы!$L$88,"I юн",IF(I499&lt;=[4]Нормативы!$L$89,"II юн",IF(I499&lt;=[4]Нормативы!$L$90,"III юн","б/р")))))))))))</f>
        <v>б/р</v>
      </c>
      <c r="K499" s="880"/>
    </row>
    <row r="500" spans="1:11" x14ac:dyDescent="0.3">
      <c r="A500" s="1086">
        <v>3</v>
      </c>
      <c r="B500" s="550" t="s">
        <v>25</v>
      </c>
      <c r="C500" s="550" t="s">
        <v>1745</v>
      </c>
      <c r="D500" s="551" t="s">
        <v>1746</v>
      </c>
      <c r="E500" s="1042">
        <v>42717</v>
      </c>
      <c r="F500" s="550" t="s">
        <v>1634</v>
      </c>
      <c r="G500" s="895"/>
      <c r="H500" s="550"/>
      <c r="I500" s="1025">
        <v>119.69</v>
      </c>
      <c r="J500" s="1085" t="str">
        <f>IF(ISBLANK(I500)," ",IF(ISTEXT(I500)," ",IF(I500&lt;=[4]Нормативы!$H$82,"КМС",IF(I500&lt;=[4]Нормативы!$H$83,"КМС",IF(I500&lt;=[4]Нормативы!$L$84,"КМС",IF(I500&lt;=[4]Нормативы!$L$85,"I",IF(I500&lt;=[4]Нормативы!$L$86,"II",IF(I500&lt;=[4]Нормативы!$L$87,"III",IF(I500&lt;=[4]Нормативы!$L$88,"I юн",IF(I500&lt;=[4]Нормативы!$L$89,"II юн",IF(I500&lt;=[4]Нормативы!$L$90,"III юн","б/р")))))))))))</f>
        <v>б/р</v>
      </c>
      <c r="K500" s="880"/>
    </row>
    <row r="501" spans="1:11" x14ac:dyDescent="0.3">
      <c r="A501" s="1086">
        <v>4</v>
      </c>
      <c r="B501" s="550" t="s">
        <v>25</v>
      </c>
      <c r="C501" s="550" t="s">
        <v>1738</v>
      </c>
      <c r="D501" s="551" t="s">
        <v>1739</v>
      </c>
      <c r="E501" s="1042">
        <v>42697</v>
      </c>
      <c r="F501" s="550" t="s">
        <v>1740</v>
      </c>
      <c r="G501" s="895"/>
      <c r="H501" s="550"/>
      <c r="I501" s="1025">
        <v>121.7</v>
      </c>
      <c r="J501" s="1085" t="str">
        <f>IF(ISBLANK(I501)," ",IF(ISTEXT(I501)," ",IF(I501&lt;=[4]Нормативы!$H$82,"КМС",IF(I501&lt;=[4]Нормативы!$H$83,"КМС",IF(I501&lt;=[4]Нормативы!$L$84,"КМС",IF(I501&lt;=[4]Нормативы!$L$85,"I",IF(I501&lt;=[4]Нормативы!$L$86,"II",IF(I501&lt;=[4]Нормативы!$L$87,"III",IF(I501&lt;=[4]Нормативы!$L$88,"I юн",IF(I501&lt;=[4]Нормативы!$L$89,"II юн",IF(I501&lt;=[4]Нормативы!$L$90,"III юн","б/р")))))))))))</f>
        <v>б/р</v>
      </c>
      <c r="K501" s="880"/>
    </row>
    <row r="502" spans="1:11" x14ac:dyDescent="0.3">
      <c r="A502" s="1086">
        <v>5</v>
      </c>
      <c r="B502" s="550" t="s">
        <v>25</v>
      </c>
      <c r="C502" s="550" t="s">
        <v>1741</v>
      </c>
      <c r="D502" s="551" t="s">
        <v>1742</v>
      </c>
      <c r="E502" s="1042">
        <v>42705</v>
      </c>
      <c r="F502" s="550" t="s">
        <v>1430</v>
      </c>
      <c r="G502" s="895"/>
      <c r="H502" s="550"/>
      <c r="I502" s="1025">
        <v>121.87</v>
      </c>
      <c r="J502" s="1085" t="str">
        <f>IF(ISBLANK(I502)," ",IF(ISTEXT(I502)," ",IF(I502&lt;=[4]Нормативы!$H$82,"КМС",IF(I502&lt;=[4]Нормативы!$H$83,"КМС",IF(I502&lt;=[4]Нормативы!$L$84,"КМС",IF(I502&lt;=[4]Нормативы!$L$85,"I",IF(I502&lt;=[4]Нормативы!$L$86,"II",IF(I502&lt;=[4]Нормативы!$L$87,"III",IF(I502&lt;=[4]Нормативы!$L$88,"I юн",IF(I502&lt;=[4]Нормативы!$L$89,"II юн",IF(I502&lt;=[4]Нормативы!$L$90,"III юн","б/р")))))))))))</f>
        <v>б/р</v>
      </c>
      <c r="K502" s="885"/>
    </row>
    <row r="503" spans="1:11" x14ac:dyDescent="0.3">
      <c r="A503" s="1086">
        <v>6</v>
      </c>
      <c r="B503" s="550" t="s">
        <v>25</v>
      </c>
      <c r="C503" s="550" t="s">
        <v>1736</v>
      </c>
      <c r="D503" s="551" t="s">
        <v>1737</v>
      </c>
      <c r="E503" s="1042">
        <v>42568</v>
      </c>
      <c r="F503" s="550" t="s">
        <v>1430</v>
      </c>
      <c r="G503" s="895"/>
      <c r="H503" s="550"/>
      <c r="I503" s="1025">
        <v>122.38</v>
      </c>
      <c r="J503" s="1085" t="str">
        <f>IF(ISBLANK(I503)," ",IF(ISTEXT(I503)," ",IF(I503&lt;=[4]Нормативы!$H$82,"КМС",IF(I503&lt;=[4]Нормативы!$H$83,"КМС",IF(I503&lt;=[4]Нормативы!$L$84,"КМС",IF(I503&lt;=[4]Нормативы!$L$85,"I",IF(I503&lt;=[4]Нормативы!$L$86,"II",IF(I503&lt;=[4]Нормативы!$L$87,"III",IF(I503&lt;=[4]Нормативы!$L$88,"I юн",IF(I503&lt;=[4]Нормативы!$L$89,"II юн",IF(I503&lt;=[4]Нормативы!$L$90,"III юн","б/р")))))))))))</f>
        <v>б/р</v>
      </c>
    </row>
    <row r="504" spans="1:11" x14ac:dyDescent="0.3">
      <c r="A504" s="1086">
        <v>7</v>
      </c>
      <c r="B504" s="550" t="s">
        <v>25</v>
      </c>
      <c r="C504" s="550" t="s">
        <v>1747</v>
      </c>
      <c r="D504" s="551" t="s">
        <v>1748</v>
      </c>
      <c r="E504" s="1042">
        <v>42447</v>
      </c>
      <c r="F504" s="550" t="s">
        <v>1598</v>
      </c>
      <c r="G504" s="895"/>
      <c r="H504" s="550"/>
      <c r="I504" s="1025">
        <v>122.45</v>
      </c>
      <c r="J504" s="1085" t="str">
        <f>IF(ISBLANK(I504)," ",IF(ISTEXT(I504)," ",IF(I504&lt;=[4]Нормативы!$H$82,"КМС",IF(I504&lt;=[4]Нормативы!$H$83,"КМС",IF(I504&lt;=[4]Нормативы!$L$84,"КМС",IF(I504&lt;=[4]Нормативы!$L$85,"I",IF(I504&lt;=[4]Нормативы!$L$86,"II",IF(I504&lt;=[4]Нормативы!$L$87,"III",IF(I504&lt;=[4]Нормативы!$L$88,"I юн",IF(I504&lt;=[4]Нормативы!$L$89,"II юн",IF(I504&lt;=[4]Нормативы!$L$90,"III юн","б/р")))))))))))</f>
        <v>б/р</v>
      </c>
    </row>
    <row r="505" spans="1:11" x14ac:dyDescent="0.3">
      <c r="A505" s="1086">
        <v>8</v>
      </c>
      <c r="B505" s="550" t="s">
        <v>25</v>
      </c>
      <c r="C505" s="550" t="s">
        <v>1732</v>
      </c>
      <c r="D505" s="551" t="s">
        <v>1733</v>
      </c>
      <c r="E505" s="1042">
        <v>42774</v>
      </c>
      <c r="F505" s="550" t="s">
        <v>1596</v>
      </c>
      <c r="G505" s="895"/>
      <c r="H505" s="550"/>
      <c r="I505" s="1025">
        <v>122.53</v>
      </c>
      <c r="J505" s="1085" t="str">
        <f>IF(ISBLANK(I505)," ",IF(ISTEXT(I505)," ",IF(I505&lt;=[4]Нормативы!$H$82,"КМС",IF(I505&lt;=[4]Нормативы!$H$83,"КМС",IF(I505&lt;=[4]Нормативы!$L$84,"КМС",IF(I505&lt;=[4]Нормативы!$L$85,"I",IF(I505&lt;=[4]Нормативы!$L$86,"II",IF(I505&lt;=[4]Нормативы!$L$87,"III",IF(I505&lt;=[4]Нормативы!$L$88,"I юн",IF(I505&lt;=[4]Нормативы!$L$89,"II юн",IF(I505&lt;=[4]Нормативы!$L$90,"III юн","б/р")))))))))))</f>
        <v>б/р</v>
      </c>
    </row>
    <row r="506" spans="1:11" x14ac:dyDescent="0.3">
      <c r="A506" s="1086">
        <v>9</v>
      </c>
      <c r="B506" s="550" t="s">
        <v>25</v>
      </c>
      <c r="C506" s="550" t="s">
        <v>1754</v>
      </c>
      <c r="D506" s="551" t="s">
        <v>1755</v>
      </c>
      <c r="E506" s="1042">
        <v>42486</v>
      </c>
      <c r="F506" s="550" t="s">
        <v>1640</v>
      </c>
      <c r="G506" s="895"/>
      <c r="H506" s="550"/>
      <c r="I506" s="1025">
        <v>123.54</v>
      </c>
      <c r="J506" s="1085" t="str">
        <f>IF(ISBLANK(I506)," ",IF(ISTEXT(I506)," ",IF(I506&lt;=[4]Нормативы!$H$82,"КМС",IF(I506&lt;=[4]Нормативы!$H$83,"КМС",IF(I506&lt;=[4]Нормативы!$L$84,"КМС",IF(I506&lt;=[4]Нормативы!$L$85,"I",IF(I506&lt;=[4]Нормативы!$L$86,"II",IF(I506&lt;=[4]Нормативы!$L$87,"III",IF(I506&lt;=[4]Нормативы!$L$88,"I юн",IF(I506&lt;=[4]Нормативы!$L$89,"II юн",IF(I506&lt;=[4]Нормативы!$L$90,"III юн","б/р")))))))))))</f>
        <v>б/р</v>
      </c>
    </row>
    <row r="507" spans="1:11" x14ac:dyDescent="0.3">
      <c r="A507" s="1086">
        <v>10</v>
      </c>
      <c r="B507" s="550" t="s">
        <v>25</v>
      </c>
      <c r="C507" s="550" t="s">
        <v>1730</v>
      </c>
      <c r="D507" s="551" t="s">
        <v>1731</v>
      </c>
      <c r="E507" s="1042">
        <v>43045</v>
      </c>
      <c r="F507" s="550" t="s">
        <v>1430</v>
      </c>
      <c r="G507" s="895"/>
      <c r="H507" s="550"/>
      <c r="I507" s="1025">
        <v>123.67</v>
      </c>
      <c r="J507" s="1085" t="str">
        <f>IF(ISBLANK(I507)," ",IF(ISTEXT(I507)," ",IF(I507&lt;=[4]Нормативы!$H$82,"КМС",IF(I507&lt;=[4]Нормативы!$H$83,"КМС",IF(I507&lt;=[4]Нормативы!$L$84,"КМС",IF(I507&lt;=[4]Нормативы!$L$85,"I",IF(I507&lt;=[4]Нормативы!$L$86,"II",IF(I507&lt;=[4]Нормативы!$L$87,"III",IF(I507&lt;=[4]Нормативы!$L$88,"I юн",IF(I507&lt;=[4]Нормативы!$L$89,"II юн",IF(I507&lt;=[4]Нормативы!$L$90,"III юн","б/р")))))))))))</f>
        <v>б/р</v>
      </c>
    </row>
    <row r="508" spans="1:11" x14ac:dyDescent="0.3">
      <c r="A508" s="1086">
        <v>11</v>
      </c>
      <c r="B508" s="550" t="s">
        <v>25</v>
      </c>
      <c r="C508" s="550" t="s">
        <v>1751</v>
      </c>
      <c r="D508" s="551" t="s">
        <v>1752</v>
      </c>
      <c r="E508" s="1042">
        <v>43200</v>
      </c>
      <c r="F508" s="550" t="s">
        <v>1430</v>
      </c>
      <c r="G508" s="895"/>
      <c r="H508" s="550"/>
      <c r="I508" s="1025">
        <v>123.67</v>
      </c>
      <c r="J508" s="1085" t="str">
        <f>IF(ISBLANK(I508)," ",IF(ISTEXT(I508)," ",IF(I508&lt;=[4]Нормативы!$H$82,"КМС",IF(I508&lt;=[4]Нормативы!$H$83,"КМС",IF(I508&lt;=[4]Нормативы!$L$84,"КМС",IF(I508&lt;=[4]Нормативы!$L$85,"I",IF(I508&lt;=[4]Нормативы!$L$86,"II",IF(I508&lt;=[4]Нормативы!$L$87,"III",IF(I508&lt;=[4]Нормативы!$L$88,"I юн",IF(I508&lt;=[4]Нормативы!$L$89,"II юн",IF(I508&lt;=[4]Нормативы!$L$90,"III юн","б/р")))))))))))</f>
        <v>б/р</v>
      </c>
    </row>
    <row r="509" spans="1:11" x14ac:dyDescent="0.3">
      <c r="A509" s="1086">
        <v>12</v>
      </c>
      <c r="B509" s="550" t="s">
        <v>25</v>
      </c>
      <c r="C509" s="550" t="s">
        <v>1749</v>
      </c>
      <c r="D509" s="551" t="s">
        <v>1750</v>
      </c>
      <c r="E509" s="1042">
        <v>42627</v>
      </c>
      <c r="F509" s="550" t="s">
        <v>1640</v>
      </c>
      <c r="G509" s="895"/>
      <c r="H509" s="550"/>
      <c r="I509" s="1025">
        <v>125.01</v>
      </c>
      <c r="J509" s="1085" t="str">
        <f>IF(ISBLANK(I509)," ",IF(ISTEXT(I509)," ",IF(I509&lt;=[4]Нормативы!$H$82,"КМС",IF(I509&lt;=[4]Нормативы!$H$83,"КМС",IF(I509&lt;=[4]Нормативы!$L$84,"КМС",IF(I509&lt;=[4]Нормативы!$L$85,"I",IF(I509&lt;=[4]Нормативы!$L$86,"II",IF(I509&lt;=[4]Нормативы!$L$87,"III",IF(I509&lt;=[4]Нормативы!$L$88,"I юн",IF(I509&lt;=[4]Нормативы!$L$89,"II юн",IF(I509&lt;=[4]Нормативы!$L$90,"III юн","б/р")))))))))))</f>
        <v>б/р</v>
      </c>
    </row>
    <row r="510" spans="1:11" x14ac:dyDescent="0.3">
      <c r="A510" s="1086">
        <v>13</v>
      </c>
      <c r="B510" s="550" t="s">
        <v>25</v>
      </c>
      <c r="C510" s="550" t="s">
        <v>1728</v>
      </c>
      <c r="D510" s="551" t="s">
        <v>1729</v>
      </c>
      <c r="E510" s="1042">
        <v>42919</v>
      </c>
      <c r="F510" s="550" t="s">
        <v>1430</v>
      </c>
      <c r="G510" s="895"/>
      <c r="H510" s="550"/>
      <c r="I510" s="1025">
        <v>128.32</v>
      </c>
      <c r="J510" s="1085" t="str">
        <f>IF(ISBLANK(I510)," ",IF(ISTEXT(I510)," ",IF(I510&lt;=[4]Нормативы!$H$82,"КМС",IF(I510&lt;=[4]Нормативы!$H$83,"КМС",IF(I510&lt;=[4]Нормативы!$L$84,"КМС",IF(I510&lt;=[4]Нормативы!$L$85,"I",IF(I510&lt;=[4]Нормативы!$L$86,"II",IF(I510&lt;=[4]Нормативы!$L$87,"III",IF(I510&lt;=[4]Нормативы!$L$88,"I юн",IF(I510&lt;=[4]Нормативы!$L$89,"II юн",IF(I510&lt;=[4]Нормативы!$L$90,"III юн","б/р")))))))))))</f>
        <v>б/р</v>
      </c>
    </row>
    <row r="511" spans="1:11" x14ac:dyDescent="0.3">
      <c r="A511" s="1086">
        <v>14</v>
      </c>
      <c r="B511" s="550" t="s">
        <v>25</v>
      </c>
      <c r="C511" s="550" t="s">
        <v>1734</v>
      </c>
      <c r="D511" s="551" t="s">
        <v>1735</v>
      </c>
      <c r="E511" s="1042">
        <v>42446</v>
      </c>
      <c r="F511" s="550" t="s">
        <v>1596</v>
      </c>
      <c r="G511" s="895"/>
      <c r="H511" s="550"/>
      <c r="I511" s="1025">
        <v>130.80000000000001</v>
      </c>
      <c r="J511" s="1085" t="str">
        <f>IF(ISBLANK(I511)," ",IF(ISTEXT(I511)," ",IF(I511&lt;=[4]Нормативы!$H$82,"КМС",IF(I511&lt;=[4]Нормативы!$H$83,"КМС",IF(I511&lt;=[4]Нормативы!$L$84,"КМС",IF(I511&lt;=[4]Нормативы!$L$85,"I",IF(I511&lt;=[4]Нормативы!$L$86,"II",IF(I511&lt;=[4]Нормативы!$L$87,"III",IF(I511&lt;=[4]Нормативы!$L$88,"I юн",IF(I511&lt;=[4]Нормативы!$L$89,"II юн",IF(I511&lt;=[4]Нормативы!$L$90,"III юн","б/р")))))))))))</f>
        <v>б/р</v>
      </c>
    </row>
    <row r="512" spans="1:11" x14ac:dyDescent="0.3">
      <c r="A512" s="1086">
        <v>15</v>
      </c>
      <c r="B512" s="550" t="s">
        <v>25</v>
      </c>
      <c r="C512" s="550" t="s">
        <v>1726</v>
      </c>
      <c r="D512" s="551" t="s">
        <v>1727</v>
      </c>
      <c r="E512" s="1042">
        <v>43045</v>
      </c>
      <c r="F512" s="550" t="s">
        <v>1430</v>
      </c>
      <c r="G512" s="895"/>
      <c r="H512" s="550"/>
      <c r="I512" s="1025">
        <v>131.16</v>
      </c>
      <c r="J512" s="1085" t="str">
        <f>IF(ISBLANK(I512)," ",IF(ISTEXT(I512)," ",IF(I512&lt;=[4]Нормативы!$H$82,"КМС",IF(I512&lt;=[4]Нормативы!$H$83,"КМС",IF(I512&lt;=[4]Нормативы!$L$84,"КМС",IF(I512&lt;=[4]Нормативы!$L$85,"I",IF(I512&lt;=[4]Нормативы!$L$86,"II",IF(I512&lt;=[4]Нормативы!$L$87,"III",IF(I512&lt;=[4]Нормативы!$L$88,"I юн",IF(I512&lt;=[4]Нормативы!$L$89,"II юн",IF(I512&lt;=[4]Нормативы!$L$90,"III юн","б/р")))))))))))</f>
        <v>б/р</v>
      </c>
    </row>
    <row r="513" spans="1:10" x14ac:dyDescent="0.3">
      <c r="A513" s="1086">
        <v>16</v>
      </c>
      <c r="B513" s="550" t="s">
        <v>25</v>
      </c>
      <c r="C513" s="550" t="s">
        <v>1724</v>
      </c>
      <c r="D513" s="551" t="s">
        <v>1725</v>
      </c>
      <c r="E513" s="1042">
        <v>42453</v>
      </c>
      <c r="F513" s="550" t="s">
        <v>1596</v>
      </c>
      <c r="G513" s="895"/>
      <c r="H513" s="550"/>
      <c r="I513" s="1025">
        <v>133.4</v>
      </c>
      <c r="J513" s="1085" t="str">
        <f>IF(ISBLANK(I513)," ",IF(ISTEXT(I513)," ",IF(I513&lt;=[4]Нормативы!$H$82,"КМС",IF(I513&lt;=[4]Нормативы!$H$83,"КМС",IF(I513&lt;=[4]Нормативы!$L$84,"КМС",IF(I513&lt;=[4]Нормативы!$L$85,"I",IF(I513&lt;=[4]Нормативы!$L$86,"II",IF(I513&lt;=[4]Нормативы!$L$87,"III",IF(I513&lt;=[4]Нормативы!$L$88,"I юн",IF(I513&lt;=[4]Нормативы!$L$89,"II юн",IF(I513&lt;=[4]Нормативы!$L$90,"III юн","б/р")))))))))))</f>
        <v>б/р</v>
      </c>
    </row>
    <row r="514" spans="1:10" x14ac:dyDescent="0.3">
      <c r="A514" s="1086">
        <v>17</v>
      </c>
      <c r="B514" s="550" t="s">
        <v>25</v>
      </c>
      <c r="C514" s="550" t="s">
        <v>1743</v>
      </c>
      <c r="D514" s="551" t="s">
        <v>1744</v>
      </c>
      <c r="E514" s="1042">
        <v>42919</v>
      </c>
      <c r="F514" s="550" t="s">
        <v>1452</v>
      </c>
      <c r="G514" s="895"/>
      <c r="H514" s="550"/>
      <c r="I514" s="1025">
        <v>141.94</v>
      </c>
      <c r="J514" s="1085" t="str">
        <f>IF(ISBLANK(I514)," ",IF(ISTEXT(I514)," ",IF(I514&lt;=[4]Нормативы!$H$82,"КМС",IF(I514&lt;=[4]Нормативы!$H$83,"КМС",IF(I514&lt;=[4]Нормативы!$L$84,"КМС",IF(I514&lt;=[4]Нормативы!$L$85,"I",IF(I514&lt;=[4]Нормативы!$L$86,"II",IF(I514&lt;=[4]Нормативы!$L$87,"III",IF(I514&lt;=[4]Нормативы!$L$88,"I юн",IF(I514&lt;=[4]Нормативы!$L$89,"II юн",IF(I514&lt;=[4]Нормативы!$L$90,"III юн","б/р")))))))))))</f>
        <v>б/р</v>
      </c>
    </row>
    <row r="515" spans="1:10" x14ac:dyDescent="0.3">
      <c r="A515" s="1086"/>
      <c r="B515" s="952"/>
      <c r="C515" s="947"/>
      <c r="D515" s="976"/>
      <c r="E515" s="981"/>
      <c r="F515" s="947"/>
      <c r="G515" s="947"/>
      <c r="H515" s="976"/>
      <c r="I515" s="982"/>
      <c r="J515" s="24"/>
    </row>
    <row r="516" spans="1:10" ht="15.6" x14ac:dyDescent="0.3">
      <c r="A516" s="1028"/>
      <c r="B516" s="374"/>
      <c r="C516" s="928" t="s">
        <v>2048</v>
      </c>
      <c r="D516" s="374"/>
      <c r="E516" s="374"/>
      <c r="F516" s="374"/>
      <c r="G516" s="374"/>
      <c r="H516" s="929"/>
      <c r="I516" s="1070"/>
      <c r="J516" s="300"/>
    </row>
    <row r="517" spans="1:10" x14ac:dyDescent="0.3">
      <c r="A517" s="1086"/>
      <c r="B517" s="1066"/>
      <c r="C517" s="225"/>
      <c r="D517" s="18"/>
      <c r="E517" s="914"/>
      <c r="F517" s="991"/>
      <c r="G517" s="991"/>
      <c r="H517" s="361"/>
      <c r="I517" s="1028"/>
      <c r="J517" s="300"/>
    </row>
    <row r="518" spans="1:10" x14ac:dyDescent="0.3">
      <c r="A518" s="1086">
        <v>1</v>
      </c>
      <c r="B518" s="550" t="s">
        <v>35</v>
      </c>
      <c r="C518" s="550" t="s">
        <v>1801</v>
      </c>
      <c r="D518" s="551" t="s">
        <v>1764</v>
      </c>
      <c r="E518" s="1042">
        <v>41797</v>
      </c>
      <c r="F518" s="550" t="s">
        <v>1596</v>
      </c>
      <c r="G518" s="895"/>
      <c r="H518" s="550"/>
      <c r="I518" s="1025">
        <v>57.89</v>
      </c>
      <c r="J518" s="1085" t="str">
        <f>IF(ISBLANK(I518)," ",IF(ISTEXT(I518)," ",IF(I518&lt;=[4]Нормативы!$H$82,"КМС",IF(I518&lt;=[4]Нормативы!$H$83,"КМС",IF(I518&lt;=[4]Нормативы!$L$84,"КМС",IF(I518&lt;=[4]Нормативы!$L$85,"I",IF(I518&lt;=[4]Нормативы!$L$86,"II",IF(I518&lt;=[4]Нормативы!$L$87,"III",IF(I518&lt;=[4]Нормативы!$L$88,"I юн",IF(I518&lt;=[4]Нормативы!$L$89,"II юн",IF(I518&lt;=[4]Нормативы!$L$90,"III юн","б/р")))))))))))</f>
        <v>III</v>
      </c>
    </row>
    <row r="519" spans="1:10" x14ac:dyDescent="0.3">
      <c r="A519" s="1086">
        <v>2</v>
      </c>
      <c r="B519" s="550" t="s">
        <v>35</v>
      </c>
      <c r="C519" s="550" t="s">
        <v>1342</v>
      </c>
      <c r="D519" s="551" t="s">
        <v>2021</v>
      </c>
      <c r="E519" s="1042">
        <v>41920</v>
      </c>
      <c r="F519" s="550" t="s">
        <v>1450</v>
      </c>
      <c r="G519" s="895"/>
      <c r="H519" s="550"/>
      <c r="I519" s="1025">
        <v>59.81</v>
      </c>
      <c r="J519" s="1085" t="str">
        <f>IF(ISBLANK(I519)," ",IF(ISTEXT(I519)," ",IF(I519&lt;=[4]Нормативы!$H$82,"КМС",IF(I519&lt;=[4]Нормативы!$H$83,"КМС",IF(I519&lt;=[4]Нормативы!$L$84,"КМС",IF(I519&lt;=[4]Нормативы!$L$85,"I",IF(I519&lt;=[4]Нормативы!$L$86,"II",IF(I519&lt;=[4]Нормативы!$L$87,"III",IF(I519&lt;=[4]Нормативы!$L$88,"I юн",IF(I519&lt;=[4]Нормативы!$L$89,"II юн",IF(I519&lt;=[4]Нормативы!$L$90,"III юн","б/р")))))))))))</f>
        <v>III</v>
      </c>
    </row>
    <row r="520" spans="1:10" x14ac:dyDescent="0.3">
      <c r="A520" s="1086">
        <v>3</v>
      </c>
      <c r="B520" s="550" t="s">
        <v>35</v>
      </c>
      <c r="C520" s="550" t="s">
        <v>1800</v>
      </c>
      <c r="D520" s="551" t="s">
        <v>1792</v>
      </c>
      <c r="E520" s="1042">
        <v>41692</v>
      </c>
      <c r="F520" s="550" t="s">
        <v>1430</v>
      </c>
      <c r="G520" s="895"/>
      <c r="H520" s="550"/>
      <c r="I520" s="1025">
        <v>101.38</v>
      </c>
      <c r="J520" s="1085" t="str">
        <f>IF(ISBLANK(I520)," ",IF(ISTEXT(I520)," ",IF(I520&lt;=[4]Нормативы!$H$82,"КМС",IF(I520&lt;=[4]Нормативы!$H$83,"КМС",IF(I520&lt;=[4]Нормативы!$L$84,"КМС",IF(I520&lt;=[4]Нормативы!$L$85,"I",IF(I520&lt;=[4]Нормативы!$L$86,"II",IF(I520&lt;=[4]Нормативы!$L$87,"III",IF(I520&lt;=[4]Нормативы!$L$88,"I юн",IF(I520&lt;=[4]Нормативы!$L$89,"II юн",IF(I520&lt;=[4]Нормативы!$L$90,"III юн","б/р")))))))))))</f>
        <v>I юн</v>
      </c>
    </row>
    <row r="521" spans="1:10" x14ac:dyDescent="0.3">
      <c r="A521" s="1086">
        <v>4</v>
      </c>
      <c r="B521" s="550" t="s">
        <v>1796</v>
      </c>
      <c r="C521" s="550" t="s">
        <v>1799</v>
      </c>
      <c r="D521" s="551" t="s">
        <v>1768</v>
      </c>
      <c r="E521" s="1042">
        <v>41713</v>
      </c>
      <c r="F521" s="550" t="s">
        <v>1640</v>
      </c>
      <c r="G521" s="895"/>
      <c r="H521" s="550"/>
      <c r="I521" s="1025">
        <v>104.63</v>
      </c>
      <c r="J521" s="1085" t="str">
        <f>IF(ISBLANK(I521)," ",IF(ISTEXT(I521)," ",IF(I521&lt;=[4]Нормативы!$H$82,"КМС",IF(I521&lt;=[4]Нормативы!$H$83,"КМС",IF(I521&lt;=[4]Нормативы!$L$84,"КМС",IF(I521&lt;=[4]Нормативы!$L$85,"I",IF(I521&lt;=[4]Нормативы!$L$86,"II",IF(I521&lt;=[4]Нормативы!$L$87,"III",IF(I521&lt;=[4]Нормативы!$L$88,"I юн",IF(I521&lt;=[4]Нормативы!$L$89,"II юн",IF(I521&lt;=[4]Нормативы!$L$90,"III юн","б/р")))))))))))</f>
        <v>I юн</v>
      </c>
    </row>
    <row r="522" spans="1:10" x14ac:dyDescent="0.3">
      <c r="A522" s="1086">
        <v>5</v>
      </c>
      <c r="B522" s="550" t="s">
        <v>35</v>
      </c>
      <c r="C522" s="550" t="s">
        <v>1938</v>
      </c>
      <c r="D522" s="551" t="s">
        <v>1737</v>
      </c>
      <c r="E522" s="1042">
        <v>42060</v>
      </c>
      <c r="F522" s="550" t="s">
        <v>1634</v>
      </c>
      <c r="G522" s="895"/>
      <c r="H522" s="550"/>
      <c r="I522" s="1025">
        <v>106.13</v>
      </c>
      <c r="J522" s="1085" t="str">
        <f>IF(ISBLANK(I522)," ",IF(ISTEXT(I522)," ",IF(I522&lt;=[4]Нормативы!$H$82,"КМС",IF(I522&lt;=[4]Нормативы!$H$83,"КМС",IF(I522&lt;=[4]Нормативы!$L$84,"КМС",IF(I522&lt;=[4]Нормативы!$L$85,"I",IF(I522&lt;=[4]Нормативы!$L$86,"II",IF(I522&lt;=[4]Нормативы!$L$87,"III",IF(I522&lt;=[4]Нормативы!$L$88,"I юн",IF(I522&lt;=[4]Нормативы!$L$89,"II юн",IF(I522&lt;=[4]Нормативы!$L$90,"III юн","б/р")))))))))))</f>
        <v>II юн</v>
      </c>
    </row>
    <row r="523" spans="1:10" x14ac:dyDescent="0.3">
      <c r="A523" s="1086">
        <v>6</v>
      </c>
      <c r="B523" s="550" t="s">
        <v>20</v>
      </c>
      <c r="C523" s="550" t="s">
        <v>1795</v>
      </c>
      <c r="D523" s="551" t="s">
        <v>1737</v>
      </c>
      <c r="E523" s="1042">
        <v>41686</v>
      </c>
      <c r="F523" s="550" t="s">
        <v>1430</v>
      </c>
      <c r="G523" s="895"/>
      <c r="H523" s="550"/>
      <c r="I523" s="1025">
        <v>107.4</v>
      </c>
      <c r="J523" s="1085" t="str">
        <f>IF(ISBLANK(I523)," ",IF(ISTEXT(I523)," ",IF(I523&lt;=[4]Нормативы!$H$82,"КМС",IF(I523&lt;=[4]Нормативы!$H$83,"КМС",IF(I523&lt;=[4]Нормативы!$L$84,"КМС",IF(I523&lt;=[4]Нормативы!$L$85,"I",IF(I523&lt;=[4]Нормативы!$L$86,"II",IF(I523&lt;=[4]Нормативы!$L$87,"III",IF(I523&lt;=[4]Нормативы!$L$88,"I юн",IF(I523&lt;=[4]Нормативы!$L$89,"II юн",IF(I523&lt;=[4]Нормативы!$L$90,"III юн","б/р")))))))))))</f>
        <v>II юн</v>
      </c>
    </row>
    <row r="524" spans="1:10" x14ac:dyDescent="0.3">
      <c r="A524" s="1086">
        <v>7</v>
      </c>
      <c r="B524" s="550" t="s">
        <v>20</v>
      </c>
      <c r="C524" s="550" t="s">
        <v>1790</v>
      </c>
      <c r="D524" s="551" t="s">
        <v>1739</v>
      </c>
      <c r="E524" s="1042">
        <v>42075</v>
      </c>
      <c r="F524" s="550" t="s">
        <v>1634</v>
      </c>
      <c r="G524" s="895"/>
      <c r="H524" s="550"/>
      <c r="I524" s="1025">
        <v>111.99</v>
      </c>
      <c r="J524" s="1085" t="str">
        <f>IF(ISBLANK(I524)," ",IF(ISTEXT(I524)," ",IF(I524&lt;=[4]Нормативы!$H$82,"КМС",IF(I524&lt;=[4]Нормативы!$H$83,"КМС",IF(I524&lt;=[4]Нормативы!$L$84,"КМС",IF(I524&lt;=[4]Нормативы!$L$85,"I",IF(I524&lt;=[4]Нормативы!$L$86,"II",IF(I524&lt;=[4]Нормативы!$L$87,"III",IF(I524&lt;=[4]Нормативы!$L$88,"I юн",IF(I524&lt;=[4]Нормативы!$L$89,"II юн",IF(I524&lt;=[4]Нормативы!$L$90,"III юн","б/р")))))))))))</f>
        <v>III юн</v>
      </c>
    </row>
    <row r="525" spans="1:10" x14ac:dyDescent="0.3">
      <c r="A525" s="1086">
        <v>8</v>
      </c>
      <c r="B525" s="24" t="s">
        <v>21</v>
      </c>
      <c r="C525" s="551" t="s">
        <v>1791</v>
      </c>
      <c r="D525" s="890" t="s">
        <v>1792</v>
      </c>
      <c r="E525" s="1042">
        <v>41935</v>
      </c>
      <c r="F525" s="24" t="str">
        <f>'[1]Техническая один зачет'!$E$16</f>
        <v>КСШ г. Ачинск</v>
      </c>
      <c r="G525" s="895"/>
      <c r="H525" s="550"/>
      <c r="I525" s="1025">
        <v>112.59</v>
      </c>
      <c r="J525" s="1085" t="str">
        <f>IF(ISBLANK(I525)," ",IF(ISTEXT(I525)," ",IF(I525&lt;=[4]Нормативы!$H$82,"КМС",IF(I525&lt;=[4]Нормативы!$H$83,"КМС",IF(I525&lt;=[4]Нормативы!$L$84,"КМС",IF(I525&lt;=[4]Нормативы!$L$85,"I",IF(I525&lt;=[4]Нормативы!$L$86,"II",IF(I525&lt;=[4]Нормативы!$L$87,"III",IF(I525&lt;=[4]Нормативы!$L$88,"I юн",IF(I525&lt;=[4]Нормативы!$L$89,"II юн",IF(I525&lt;=[4]Нормативы!$L$90,"III юн","б/р")))))))))))</f>
        <v>III юн</v>
      </c>
    </row>
    <row r="526" spans="1:10" x14ac:dyDescent="0.3">
      <c r="A526" s="1086">
        <v>9</v>
      </c>
      <c r="B526" s="550" t="s">
        <v>20</v>
      </c>
      <c r="C526" s="550" t="s">
        <v>1937</v>
      </c>
      <c r="D526" s="551" t="s">
        <v>1862</v>
      </c>
      <c r="E526" s="1042">
        <v>42068</v>
      </c>
      <c r="F526" s="550" t="s">
        <v>1634</v>
      </c>
      <c r="G526" s="895"/>
      <c r="H526" s="550"/>
      <c r="I526" s="1025">
        <v>112.59</v>
      </c>
      <c r="J526" s="1085" t="str">
        <f>IF(ISBLANK(I526)," ",IF(ISTEXT(I526)," ",IF(I526&lt;=[4]Нормативы!$H$82,"КМС",IF(I526&lt;=[4]Нормативы!$H$83,"КМС",IF(I526&lt;=[4]Нормативы!$L$84,"КМС",IF(I526&lt;=[4]Нормативы!$L$85,"I",IF(I526&lt;=[4]Нормативы!$L$86,"II",IF(I526&lt;=[4]Нормативы!$L$87,"III",IF(I526&lt;=[4]Нормативы!$L$88,"I юн",IF(I526&lt;=[4]Нормативы!$L$89,"II юн",IF(I526&lt;=[4]Нормативы!$L$90,"III юн","б/р")))))))))))</f>
        <v>III юн</v>
      </c>
    </row>
    <row r="527" spans="1:10" x14ac:dyDescent="0.3">
      <c r="A527" s="1086">
        <v>10</v>
      </c>
      <c r="B527" s="550" t="s">
        <v>21</v>
      </c>
      <c r="C527" s="550" t="s">
        <v>1340</v>
      </c>
      <c r="D527" s="551" t="s">
        <v>1739</v>
      </c>
      <c r="E527" s="1042">
        <v>41939</v>
      </c>
      <c r="F527" s="550" t="s">
        <v>1450</v>
      </c>
      <c r="G527" s="895"/>
      <c r="H527" s="550"/>
      <c r="I527" s="1025">
        <v>112.96</v>
      </c>
      <c r="J527" s="1085" t="str">
        <f>IF(ISBLANK(I527)," ",IF(ISTEXT(I527)," ",IF(I527&lt;=[4]Нормативы!$H$82,"КМС",IF(I527&lt;=[4]Нормативы!$H$83,"КМС",IF(I527&lt;=[4]Нормативы!$L$84,"КМС",IF(I527&lt;=[4]Нормативы!$L$85,"I",IF(I527&lt;=[4]Нормативы!$L$86,"II",IF(I527&lt;=[4]Нормативы!$L$87,"III",IF(I527&lt;=[4]Нормативы!$L$88,"I юн",IF(I527&lt;=[4]Нормативы!$L$89,"II юн",IF(I527&lt;=[4]Нормативы!$L$90,"III юн","б/р")))))))))))</f>
        <v>III юн</v>
      </c>
    </row>
    <row r="528" spans="1:10" x14ac:dyDescent="0.3">
      <c r="A528" s="1086">
        <v>11</v>
      </c>
      <c r="B528" s="550" t="s">
        <v>21</v>
      </c>
      <c r="C528" s="550" t="s">
        <v>1786</v>
      </c>
      <c r="D528" s="551" t="s">
        <v>1787</v>
      </c>
      <c r="E528" s="1042">
        <v>41912</v>
      </c>
      <c r="F528" s="550" t="s">
        <v>1452</v>
      </c>
      <c r="G528" s="895"/>
      <c r="H528" s="550"/>
      <c r="I528" s="1025">
        <v>114.81</v>
      </c>
      <c r="J528" s="1085" t="str">
        <f>IF(ISBLANK(I528)," ",IF(ISTEXT(I528)," ",IF(I528&lt;=[4]Нормативы!$H$82,"КМС",IF(I528&lt;=[4]Нормативы!$H$83,"КМС",IF(I528&lt;=[4]Нормативы!$L$84,"КМС",IF(I528&lt;=[4]Нормативы!$L$85,"I",IF(I528&lt;=[4]Нормативы!$L$86,"II",IF(I528&lt;=[4]Нормативы!$L$87,"III",IF(I528&lt;=[4]Нормативы!$L$88,"I юн",IF(I528&lt;=[4]Нормативы!$L$89,"II юн",IF(I528&lt;=[4]Нормативы!$L$90,"III юн","б/р")))))))))))</f>
        <v>III юн</v>
      </c>
    </row>
    <row r="529" spans="1:10" x14ac:dyDescent="0.3">
      <c r="A529" s="1086">
        <v>12</v>
      </c>
      <c r="B529" s="550" t="s">
        <v>20</v>
      </c>
      <c r="C529" s="550" t="s">
        <v>1930</v>
      </c>
      <c r="D529" s="551" t="s">
        <v>1768</v>
      </c>
      <c r="E529" s="1042">
        <v>41918</v>
      </c>
      <c r="F529" s="550" t="s">
        <v>1250</v>
      </c>
      <c r="G529" s="895"/>
      <c r="H529" s="550"/>
      <c r="I529" s="1025">
        <v>114.87</v>
      </c>
      <c r="J529" s="1085" t="str">
        <f>IF(ISBLANK(I529)," ",IF(ISTEXT(I529)," ",IF(I529&lt;=[4]Нормативы!$H$82,"КМС",IF(I529&lt;=[4]Нормативы!$H$83,"КМС",IF(I529&lt;=[4]Нормативы!$L$84,"КМС",IF(I529&lt;=[4]Нормативы!$L$85,"I",IF(I529&lt;=[4]Нормативы!$L$86,"II",IF(I529&lt;=[4]Нормативы!$L$87,"III",IF(I529&lt;=[4]Нормативы!$L$88,"I юн",IF(I529&lt;=[4]Нормативы!$L$89,"II юн",IF(I529&lt;=[4]Нормативы!$L$90,"III юн","б/р")))))))))))</f>
        <v>III юн</v>
      </c>
    </row>
    <row r="530" spans="1:10" x14ac:dyDescent="0.3">
      <c r="A530" s="1086">
        <v>13</v>
      </c>
      <c r="B530" s="550" t="s">
        <v>21</v>
      </c>
      <c r="C530" s="550" t="s">
        <v>1779</v>
      </c>
      <c r="D530" s="551" t="s">
        <v>1733</v>
      </c>
      <c r="E530" s="1042">
        <v>41856</v>
      </c>
      <c r="F530" s="550" t="s">
        <v>1452</v>
      </c>
      <c r="G530" s="895"/>
      <c r="H530" s="550"/>
      <c r="I530" s="1025">
        <v>114.99</v>
      </c>
      <c r="J530" s="1085" t="str">
        <f>IF(ISBLANK(I530)," ",IF(ISTEXT(I530)," ",IF(I530&lt;=[4]Нормативы!$H$82,"КМС",IF(I530&lt;=[4]Нормативы!$H$83,"КМС",IF(I530&lt;=[4]Нормативы!$L$84,"КМС",IF(I530&lt;=[4]Нормативы!$L$85,"I",IF(I530&lt;=[4]Нормативы!$L$86,"II",IF(I530&lt;=[4]Нормативы!$L$87,"III",IF(I530&lt;=[4]Нормативы!$L$88,"I юн",IF(I530&lt;=[4]Нормативы!$L$89,"II юн",IF(I530&lt;=[4]Нормативы!$L$90,"III юн","б/р")))))))))))</f>
        <v>III юн</v>
      </c>
    </row>
    <row r="531" spans="1:10" x14ac:dyDescent="0.3">
      <c r="A531" s="1086">
        <v>14</v>
      </c>
      <c r="B531" s="550" t="s">
        <v>21</v>
      </c>
      <c r="C531" s="550" t="s">
        <v>1772</v>
      </c>
      <c r="D531" s="551" t="s">
        <v>1764</v>
      </c>
      <c r="E531" s="1042">
        <v>42315</v>
      </c>
      <c r="F531" s="550" t="s">
        <v>1596</v>
      </c>
      <c r="G531" s="895"/>
      <c r="H531" s="550"/>
      <c r="I531" s="1025">
        <v>115.81</v>
      </c>
      <c r="J531" s="1085" t="str">
        <f>IF(ISBLANK(I531)," ",IF(ISTEXT(I531)," ",IF(I531&lt;=[4]Нормативы!$H$82,"КМС",IF(I531&lt;=[4]Нормативы!$H$83,"КМС",IF(I531&lt;=[4]Нормативы!$L$84,"КМС",IF(I531&lt;=[4]Нормативы!$L$85,"I",IF(I531&lt;=[4]Нормативы!$L$86,"II",IF(I531&lt;=[4]Нормативы!$L$87,"III",IF(I531&lt;=[4]Нормативы!$L$88,"I юн",IF(I531&lt;=[4]Нормативы!$L$89,"II юн",IF(I531&lt;=[4]Нормативы!$L$90,"III юн","б/р")))))))))))</f>
        <v>III юн</v>
      </c>
    </row>
    <row r="532" spans="1:10" x14ac:dyDescent="0.3">
      <c r="A532" s="1086">
        <v>15</v>
      </c>
      <c r="B532" s="550" t="s">
        <v>21</v>
      </c>
      <c r="C532" s="550" t="s">
        <v>1920</v>
      </c>
      <c r="D532" s="551" t="s">
        <v>1737</v>
      </c>
      <c r="E532" s="1042">
        <v>42364</v>
      </c>
      <c r="F532" s="550" t="s">
        <v>1598</v>
      </c>
      <c r="G532" s="895"/>
      <c r="H532" s="550"/>
      <c r="I532" s="1025">
        <v>116.13</v>
      </c>
      <c r="J532" s="1085" t="str">
        <f>IF(ISBLANK(I532)," ",IF(ISTEXT(I532)," ",IF(I532&lt;=[4]Нормативы!$H$82,"КМС",IF(I532&lt;=[4]Нормативы!$H$83,"КМС",IF(I532&lt;=[4]Нормативы!$L$84,"КМС",IF(I532&lt;=[4]Нормативы!$L$85,"I",IF(I532&lt;=[4]Нормативы!$L$86,"II",IF(I532&lt;=[4]Нормативы!$L$87,"III",IF(I532&lt;=[4]Нормативы!$L$88,"I юн",IF(I532&lt;=[4]Нормативы!$L$89,"II юн",IF(I532&lt;=[4]Нормативы!$L$90,"III юн","б/р")))))))))))</f>
        <v>III юн</v>
      </c>
    </row>
    <row r="533" spans="1:10" x14ac:dyDescent="0.3">
      <c r="A533" s="1086">
        <v>16</v>
      </c>
      <c r="B533" s="550" t="s">
        <v>21</v>
      </c>
      <c r="C533" s="550" t="s">
        <v>1788</v>
      </c>
      <c r="D533" s="551" t="s">
        <v>1789</v>
      </c>
      <c r="E533" s="1042">
        <v>41722</v>
      </c>
      <c r="F533" s="550" t="s">
        <v>1596</v>
      </c>
      <c r="G533" s="895"/>
      <c r="H533" s="550"/>
      <c r="I533" s="1025">
        <v>116.88</v>
      </c>
      <c r="J533" s="1085" t="str">
        <f>IF(ISBLANK(I533)," ",IF(ISTEXT(I533)," ",IF(I533&lt;=[4]Нормативы!$H$82,"КМС",IF(I533&lt;=[4]Нормативы!$H$83,"КМС",IF(I533&lt;=[4]Нормативы!$L$84,"КМС",IF(I533&lt;=[4]Нормативы!$L$85,"I",IF(I533&lt;=[4]Нормативы!$L$86,"II",IF(I533&lt;=[4]Нормативы!$L$87,"III",IF(I533&lt;=[4]Нормативы!$L$88,"I юн",IF(I533&lt;=[4]Нормативы!$L$89,"II юн",IF(I533&lt;=[4]Нормативы!$L$90,"III юн","б/р")))))))))))</f>
        <v>III юн</v>
      </c>
    </row>
    <row r="534" spans="1:10" x14ac:dyDescent="0.3">
      <c r="A534" s="1086">
        <v>17</v>
      </c>
      <c r="B534" s="550" t="s">
        <v>23</v>
      </c>
      <c r="C534" s="551" t="s">
        <v>1780</v>
      </c>
      <c r="D534" s="890" t="s">
        <v>1781</v>
      </c>
      <c r="E534" s="1042">
        <v>42053</v>
      </c>
      <c r="F534" s="550" t="str">
        <f>'[1]Техническая один зачет'!$E$16</f>
        <v>КСШ г. Ачинск</v>
      </c>
      <c r="G534" s="895"/>
      <c r="H534" s="550"/>
      <c r="I534" s="1025">
        <v>117.88</v>
      </c>
      <c r="J534" s="1085" t="str">
        <f>IF(ISBLANK(I534)," ",IF(ISTEXT(I534)," ",IF(I534&lt;=[4]Нормативы!$H$82,"КМС",IF(I534&lt;=[4]Нормативы!$H$83,"КМС",IF(I534&lt;=[4]Нормативы!$L$84,"КМС",IF(I534&lt;=[4]Нормативы!$L$85,"I",IF(I534&lt;=[4]Нормативы!$L$86,"II",IF(I534&lt;=[4]Нормативы!$L$87,"III",IF(I534&lt;=[4]Нормативы!$L$88,"I юн",IF(I534&lt;=[4]Нормативы!$L$89,"II юн",IF(I534&lt;=[4]Нормативы!$L$90,"III юн","б/р")))))))))))</f>
        <v>б/р</v>
      </c>
    </row>
    <row r="535" spans="1:10" x14ac:dyDescent="0.3">
      <c r="A535" s="1086">
        <v>18</v>
      </c>
      <c r="B535" s="550" t="s">
        <v>25</v>
      </c>
      <c r="C535" s="550" t="s">
        <v>1765</v>
      </c>
      <c r="D535" s="551" t="s">
        <v>1766</v>
      </c>
      <c r="E535" s="1042">
        <v>42185</v>
      </c>
      <c r="F535" s="550" t="s">
        <v>1740</v>
      </c>
      <c r="G535" s="895"/>
      <c r="H535" s="550"/>
      <c r="I535" s="1025">
        <v>119.32</v>
      </c>
      <c r="J535" s="1085" t="str">
        <f>IF(ISBLANK(I535)," ",IF(ISTEXT(I535)," ",IF(I535&lt;=[4]Нормативы!$H$82,"КМС",IF(I535&lt;=[4]Нормативы!$H$83,"КМС",IF(I535&lt;=[4]Нормативы!$L$84,"КМС",IF(I535&lt;=[4]Нормативы!$L$85,"I",IF(I535&lt;=[4]Нормативы!$L$86,"II",IF(I535&lt;=[4]Нормативы!$L$87,"III",IF(I535&lt;=[4]Нормативы!$L$88,"I юн",IF(I535&lt;=[4]Нормативы!$L$89,"II юн",IF(I535&lt;=[4]Нормативы!$L$90,"III юн","б/р")))))))))))</f>
        <v>б/р</v>
      </c>
    </row>
    <row r="536" spans="1:10" x14ac:dyDescent="0.3">
      <c r="A536" s="1086">
        <v>19</v>
      </c>
      <c r="B536" s="550" t="s">
        <v>1638</v>
      </c>
      <c r="C536" s="550" t="s">
        <v>1784</v>
      </c>
      <c r="D536" s="551" t="s">
        <v>1785</v>
      </c>
      <c r="E536" s="1042">
        <v>42343</v>
      </c>
      <c r="F536" s="550" t="s">
        <v>1640</v>
      </c>
      <c r="G536" s="895"/>
      <c r="H536" s="550"/>
      <c r="I536" s="1025">
        <v>119.95</v>
      </c>
      <c r="J536" s="1085" t="str">
        <f>IF(ISBLANK(I536)," ",IF(ISTEXT(I536)," ",IF(I536&lt;=[4]Нормативы!$H$82,"КМС",IF(I536&lt;=[4]Нормативы!$H$83,"КМС",IF(I536&lt;=[4]Нормативы!$L$84,"КМС",IF(I536&lt;=[4]Нормативы!$L$85,"I",IF(I536&lt;=[4]Нормативы!$L$86,"II",IF(I536&lt;=[4]Нормативы!$L$87,"III",IF(I536&lt;=[4]Нормативы!$L$88,"I юн",IF(I536&lt;=[4]Нормативы!$L$89,"II юн",IF(I536&lt;=[4]Нормативы!$L$90,"III юн","б/р")))))))))))</f>
        <v>б/р</v>
      </c>
    </row>
    <row r="537" spans="1:10" x14ac:dyDescent="0.3">
      <c r="A537" s="1086">
        <v>20</v>
      </c>
      <c r="B537" s="550" t="s">
        <v>21</v>
      </c>
      <c r="C537" s="550" t="s">
        <v>1774</v>
      </c>
      <c r="D537" s="551" t="s">
        <v>1775</v>
      </c>
      <c r="E537" s="1042">
        <v>42218</v>
      </c>
      <c r="F537" s="550" t="s">
        <v>1596</v>
      </c>
      <c r="G537" s="895"/>
      <c r="H537" s="550"/>
      <c r="I537" s="1025">
        <v>120.45</v>
      </c>
      <c r="J537" s="1085" t="str">
        <f>IF(ISBLANK(I537)," ",IF(ISTEXT(I537)," ",IF(I537&lt;=[4]Нормативы!$H$82,"КМС",IF(I537&lt;=[4]Нормативы!$H$83,"КМС",IF(I537&lt;=[4]Нормативы!$L$84,"КМС",IF(I537&lt;=[4]Нормативы!$L$85,"I",IF(I537&lt;=[4]Нормативы!$L$86,"II",IF(I537&lt;=[4]Нормативы!$L$87,"III",IF(I537&lt;=[4]Нормативы!$L$88,"I юн",IF(I537&lt;=[4]Нормативы!$L$89,"II юн",IF(I537&lt;=[4]Нормативы!$L$90,"III юн","б/р")))))))))))</f>
        <v>б/р</v>
      </c>
    </row>
    <row r="538" spans="1:10" x14ac:dyDescent="0.3">
      <c r="A538" s="1086">
        <v>21</v>
      </c>
      <c r="B538" s="550" t="s">
        <v>25</v>
      </c>
      <c r="C538" s="550" t="s">
        <v>1769</v>
      </c>
      <c r="D538" s="551" t="s">
        <v>1752</v>
      </c>
      <c r="E538" s="1042">
        <v>42021</v>
      </c>
      <c r="F538" s="550" t="s">
        <v>1596</v>
      </c>
      <c r="G538" s="895"/>
      <c r="H538" s="550"/>
      <c r="I538" s="1025">
        <v>121.75</v>
      </c>
      <c r="J538" s="1085" t="str">
        <f>IF(ISBLANK(I538)," ",IF(ISTEXT(I538)," ",IF(I538&lt;=[4]Нормативы!$H$82,"КМС",IF(I538&lt;=[4]Нормативы!$H$83,"КМС",IF(I538&lt;=[4]Нормативы!$L$84,"КМС",IF(I538&lt;=[4]Нормативы!$L$85,"I",IF(I538&lt;=[4]Нормативы!$L$86,"II",IF(I538&lt;=[4]Нормативы!$L$87,"III",IF(I538&lt;=[4]Нормативы!$L$88,"I юн",IF(I538&lt;=[4]Нормативы!$L$89,"II юн",IF(I538&lt;=[4]Нормативы!$L$90,"III юн","б/р")))))))))))</f>
        <v>б/р</v>
      </c>
    </row>
    <row r="539" spans="1:10" x14ac:dyDescent="0.3">
      <c r="A539" s="1086">
        <v>22</v>
      </c>
      <c r="B539" s="550" t="s">
        <v>25</v>
      </c>
      <c r="C539" s="550" t="s">
        <v>1767</v>
      </c>
      <c r="D539" s="551" t="s">
        <v>1768</v>
      </c>
      <c r="E539" s="1042">
        <v>42357</v>
      </c>
      <c r="F539" s="550" t="s">
        <v>1598</v>
      </c>
      <c r="G539" s="895"/>
      <c r="H539" s="550"/>
      <c r="I539" s="1025">
        <v>122.25</v>
      </c>
      <c r="J539" s="1085" t="str">
        <f>IF(ISBLANK(I539)," ",IF(ISTEXT(I539)," ",IF(I539&lt;=[4]Нормативы!$H$82,"КМС",IF(I539&lt;=[4]Нормативы!$H$83,"КМС",IF(I539&lt;=[4]Нормативы!$L$84,"КМС",IF(I539&lt;=[4]Нормативы!$L$85,"I",IF(I539&lt;=[4]Нормативы!$L$86,"II",IF(I539&lt;=[4]Нормативы!$L$87,"III",IF(I539&lt;=[4]Нормативы!$L$88,"I юн",IF(I539&lt;=[4]Нормативы!$L$89,"II юн",IF(I539&lt;=[4]Нормативы!$L$90,"III юн","б/р")))))))))))</f>
        <v>б/р</v>
      </c>
    </row>
    <row r="540" spans="1:10" x14ac:dyDescent="0.3">
      <c r="A540" s="1086">
        <v>23</v>
      </c>
      <c r="B540" s="550" t="s">
        <v>25</v>
      </c>
      <c r="C540" s="550" t="s">
        <v>1762</v>
      </c>
      <c r="D540" s="551" t="s">
        <v>1737</v>
      </c>
      <c r="E540" s="1042">
        <v>42312</v>
      </c>
      <c r="F540" s="550" t="s">
        <v>1596</v>
      </c>
      <c r="G540" s="895"/>
      <c r="H540" s="550"/>
      <c r="I540" s="1025">
        <v>122.26</v>
      </c>
      <c r="J540" s="1085" t="str">
        <f>IF(ISBLANK(I540)," ",IF(ISTEXT(I540)," ",IF(I540&lt;=[4]Нормативы!$H$82,"КМС",IF(I540&lt;=[4]Нормативы!$H$83,"КМС",IF(I540&lt;=[4]Нормативы!$L$84,"КМС",IF(I540&lt;=[4]Нормативы!$L$85,"I",IF(I540&lt;=[4]Нормативы!$L$86,"II",IF(I540&lt;=[4]Нормативы!$L$87,"III",IF(I540&lt;=[4]Нормативы!$L$88,"I юн",IF(I540&lt;=[4]Нормативы!$L$89,"II юн",IF(I540&lt;=[4]Нормативы!$L$90,"III юн","б/р")))))))))))</f>
        <v>б/р</v>
      </c>
    </row>
    <row r="541" spans="1:10" x14ac:dyDescent="0.3">
      <c r="A541" s="1086">
        <v>24</v>
      </c>
      <c r="B541" s="550" t="s">
        <v>25</v>
      </c>
      <c r="C541" s="550" t="s">
        <v>1770</v>
      </c>
      <c r="D541" s="551" t="s">
        <v>1742</v>
      </c>
      <c r="E541" s="1042">
        <v>42065</v>
      </c>
      <c r="F541" s="550" t="s">
        <v>1596</v>
      </c>
      <c r="G541" s="895"/>
      <c r="H541" s="550"/>
      <c r="I541" s="1025">
        <v>123.13</v>
      </c>
      <c r="J541" s="1085" t="str">
        <f>IF(ISBLANK(I541)," ",IF(ISTEXT(I541)," ",IF(I541&lt;=[4]Нормативы!$H$82,"КМС",IF(I541&lt;=[4]Нормативы!$H$83,"КМС",IF(I541&lt;=[4]Нормативы!$L$84,"КМС",IF(I541&lt;=[4]Нормативы!$L$85,"I",IF(I541&lt;=[4]Нормативы!$L$86,"II",IF(I541&lt;=[4]Нормативы!$L$87,"III",IF(I541&lt;=[4]Нормативы!$L$88,"I юн",IF(I541&lt;=[4]Нормативы!$L$89,"II юн",IF(I541&lt;=[4]Нормативы!$L$90,"III юн","б/р")))))))))))</f>
        <v>б/р</v>
      </c>
    </row>
    <row r="542" spans="1:10" x14ac:dyDescent="0.3">
      <c r="A542" s="1086">
        <v>25</v>
      </c>
      <c r="B542" s="550" t="s">
        <v>25</v>
      </c>
      <c r="C542" s="550" t="s">
        <v>1758</v>
      </c>
      <c r="D542" s="551" t="s">
        <v>1750</v>
      </c>
      <c r="E542" s="1042">
        <v>42355</v>
      </c>
      <c r="F542" s="550" t="s">
        <v>1596</v>
      </c>
      <c r="G542" s="895"/>
      <c r="H542" s="550"/>
      <c r="I542" s="1025">
        <v>124.26</v>
      </c>
      <c r="J542" s="1085" t="str">
        <f>IF(ISBLANK(I542)," ",IF(ISTEXT(I542)," ",IF(I542&lt;=[4]Нормативы!$H$82,"КМС",IF(I542&lt;=[4]Нормативы!$H$83,"КМС",IF(I542&lt;=[4]Нормативы!$L$84,"КМС",IF(I542&lt;=[4]Нормативы!$L$85,"I",IF(I542&lt;=[4]Нормативы!$L$86,"II",IF(I542&lt;=[4]Нормативы!$L$87,"III",IF(I542&lt;=[4]Нормативы!$L$88,"I юн",IF(I542&lt;=[4]Нормативы!$L$89,"II юн",IF(I542&lt;=[4]Нормативы!$L$90,"III юн","б/р")))))))))))</f>
        <v>б/р</v>
      </c>
    </row>
    <row r="543" spans="1:10" x14ac:dyDescent="0.3">
      <c r="A543" s="1086">
        <v>26</v>
      </c>
      <c r="B543" s="550" t="s">
        <v>25</v>
      </c>
      <c r="C543" s="550" t="s">
        <v>1761</v>
      </c>
      <c r="D543" s="551" t="s">
        <v>1725</v>
      </c>
      <c r="E543" s="1042">
        <v>42184</v>
      </c>
      <c r="F543" s="550" t="s">
        <v>1628</v>
      </c>
      <c r="G543" s="895"/>
      <c r="H543" s="550"/>
      <c r="I543" s="1025">
        <v>124.49</v>
      </c>
      <c r="J543" s="1085" t="str">
        <f>IF(ISBLANK(I543)," ",IF(ISTEXT(I543)," ",IF(I543&lt;=[4]Нормативы!$H$82,"КМС",IF(I543&lt;=[4]Нормативы!$H$83,"КМС",IF(I543&lt;=[4]Нормативы!$L$84,"КМС",IF(I543&lt;=[4]Нормативы!$L$85,"I",IF(I543&lt;=[4]Нормативы!$L$86,"II",IF(I543&lt;=[4]Нормативы!$L$87,"III",IF(I543&lt;=[4]Нормативы!$L$88,"I юн",IF(I543&lt;=[4]Нормативы!$L$89,"II юн",IF(I543&lt;=[4]Нормативы!$L$90,"III юн","б/р")))))))))))</f>
        <v>б/р</v>
      </c>
    </row>
    <row r="544" spans="1:10" x14ac:dyDescent="0.3">
      <c r="A544" s="1086">
        <v>27</v>
      </c>
      <c r="B544" s="550" t="s">
        <v>25</v>
      </c>
      <c r="C544" s="550" t="s">
        <v>1759</v>
      </c>
      <c r="D544" s="551" t="s">
        <v>1760</v>
      </c>
      <c r="E544" s="1042">
        <v>41994</v>
      </c>
      <c r="F544" s="550" t="s">
        <v>1596</v>
      </c>
      <c r="G544" s="895"/>
      <c r="H544" s="550"/>
      <c r="I544" s="1025">
        <v>126.12</v>
      </c>
      <c r="J544" s="1085" t="str">
        <f>IF(ISBLANK(I544)," ",IF(ISTEXT(I544)," ",IF(I544&lt;=[4]Нормативы!$H$82,"КМС",IF(I544&lt;=[4]Нормативы!$H$83,"КМС",IF(I544&lt;=[4]Нормативы!$L$84,"КМС",IF(I544&lt;=[4]Нормативы!$L$85,"I",IF(I544&lt;=[4]Нормативы!$L$86,"II",IF(I544&lt;=[4]Нормативы!$L$87,"III",IF(I544&lt;=[4]Нормативы!$L$88,"I юн",IF(I544&lt;=[4]Нормативы!$L$89,"II юн",IF(I544&lt;=[4]Нормативы!$L$90,"III юн","б/р")))))))))))</f>
        <v>б/р</v>
      </c>
    </row>
    <row r="545" spans="1:10" x14ac:dyDescent="0.3">
      <c r="A545" s="1086">
        <v>28</v>
      </c>
      <c r="B545" s="550" t="s">
        <v>25</v>
      </c>
      <c r="C545" s="550" t="s">
        <v>1763</v>
      </c>
      <c r="D545" s="551" t="s">
        <v>1764</v>
      </c>
      <c r="E545" s="1042">
        <v>42299</v>
      </c>
      <c r="F545" s="550" t="s">
        <v>1634</v>
      </c>
      <c r="G545" s="895"/>
      <c r="H545" s="550"/>
      <c r="I545" s="1025">
        <v>129.15</v>
      </c>
      <c r="J545" s="1085" t="str">
        <f>IF(ISBLANK(I545)," ",IF(ISTEXT(I545)," ",IF(I545&lt;=[4]Нормативы!$H$82,"КМС",IF(I545&lt;=[4]Нормативы!$H$83,"КМС",IF(I545&lt;=[4]Нормативы!$L$84,"КМС",IF(I545&lt;=[4]Нормативы!$L$85,"I",IF(I545&lt;=[4]Нормативы!$L$86,"II",IF(I545&lt;=[4]Нормативы!$L$87,"III",IF(I545&lt;=[4]Нормативы!$L$88,"I юн",IF(I545&lt;=[4]Нормативы!$L$89,"II юн",IF(I545&lt;=[4]Нормативы!$L$90,"III юн","б/р")))))))))))</f>
        <v>б/р</v>
      </c>
    </row>
    <row r="546" spans="1:10" x14ac:dyDescent="0.3">
      <c r="A546" s="1086"/>
      <c r="B546" s="550" t="s">
        <v>21</v>
      </c>
      <c r="C546" s="550" t="s">
        <v>1777</v>
      </c>
      <c r="D546" s="551" t="s">
        <v>1778</v>
      </c>
      <c r="E546" s="1042">
        <v>41784</v>
      </c>
      <c r="F546" s="550" t="s">
        <v>1452</v>
      </c>
      <c r="G546" s="895"/>
      <c r="H546" s="550"/>
      <c r="I546" s="1074" t="s">
        <v>2066</v>
      </c>
      <c r="J546" s="300"/>
    </row>
    <row r="547" spans="1:10" x14ac:dyDescent="0.3">
      <c r="A547" s="1086"/>
      <c r="B547" s="1003"/>
      <c r="C547" s="225"/>
      <c r="D547" s="18"/>
      <c r="E547" s="914"/>
      <c r="F547" s="952"/>
      <c r="G547" s="880"/>
      <c r="I547" s="361"/>
      <c r="J547" s="895"/>
    </row>
    <row r="548" spans="1:10" ht="15.6" x14ac:dyDescent="0.3">
      <c r="A548" s="1028"/>
      <c r="B548" s="374"/>
      <c r="C548" s="928" t="s">
        <v>2064</v>
      </c>
      <c r="D548" s="374"/>
      <c r="E548" s="374"/>
      <c r="F548" s="374"/>
      <c r="G548" s="374"/>
      <c r="H548" s="954"/>
      <c r="I548" s="885"/>
      <c r="J548" s="300"/>
    </row>
    <row r="549" spans="1:10" x14ac:dyDescent="0.3">
      <c r="A549" s="1086"/>
      <c r="B549" s="880"/>
      <c r="C549" s="880"/>
      <c r="D549" s="880"/>
      <c r="E549" s="880"/>
      <c r="F549" s="880"/>
      <c r="G549" s="880"/>
      <c r="H549" s="880"/>
      <c r="I549" s="300"/>
      <c r="J549" s="300"/>
    </row>
    <row r="550" spans="1:10" x14ac:dyDescent="0.3">
      <c r="A550" s="1086">
        <v>1</v>
      </c>
      <c r="B550" s="550" t="s">
        <v>21</v>
      </c>
      <c r="C550" s="551" t="s">
        <v>1909</v>
      </c>
      <c r="D550" s="890" t="s">
        <v>1595</v>
      </c>
      <c r="E550" s="1042">
        <v>42357</v>
      </c>
      <c r="F550" s="550" t="s">
        <v>1598</v>
      </c>
      <c r="G550" s="895"/>
      <c r="H550" s="550"/>
      <c r="I550" s="1025">
        <v>242.38</v>
      </c>
      <c r="J550" s="1085" t="str">
        <f>IF(ISBLANK(I550)," ",IF(ISTEXT(I550)," ",IF(I550&lt;=[4]Нормативы!$H$93,"КМС",IF(I550&lt;=[4]Нормативы!$H$94,"КМС",IF(I550&lt;=[4]Нормативы!$L$95,"КМС",IF(I550&lt;=[4]Нормативы!$L$96,"I",IF(I550&lt;=[4]Нормативы!$L$97,"II",IF(I550&lt;=[4]Нормативы!$L$98,"III",IF(I550&lt;=[4]Нормативы!$L$99,"I юн",IF(I550&lt;=[4]Нормативы!$L$100,"II юн",IF(I550&lt;=[4]Нормативы!$L$101,"III юн","б/р")))))))))))</f>
        <v>б/р</v>
      </c>
    </row>
    <row r="551" spans="1:10" x14ac:dyDescent="0.3">
      <c r="A551" s="1086">
        <v>2</v>
      </c>
      <c r="B551" s="550" t="s">
        <v>21</v>
      </c>
      <c r="C551" s="551" t="s">
        <v>1910</v>
      </c>
      <c r="D551" s="890" t="s">
        <v>1620</v>
      </c>
      <c r="E551" s="1042">
        <v>42179</v>
      </c>
      <c r="F551" s="550" t="s">
        <v>1598</v>
      </c>
      <c r="G551" s="895"/>
      <c r="H551" s="550"/>
      <c r="I551" s="1025">
        <v>242.8</v>
      </c>
      <c r="J551" s="1085" t="str">
        <f>IF(ISBLANK(I551)," ",IF(ISTEXT(I551)," ",IF(I551&lt;=[4]Нормативы!$H$93,"КМС",IF(I551&lt;=[4]Нормативы!$H$94,"КМС",IF(I551&lt;=[4]Нормативы!$L$95,"КМС",IF(I551&lt;=[4]Нормативы!$L$96,"I",IF(I551&lt;=[4]Нормативы!$L$97,"II",IF(I551&lt;=[4]Нормативы!$L$98,"III",IF(I551&lt;=[4]Нормативы!$L$99,"I юн",IF(I551&lt;=[4]Нормативы!$L$100,"II юн",IF(I551&lt;=[4]Нормативы!$L$101,"III юн","б/р")))))))))))</f>
        <v>б/р</v>
      </c>
    </row>
    <row r="552" spans="1:10" x14ac:dyDescent="0.3">
      <c r="A552" s="1086">
        <v>3</v>
      </c>
      <c r="B552" s="550" t="s">
        <v>25</v>
      </c>
      <c r="C552" s="550" t="s">
        <v>2051</v>
      </c>
      <c r="D552" s="878" t="s">
        <v>1603</v>
      </c>
      <c r="E552" s="1042">
        <v>42078</v>
      </c>
      <c r="F552" s="550" t="s">
        <v>1634</v>
      </c>
      <c r="G552" s="550"/>
      <c r="H552" s="1025"/>
      <c r="I552" s="1025">
        <v>332.53</v>
      </c>
      <c r="J552" s="1085" t="str">
        <f>IF(ISBLANK(I552)," ",IF(ISTEXT(I552)," ",IF(I552&lt;=[4]Нормативы!$H$93,"КМС",IF(I552&lt;=[4]Нормативы!$H$94,"КМС",IF(I552&lt;=[4]Нормативы!$L$95,"КМС",IF(I552&lt;=[4]Нормативы!$L$96,"I",IF(I552&lt;=[4]Нормативы!$L$97,"II",IF(I552&lt;=[4]Нормативы!$L$98,"III",IF(I552&lt;=[4]Нормативы!$L$99,"I юн",IF(I552&lt;=[4]Нормативы!$L$100,"II юн",IF(I552&lt;=[4]Нормативы!$L$101,"III юн","б/р")))))))))))</f>
        <v>б/р</v>
      </c>
    </row>
    <row r="553" spans="1:10" x14ac:dyDescent="0.3">
      <c r="A553" s="1028"/>
      <c r="B553" s="952"/>
      <c r="C553" s="947"/>
      <c r="D553" s="976"/>
      <c r="E553" s="981"/>
      <c r="F553" s="947"/>
      <c r="G553" s="947"/>
      <c r="H553" s="976"/>
      <c r="I553" s="982"/>
      <c r="J553" s="24"/>
    </row>
    <row r="554" spans="1:10" ht="15.6" x14ac:dyDescent="0.3">
      <c r="A554" s="1028"/>
      <c r="B554" s="374"/>
      <c r="C554" s="928" t="s">
        <v>2053</v>
      </c>
      <c r="D554" s="374"/>
      <c r="E554" s="374"/>
      <c r="F554" s="374"/>
      <c r="G554" s="374"/>
      <c r="H554" s="929"/>
      <c r="I554" s="885"/>
      <c r="J554" s="300"/>
    </row>
    <row r="555" spans="1:10" x14ac:dyDescent="0.3">
      <c r="A555" s="1028"/>
      <c r="B555" s="361"/>
      <c r="C555" s="364"/>
      <c r="D555" s="361"/>
      <c r="E555" s="361"/>
      <c r="F555" s="361"/>
      <c r="G555" s="361"/>
      <c r="H555" s="954"/>
      <c r="I555" s="878"/>
      <c r="J555" s="300"/>
    </row>
    <row r="556" spans="1:10" x14ac:dyDescent="0.3">
      <c r="A556" s="1086">
        <v>1</v>
      </c>
      <c r="B556" s="550" t="s">
        <v>24</v>
      </c>
      <c r="C556" s="550" t="s">
        <v>1341</v>
      </c>
      <c r="D556" s="551" t="s">
        <v>1723</v>
      </c>
      <c r="E556" s="1042">
        <v>41737</v>
      </c>
      <c r="F556" s="550" t="s">
        <v>1598</v>
      </c>
      <c r="G556" s="895"/>
      <c r="H556" s="550"/>
      <c r="I556" s="1025">
        <v>158.03</v>
      </c>
      <c r="J556" s="1085" t="str">
        <f>IF(ISBLANK(I556)," ",IF(ISTEXT(I556)," ",IF(I556&lt;=[4]Нормативы!$H$104,"КМС",IF(I556&lt;=[4]Нормативы!$H$105,"КМС",IF(I556&lt;=[4]Нормативы!$L$106,"КМС",IF(I556&lt;=[4]Нормативы!$L$107,"I",IF(I556&lt;=[4]Нормативы!$L$108,"II",IF(I556&lt;=[4]Нормативы!$L$109,"III",IF(I556&lt;=[4]Нормативы!$L$110,"I юн",IF(I556&lt;=[4]Нормативы!$L$111,"II юн",IF(I556&lt;=[4]Нормативы!$L$112,"III юн","б/р")))))))))))</f>
        <v>I юн</v>
      </c>
    </row>
    <row r="557" spans="1:10" x14ac:dyDescent="0.3">
      <c r="A557" s="1086">
        <v>2</v>
      </c>
      <c r="B557" s="550" t="s">
        <v>35</v>
      </c>
      <c r="C557" s="550" t="s">
        <v>1922</v>
      </c>
      <c r="D557" s="551" t="s">
        <v>1729</v>
      </c>
      <c r="E557" s="1042">
        <v>42206</v>
      </c>
      <c r="F557" s="550" t="s">
        <v>1634</v>
      </c>
      <c r="G557" s="895"/>
      <c r="H557" s="550"/>
      <c r="I557" s="1025">
        <v>208.25</v>
      </c>
      <c r="J557" s="1085" t="str">
        <f>IF(ISBLANK(I557)," ",IF(ISTEXT(I557)," ",IF(I557&lt;=[4]Нормативы!$H$104,"КМС",IF(I557&lt;=[4]Нормативы!$H$105,"КМС",IF(I557&lt;=[4]Нормативы!$L$106,"КМС",IF(I557&lt;=[4]Нормативы!$L$107,"I",IF(I557&lt;=[4]Нормативы!$L$108,"II",IF(I557&lt;=[4]Нормативы!$L$109,"III",IF(I557&lt;=[4]Нормативы!$L$110,"I юн",IF(I557&lt;=[4]Нормативы!$L$111,"II юн",IF(I557&lt;=[4]Нормативы!$L$112,"III юн","б/р")))))))))))</f>
        <v>II юн</v>
      </c>
    </row>
    <row r="558" spans="1:10" x14ac:dyDescent="0.3">
      <c r="A558" s="1086">
        <v>3</v>
      </c>
      <c r="B558" s="550" t="s">
        <v>35</v>
      </c>
      <c r="C558" s="550" t="s">
        <v>1342</v>
      </c>
      <c r="D558" s="551" t="s">
        <v>2021</v>
      </c>
      <c r="E558" s="1042">
        <v>41920</v>
      </c>
      <c r="F558" s="550" t="s">
        <v>1450</v>
      </c>
      <c r="G558" s="895"/>
      <c r="H558" s="550"/>
      <c r="I558" s="1025">
        <v>214.49</v>
      </c>
      <c r="J558" s="1085" t="str">
        <f>IF(ISBLANK(I558)," ",IF(ISTEXT(I558)," ",IF(I558&lt;=[4]Нормативы!$H$104,"КМС",IF(I558&lt;=[4]Нормативы!$H$105,"КМС",IF(I558&lt;=[4]Нормативы!$L$106,"КМС",IF(I558&lt;=[4]Нормативы!$L$107,"I",IF(I558&lt;=[4]Нормативы!$L$108,"II",IF(I558&lt;=[4]Нормативы!$L$109,"III",IF(I558&lt;=[4]Нормативы!$L$110,"I юн",IF(I558&lt;=[4]Нормативы!$L$111,"II юн",IF(I558&lt;=[4]Нормативы!$L$112,"III юн","б/р")))))))))))</f>
        <v>II юн</v>
      </c>
    </row>
    <row r="559" spans="1:10" x14ac:dyDescent="0.3">
      <c r="A559" s="1086">
        <v>4</v>
      </c>
      <c r="B559" s="550" t="s">
        <v>1796</v>
      </c>
      <c r="C559" s="550" t="s">
        <v>1797</v>
      </c>
      <c r="D559" s="551" t="s">
        <v>1798</v>
      </c>
      <c r="E559" s="1042">
        <v>41889</v>
      </c>
      <c r="F559" s="550" t="s">
        <v>1640</v>
      </c>
      <c r="G559" s="895"/>
      <c r="H559" s="550"/>
      <c r="I559" s="1025">
        <v>243.94</v>
      </c>
      <c r="J559" s="1085" t="str">
        <f>IF(ISBLANK(I559)," ",IF(ISTEXT(I559)," ",IF(I559&lt;=[4]Нормативы!$H$104,"КМС",IF(I559&lt;=[4]Нормативы!$H$105,"КМС",IF(I559&lt;=[4]Нормативы!$L$106,"КМС",IF(I559&lt;=[4]Нормативы!$L$107,"I",IF(I559&lt;=[4]Нормативы!$L$108,"II",IF(I559&lt;=[4]Нормативы!$L$109,"III",IF(I559&lt;=[4]Нормативы!$L$110,"I юн",IF(I559&lt;=[4]Нормативы!$L$111,"II юн",IF(I559&lt;=[4]Нормативы!$L$112,"III юн","б/р")))))))))))</f>
        <v>б/р</v>
      </c>
    </row>
    <row r="560" spans="1:10" x14ac:dyDescent="0.3">
      <c r="A560" s="1086">
        <v>5</v>
      </c>
      <c r="B560" s="550" t="s">
        <v>20</v>
      </c>
      <c r="C560" s="550" t="s">
        <v>1937</v>
      </c>
      <c r="D560" s="551" t="s">
        <v>1862</v>
      </c>
      <c r="E560" s="1042">
        <v>42068</v>
      </c>
      <c r="F560" s="550" t="s">
        <v>1634</v>
      </c>
      <c r="G560" s="895"/>
      <c r="H560" s="550"/>
      <c r="I560" s="1025">
        <v>248.38</v>
      </c>
      <c r="J560" s="1085" t="str">
        <f>IF(ISBLANK(I560)," ",IF(ISTEXT(I560)," ",IF(I560&lt;=[4]Нормативы!$H$104,"КМС",IF(I560&lt;=[4]Нормативы!$H$105,"КМС",IF(I560&lt;=[4]Нормативы!$L$106,"КМС",IF(I560&lt;=[4]Нормативы!$L$107,"I",IF(I560&lt;=[4]Нормативы!$L$108,"II",IF(I560&lt;=[4]Нормативы!$L$109,"III",IF(I560&lt;=[4]Нормативы!$L$110,"I юн",IF(I560&lt;=[4]Нормативы!$L$111,"II юн",IF(I560&lt;=[4]Нормативы!$L$112,"III юн","б/р")))))))))))</f>
        <v>б/р</v>
      </c>
    </row>
    <row r="561" spans="1:10" x14ac:dyDescent="0.3">
      <c r="A561" s="1086">
        <v>6</v>
      </c>
      <c r="B561" s="550" t="s">
        <v>23</v>
      </c>
      <c r="C561" s="551" t="s">
        <v>1780</v>
      </c>
      <c r="D561" s="890" t="s">
        <v>1781</v>
      </c>
      <c r="E561" s="1042">
        <v>42053</v>
      </c>
      <c r="F561" s="550" t="str">
        <f>'[1]Техническая один зачет'!$E$16</f>
        <v>КСШ г. Ачинск</v>
      </c>
      <c r="G561" s="895"/>
      <c r="H561" s="550"/>
      <c r="I561" s="1025">
        <v>309.81</v>
      </c>
      <c r="J561" s="1085" t="str">
        <f>IF(ISBLANK(I561)," ",IF(ISTEXT(I561)," ",IF(I561&lt;=[4]Нормативы!$H$104,"КМС",IF(I561&lt;=[4]Нормативы!$H$105,"КМС",IF(I561&lt;=[4]Нормативы!$L$106,"КМС",IF(I561&lt;=[4]Нормативы!$L$107,"I",IF(I561&lt;=[4]Нормативы!$L$108,"II",IF(I561&lt;=[4]Нормативы!$L$109,"III",IF(I561&lt;=[4]Нормативы!$L$110,"I юн",IF(I561&lt;=[4]Нормативы!$L$111,"II юн",IF(I561&lt;=[4]Нормативы!$L$112,"III юн","б/р")))))))))))</f>
        <v>б/р</v>
      </c>
    </row>
    <row r="562" spans="1:10" x14ac:dyDescent="0.3">
      <c r="A562" s="1028"/>
      <c r="B562" s="952"/>
      <c r="C562" s="947"/>
      <c r="D562" s="976"/>
      <c r="E562" s="981"/>
      <c r="F562" s="947"/>
      <c r="G562" s="947"/>
      <c r="H562" s="976"/>
      <c r="I562" s="982"/>
      <c r="J562" s="24"/>
    </row>
    <row r="563" spans="1:10" x14ac:dyDescent="0.3">
      <c r="A563" s="1028"/>
      <c r="B563" s="952"/>
      <c r="C563" s="947"/>
      <c r="D563" s="976"/>
      <c r="E563" s="981"/>
      <c r="F563" s="947"/>
      <c r="G563" s="947"/>
      <c r="H563" s="976"/>
      <c r="I563" s="982"/>
      <c r="J563" s="24"/>
    </row>
    <row r="564" spans="1:10" x14ac:dyDescent="0.3">
      <c r="A564" s="1028"/>
      <c r="B564" s="952"/>
      <c r="C564" s="947"/>
      <c r="D564" s="1026"/>
      <c r="E564" s="981"/>
      <c r="F564" s="947"/>
      <c r="G564" s="947"/>
      <c r="H564" s="1026"/>
      <c r="I564" s="982"/>
      <c r="J564" s="24"/>
    </row>
    <row r="565" spans="1:10" x14ac:dyDescent="0.3">
      <c r="A565" s="1028"/>
      <c r="B565" s="952"/>
      <c r="C565" s="947"/>
      <c r="D565" s="976"/>
      <c r="E565" s="981"/>
      <c r="F565" s="947"/>
      <c r="G565" s="947"/>
      <c r="H565" s="976"/>
      <c r="I565" s="982"/>
      <c r="J565" s="24"/>
    </row>
    <row r="566" spans="1:10" x14ac:dyDescent="0.3">
      <c r="A566" s="1028"/>
      <c r="B566" s="952"/>
      <c r="C566" s="947"/>
      <c r="D566" s="976"/>
      <c r="E566" s="981"/>
      <c r="F566" s="947"/>
      <c r="G566" s="947"/>
      <c r="H566" s="976"/>
      <c r="I566" s="982"/>
      <c r="J566" s="24"/>
    </row>
    <row r="567" spans="1:10" x14ac:dyDescent="0.3">
      <c r="A567" s="1028"/>
      <c r="B567" s="952"/>
      <c r="C567" s="947"/>
      <c r="D567" s="976"/>
      <c r="E567" s="981"/>
      <c r="F567" s="947"/>
      <c r="G567" s="947"/>
      <c r="H567" s="976"/>
      <c r="I567" s="982"/>
      <c r="J567" s="24"/>
    </row>
    <row r="568" spans="1:10" x14ac:dyDescent="0.3">
      <c r="A568" s="1028"/>
      <c r="B568" s="952"/>
      <c r="C568" s="947"/>
      <c r="D568" s="1026"/>
      <c r="E568" s="981"/>
      <c r="F568" s="947"/>
      <c r="G568" s="947"/>
      <c r="H568" s="1026"/>
      <c r="I568" s="982"/>
      <c r="J568" s="24"/>
    </row>
    <row r="569" spans="1:10" x14ac:dyDescent="0.3">
      <c r="A569" s="1028"/>
      <c r="B569" s="891"/>
      <c r="C569" s="550"/>
      <c r="D569" s="880"/>
      <c r="E569" s="963"/>
      <c r="F569" s="550"/>
      <c r="G569" s="550"/>
      <c r="I569" s="982"/>
      <c r="J569" s="300"/>
    </row>
    <row r="570" spans="1:10" x14ac:dyDescent="0.3">
      <c r="A570" s="1086"/>
      <c r="B570" s="891"/>
      <c r="C570" s="551"/>
      <c r="D570" s="880"/>
      <c r="E570" s="974"/>
      <c r="F570" s="550"/>
      <c r="G570" s="550"/>
      <c r="I570" s="982"/>
      <c r="J570" s="300"/>
    </row>
    <row r="571" spans="1:10" ht="15.6" x14ac:dyDescent="0.3">
      <c r="A571" s="1028"/>
      <c r="B571" s="374"/>
      <c r="C571" s="928"/>
      <c r="D571" s="374"/>
      <c r="E571" s="374"/>
      <c r="F571" s="374"/>
      <c r="G571" s="374"/>
      <c r="I571" s="954"/>
      <c r="J571" s="300"/>
    </row>
    <row r="572" spans="1:10" x14ac:dyDescent="0.3">
      <c r="A572" s="1086"/>
      <c r="B572" s="1003"/>
      <c r="C572" s="225"/>
      <c r="D572" s="18"/>
      <c r="E572" s="914"/>
      <c r="F572" s="991"/>
      <c r="G572" s="880"/>
      <c r="I572" s="361"/>
      <c r="J572" s="300"/>
    </row>
    <row r="573" spans="1:10" x14ac:dyDescent="0.3">
      <c r="A573" s="1086"/>
      <c r="B573" s="952"/>
      <c r="C573" s="947"/>
      <c r="D573" s="976"/>
      <c r="E573" s="981"/>
      <c r="F573" s="947"/>
      <c r="G573" s="947"/>
      <c r="H573" s="976"/>
      <c r="I573" s="982"/>
      <c r="J573" s="24"/>
    </row>
    <row r="574" spans="1:10" x14ac:dyDescent="0.3">
      <c r="A574" s="1086"/>
      <c r="B574" s="952"/>
      <c r="C574" s="947"/>
      <c r="D574" s="976"/>
      <c r="E574" s="981"/>
      <c r="F574" s="947"/>
      <c r="G574" s="947"/>
      <c r="H574" s="976"/>
      <c r="I574" s="982"/>
      <c r="J574" s="24"/>
    </row>
    <row r="575" spans="1:10" x14ac:dyDescent="0.3">
      <c r="A575" s="1086"/>
      <c r="B575" s="952"/>
      <c r="C575" s="947"/>
      <c r="D575" s="976"/>
      <c r="E575" s="981"/>
      <c r="F575" s="947"/>
      <c r="G575" s="947"/>
      <c r="H575" s="976"/>
      <c r="I575" s="982"/>
      <c r="J575" s="24"/>
    </row>
    <row r="576" spans="1:10" x14ac:dyDescent="0.3">
      <c r="A576" s="1023"/>
      <c r="B576" s="952"/>
      <c r="C576" s="947"/>
      <c r="D576" s="976"/>
      <c r="E576" s="981"/>
      <c r="F576" s="947"/>
      <c r="G576" s="947"/>
      <c r="H576" s="976"/>
      <c r="I576" s="982"/>
      <c r="J576" s="24"/>
    </row>
    <row r="577" spans="1:10" x14ac:dyDescent="0.3">
      <c r="A577" s="1023"/>
      <c r="B577" s="952"/>
      <c r="C577" s="947"/>
      <c r="D577" s="976"/>
      <c r="E577" s="981"/>
      <c r="F577" s="947"/>
      <c r="G577" s="947"/>
      <c r="H577" s="976"/>
      <c r="I577" s="982"/>
      <c r="J577" s="24"/>
    </row>
    <row r="578" spans="1:10" x14ac:dyDescent="0.3">
      <c r="A578" s="1023"/>
      <c r="B578" s="952"/>
      <c r="C578" s="947"/>
      <c r="D578" s="976"/>
      <c r="E578" s="981"/>
      <c r="F578" s="947"/>
      <c r="G578" s="947"/>
      <c r="H578" s="976"/>
      <c r="I578" s="982"/>
      <c r="J578" s="24"/>
    </row>
    <row r="579" spans="1:10" x14ac:dyDescent="0.3">
      <c r="A579" s="1023"/>
      <c r="B579" s="952"/>
      <c r="C579" s="947"/>
      <c r="D579" s="976"/>
      <c r="E579" s="981"/>
      <c r="F579" s="947"/>
      <c r="G579" s="947"/>
      <c r="H579" s="976"/>
      <c r="I579" s="982"/>
      <c r="J579" s="24"/>
    </row>
    <row r="580" spans="1:10" x14ac:dyDescent="0.3">
      <c r="A580" s="1023"/>
      <c r="B580" s="952"/>
      <c r="C580" s="947"/>
      <c r="D580" s="976"/>
      <c r="E580" s="981"/>
      <c r="F580" s="947"/>
      <c r="G580" s="947"/>
      <c r="H580" s="976"/>
      <c r="I580" s="982"/>
      <c r="J580" s="24"/>
    </row>
    <row r="581" spans="1:10" x14ac:dyDescent="0.3">
      <c r="A581" s="1023"/>
      <c r="B581" s="952"/>
      <c r="C581" s="947"/>
      <c r="D581" s="976"/>
      <c r="E581" s="981"/>
      <c r="F581" s="947"/>
      <c r="G581" s="947"/>
      <c r="H581" s="976"/>
      <c r="I581" s="982"/>
      <c r="J581" s="24"/>
    </row>
    <row r="582" spans="1:10" x14ac:dyDescent="0.3">
      <c r="A582" s="1023"/>
      <c r="B582" s="952"/>
      <c r="C582" s="947"/>
      <c r="D582" s="976"/>
      <c r="E582" s="981"/>
      <c r="F582" s="947"/>
      <c r="G582" s="947"/>
      <c r="H582" s="976"/>
      <c r="I582" s="982"/>
      <c r="J582" s="952"/>
    </row>
    <row r="583" spans="1:10" x14ac:dyDescent="0.3">
      <c r="A583" s="1023"/>
      <c r="B583" s="952"/>
      <c r="C583" s="947"/>
      <c r="D583" s="976"/>
      <c r="E583" s="981"/>
      <c r="F583" s="947"/>
      <c r="G583" s="947"/>
      <c r="H583" s="976"/>
      <c r="I583" s="982"/>
      <c r="J583" s="952"/>
    </row>
    <row r="584" spans="1:10" x14ac:dyDescent="0.3">
      <c r="A584" s="1023"/>
      <c r="B584" s="952"/>
      <c r="C584" s="947"/>
      <c r="D584" s="976"/>
      <c r="E584" s="981"/>
      <c r="F584" s="947"/>
      <c r="G584" s="947"/>
      <c r="H584" s="976"/>
      <c r="I584" s="982"/>
      <c r="J584" s="952"/>
    </row>
    <row r="585" spans="1:10" x14ac:dyDescent="0.3">
      <c r="A585" s="1023"/>
      <c r="B585" s="952"/>
      <c r="C585" s="947"/>
      <c r="D585" s="976"/>
      <c r="E585" s="981"/>
      <c r="F585" s="947"/>
      <c r="G585" s="947"/>
      <c r="H585" s="976"/>
      <c r="I585" s="982"/>
      <c r="J585" s="952"/>
    </row>
    <row r="586" spans="1:10" x14ac:dyDescent="0.3">
      <c r="A586" s="1023"/>
      <c r="B586" s="952"/>
      <c r="C586" s="947"/>
      <c r="D586" s="976"/>
      <c r="E586" s="981"/>
      <c r="F586" s="947"/>
      <c r="G586" s="947"/>
      <c r="H586" s="976"/>
      <c r="I586" s="982"/>
      <c r="J586" s="952"/>
    </row>
    <row r="587" spans="1:10" x14ac:dyDescent="0.3">
      <c r="A587" s="1023"/>
      <c r="B587" s="952"/>
      <c r="C587" s="947"/>
      <c r="D587" s="976"/>
      <c r="E587" s="981"/>
      <c r="F587" s="947"/>
      <c r="G587" s="947"/>
      <c r="H587" s="976"/>
      <c r="I587" s="982"/>
      <c r="J587" s="952"/>
    </row>
    <row r="588" spans="1:10" x14ac:dyDescent="0.3">
      <c r="A588" s="1023"/>
      <c r="B588" s="952"/>
      <c r="C588" s="947"/>
      <c r="D588" s="976"/>
      <c r="E588" s="981"/>
      <c r="F588" s="947"/>
      <c r="G588" s="947"/>
      <c r="H588" s="976"/>
      <c r="I588" s="982"/>
      <c r="J588" s="952"/>
    </row>
    <row r="589" spans="1:10" x14ac:dyDescent="0.3">
      <c r="A589" s="1023"/>
      <c r="B589" s="952"/>
      <c r="C589" s="947"/>
      <c r="D589" s="976"/>
      <c r="E589" s="981"/>
      <c r="F589" s="947"/>
      <c r="G589" s="947"/>
      <c r="H589" s="976"/>
      <c r="I589" s="982"/>
      <c r="J589" s="952"/>
    </row>
    <row r="590" spans="1:10" x14ac:dyDescent="0.3">
      <c r="A590" s="1023"/>
      <c r="B590" s="952"/>
      <c r="C590" s="947"/>
      <c r="D590" s="976"/>
      <c r="E590" s="981"/>
      <c r="F590" s="947"/>
      <c r="G590" s="947"/>
      <c r="H590" s="976"/>
      <c r="I590" s="982"/>
      <c r="J590" s="952"/>
    </row>
    <row r="591" spans="1:10" x14ac:dyDescent="0.3">
      <c r="A591" s="1023"/>
      <c r="B591" s="952"/>
      <c r="C591" s="947"/>
      <c r="D591" s="976"/>
      <c r="E591" s="981"/>
      <c r="F591" s="947"/>
      <c r="G591" s="947"/>
      <c r="H591" s="976"/>
      <c r="I591" s="982"/>
      <c r="J591" s="952"/>
    </row>
    <row r="592" spans="1:10" x14ac:dyDescent="0.3">
      <c r="A592" s="1023"/>
      <c r="B592" s="952"/>
      <c r="C592" s="947"/>
      <c r="D592" s="976"/>
      <c r="E592" s="981"/>
      <c r="F592" s="947"/>
      <c r="G592" s="947"/>
      <c r="H592" s="976"/>
      <c r="I592" s="982"/>
      <c r="J592" s="952"/>
    </row>
    <row r="593" spans="1:10" x14ac:dyDescent="0.3">
      <c r="A593" s="1023"/>
      <c r="B593" s="952"/>
      <c r="C593" s="947"/>
      <c r="D593" s="976"/>
      <c r="E593" s="981"/>
      <c r="F593" s="947"/>
      <c r="G593" s="947"/>
      <c r="H593" s="976"/>
      <c r="I593" s="982"/>
      <c r="J593" s="952"/>
    </row>
    <row r="594" spans="1:10" x14ac:dyDescent="0.3">
      <c r="A594" s="1023"/>
      <c r="B594" s="952"/>
      <c r="C594" s="947"/>
      <c r="D594" s="976"/>
      <c r="E594" s="981"/>
      <c r="F594" s="947"/>
      <c r="G594" s="947"/>
      <c r="H594" s="976"/>
      <c r="I594" s="982"/>
      <c r="J594" s="952"/>
    </row>
    <row r="595" spans="1:10" x14ac:dyDescent="0.3">
      <c r="A595" s="1023"/>
      <c r="B595" s="952"/>
      <c r="C595" s="947"/>
      <c r="D595" s="976"/>
      <c r="E595" s="981"/>
      <c r="F595" s="947"/>
      <c r="G595" s="947"/>
      <c r="H595" s="976"/>
      <c r="I595" s="982"/>
      <c r="J595" s="952"/>
    </row>
    <row r="596" spans="1:10" x14ac:dyDescent="0.3">
      <c r="A596" s="1023"/>
      <c r="B596" s="952"/>
      <c r="C596" s="947"/>
      <c r="D596" s="976"/>
      <c r="E596" s="981"/>
      <c r="F596" s="947"/>
      <c r="G596" s="947"/>
      <c r="H596" s="976"/>
      <c r="I596" s="982"/>
      <c r="J596" s="952"/>
    </row>
    <row r="597" spans="1:10" x14ac:dyDescent="0.3">
      <c r="A597" s="1023"/>
      <c r="B597" s="952"/>
      <c r="C597" s="947"/>
      <c r="D597" s="976"/>
      <c r="E597" s="981"/>
      <c r="F597" s="947"/>
      <c r="G597" s="947"/>
      <c r="H597" s="976"/>
      <c r="I597" s="982"/>
      <c r="J597" s="952"/>
    </row>
    <row r="598" spans="1:10" x14ac:dyDescent="0.3">
      <c r="A598" s="361"/>
      <c r="B598" s="361"/>
      <c r="C598" s="349"/>
      <c r="D598" s="361"/>
      <c r="E598" s="361"/>
      <c r="F598" s="361"/>
      <c r="G598" s="361"/>
      <c r="I598" s="954"/>
    </row>
    <row r="599" spans="1:10" ht="15.6" x14ac:dyDescent="0.3">
      <c r="A599" s="374"/>
      <c r="B599" s="374"/>
      <c r="C599" s="928"/>
      <c r="D599" s="374"/>
      <c r="E599" s="374"/>
      <c r="F599" s="374"/>
      <c r="G599" s="374"/>
      <c r="I599" s="954"/>
    </row>
    <row r="600" spans="1:10" x14ac:dyDescent="0.3">
      <c r="A600" s="364"/>
      <c r="B600" s="361"/>
      <c r="C600" s="978"/>
      <c r="D600" s="364"/>
      <c r="E600" s="139"/>
      <c r="F600" s="364"/>
      <c r="G600" s="364"/>
      <c r="I600" s="979"/>
    </row>
    <row r="601" spans="1:10" x14ac:dyDescent="0.3">
      <c r="A601" s="1023"/>
      <c r="B601" s="952"/>
      <c r="C601" s="947"/>
      <c r="D601" s="976"/>
      <c r="E601" s="981"/>
      <c r="F601" s="947"/>
      <c r="G601" s="947"/>
      <c r="H601" s="976"/>
      <c r="I601" s="982"/>
      <c r="J601" s="952"/>
    </row>
    <row r="602" spans="1:10" x14ac:dyDescent="0.3">
      <c r="A602" s="1023"/>
      <c r="B602" s="952"/>
      <c r="C602" s="947"/>
      <c r="D602" s="976"/>
      <c r="E602" s="981"/>
      <c r="F602" s="947"/>
      <c r="G602" s="947"/>
      <c r="H602" s="976"/>
      <c r="I602" s="982"/>
      <c r="J602" s="952"/>
    </row>
    <row r="603" spans="1:10" x14ac:dyDescent="0.3">
      <c r="A603" s="1023"/>
      <c r="B603" s="952"/>
      <c r="C603" s="947"/>
      <c r="D603" s="976"/>
      <c r="E603" s="981"/>
      <c r="F603" s="947"/>
      <c r="G603" s="947"/>
      <c r="H603" s="976"/>
      <c r="I603" s="982"/>
      <c r="J603" s="952"/>
    </row>
    <row r="604" spans="1:10" x14ac:dyDescent="0.3">
      <c r="A604" s="1023"/>
      <c r="B604" s="952"/>
      <c r="C604" s="947"/>
      <c r="D604" s="976"/>
      <c r="E604" s="981"/>
      <c r="F604" s="947"/>
      <c r="G604" s="947"/>
      <c r="H604" s="976"/>
      <c r="I604" s="982"/>
      <c r="J604" s="952"/>
    </row>
    <row r="605" spans="1:10" x14ac:dyDescent="0.3">
      <c r="A605" s="1023"/>
      <c r="B605" s="952"/>
      <c r="C605" s="947"/>
      <c r="D605" s="976"/>
      <c r="E605" s="981"/>
      <c r="F605" s="947"/>
      <c r="G605" s="947"/>
      <c r="H605" s="976"/>
      <c r="I605" s="982"/>
      <c r="J605" s="952"/>
    </row>
    <row r="606" spans="1:10" x14ac:dyDescent="0.3">
      <c r="A606" s="1023"/>
      <c r="B606" s="952"/>
      <c r="C606" s="947"/>
      <c r="D606" s="976"/>
      <c r="E606" s="981"/>
      <c r="F606" s="947"/>
      <c r="G606" s="947"/>
      <c r="H606" s="976"/>
      <c r="I606" s="982"/>
      <c r="J606" s="952"/>
    </row>
    <row r="607" spans="1:10" x14ac:dyDescent="0.3">
      <c r="A607" s="1023"/>
      <c r="B607" s="947"/>
      <c r="C607" s="947"/>
      <c r="D607" s="976"/>
      <c r="E607" s="981"/>
      <c r="F607" s="947"/>
      <c r="G607" s="947"/>
      <c r="H607" s="976"/>
      <c r="I607" s="982"/>
      <c r="J607" s="952"/>
    </row>
    <row r="608" spans="1:10" x14ac:dyDescent="0.3">
      <c r="A608" s="1023"/>
      <c r="B608" s="952"/>
      <c r="C608" s="947"/>
      <c r="D608" s="976"/>
      <c r="E608" s="981"/>
      <c r="F608" s="947"/>
      <c r="G608" s="947"/>
      <c r="H608" s="976"/>
      <c r="I608" s="982"/>
      <c r="J608" s="952"/>
    </row>
    <row r="609" spans="1:10" x14ac:dyDescent="0.3">
      <c r="A609" s="1023"/>
      <c r="B609" s="952"/>
      <c r="C609" s="947"/>
      <c r="D609" s="976"/>
      <c r="E609" s="981"/>
      <c r="F609" s="947"/>
      <c r="G609" s="947"/>
      <c r="H609" s="976"/>
      <c r="I609" s="982"/>
      <c r="J609" s="952"/>
    </row>
    <row r="610" spans="1:10" x14ac:dyDescent="0.3">
      <c r="A610" s="1023"/>
      <c r="B610" s="952"/>
      <c r="C610" s="947"/>
      <c r="D610" s="976"/>
      <c r="E610" s="981"/>
      <c r="F610" s="947"/>
      <c r="G610" s="947"/>
      <c r="H610" s="976"/>
      <c r="I610" s="982"/>
      <c r="J610" s="952"/>
    </row>
    <row r="611" spans="1:10" x14ac:dyDescent="0.3">
      <c r="A611" s="1023"/>
      <c r="B611" s="952"/>
      <c r="C611" s="947"/>
      <c r="D611" s="976"/>
      <c r="E611" s="981"/>
      <c r="F611" s="947"/>
      <c r="G611" s="947"/>
      <c r="H611" s="976"/>
      <c r="I611" s="982"/>
      <c r="J611" s="952"/>
    </row>
    <row r="612" spans="1:10" x14ac:dyDescent="0.3">
      <c r="A612" s="1023"/>
      <c r="B612" s="952"/>
      <c r="C612" s="947"/>
      <c r="D612" s="976"/>
      <c r="E612" s="981"/>
      <c r="F612" s="947"/>
      <c r="G612" s="947"/>
      <c r="H612" s="976"/>
      <c r="I612" s="982"/>
      <c r="J612" s="952"/>
    </row>
    <row r="613" spans="1:10" x14ac:dyDescent="0.3">
      <c r="A613" s="1023"/>
      <c r="B613" s="952"/>
      <c r="C613" s="947"/>
      <c r="D613" s="976"/>
      <c r="E613" s="981"/>
      <c r="F613" s="947"/>
      <c r="G613" s="947"/>
      <c r="H613" s="976"/>
      <c r="I613" s="982"/>
      <c r="J613" s="952"/>
    </row>
    <row r="614" spans="1:10" x14ac:dyDescent="0.3">
      <c r="A614" s="1023"/>
      <c r="B614" s="952"/>
      <c r="C614" s="947"/>
      <c r="D614" s="976"/>
      <c r="E614" s="981"/>
      <c r="F614" s="947"/>
      <c r="G614" s="947"/>
      <c r="H614" s="976"/>
      <c r="I614" s="982"/>
      <c r="J614" s="952"/>
    </row>
    <row r="615" spans="1:10" x14ac:dyDescent="0.3">
      <c r="A615" s="1023"/>
      <c r="B615" s="952"/>
      <c r="C615" s="947"/>
      <c r="D615" s="976"/>
      <c r="E615" s="981"/>
      <c r="F615" s="947"/>
      <c r="G615" s="947"/>
      <c r="H615" s="976"/>
      <c r="I615" s="982"/>
      <c r="J615" s="952"/>
    </row>
    <row r="616" spans="1:10" x14ac:dyDescent="0.3">
      <c r="A616" s="1023"/>
      <c r="B616" s="952"/>
      <c r="C616" s="947"/>
      <c r="D616" s="976"/>
      <c r="E616" s="981"/>
      <c r="F616" s="947"/>
      <c r="G616" s="947"/>
      <c r="H616" s="976"/>
      <c r="I616" s="982"/>
      <c r="J616" s="952"/>
    </row>
    <row r="617" spans="1:10" x14ac:dyDescent="0.3">
      <c r="A617" s="1023"/>
      <c r="B617" s="952"/>
      <c r="C617" s="947"/>
      <c r="D617" s="976"/>
      <c r="E617" s="981"/>
      <c r="F617" s="947"/>
      <c r="G617" s="947"/>
      <c r="H617" s="976"/>
      <c r="I617" s="982"/>
      <c r="J617" s="952"/>
    </row>
    <row r="618" spans="1:10" x14ac:dyDescent="0.3">
      <c r="A618" s="1023"/>
      <c r="B618" s="952"/>
      <c r="C618" s="947"/>
      <c r="D618" s="976"/>
      <c r="E618" s="981"/>
      <c r="F618" s="947"/>
      <c r="G618" s="947"/>
      <c r="H618" s="976"/>
      <c r="I618" s="982"/>
      <c r="J618" s="952"/>
    </row>
    <row r="619" spans="1:10" x14ac:dyDescent="0.3">
      <c r="A619" s="1023"/>
      <c r="B619" s="952"/>
      <c r="C619" s="947"/>
      <c r="D619" s="976"/>
      <c r="E619" s="981"/>
      <c r="F619" s="947"/>
      <c r="G619" s="947"/>
      <c r="H619" s="976"/>
      <c r="I619" s="982"/>
      <c r="J619" s="952"/>
    </row>
    <row r="620" spans="1:10" x14ac:dyDescent="0.3">
      <c r="A620" s="1023"/>
      <c r="B620" s="952"/>
      <c r="C620" s="947"/>
      <c r="D620" s="976"/>
      <c r="E620" s="981"/>
      <c r="F620" s="947"/>
      <c r="G620" s="947"/>
      <c r="H620" s="976"/>
      <c r="I620" s="982"/>
      <c r="J620" s="952"/>
    </row>
    <row r="621" spans="1:10" x14ac:dyDescent="0.3">
      <c r="A621" s="1023"/>
      <c r="B621" s="952"/>
      <c r="C621" s="947"/>
      <c r="D621" s="976"/>
      <c r="E621" s="981"/>
      <c r="F621" s="947"/>
      <c r="G621" s="947"/>
      <c r="H621" s="976"/>
      <c r="I621" s="982"/>
      <c r="J621" s="952"/>
    </row>
    <row r="622" spans="1:10" x14ac:dyDescent="0.3">
      <c r="A622" s="1023"/>
      <c r="B622" s="952"/>
      <c r="C622" s="947"/>
      <c r="D622" s="976"/>
      <c r="E622" s="981"/>
      <c r="F622" s="947"/>
      <c r="G622" s="947"/>
      <c r="H622" s="976"/>
      <c r="I622" s="982"/>
      <c r="J622" s="952"/>
    </row>
    <row r="623" spans="1:10" x14ac:dyDescent="0.3">
      <c r="A623" s="1023"/>
      <c r="B623" s="952"/>
      <c r="C623" s="947"/>
      <c r="D623" s="976"/>
      <c r="E623" s="981"/>
      <c r="F623" s="947"/>
      <c r="G623" s="947"/>
      <c r="H623" s="976"/>
      <c r="I623" s="982"/>
      <c r="J623" s="952"/>
    </row>
    <row r="624" spans="1:10" x14ac:dyDescent="0.3">
      <c r="A624" s="1023"/>
      <c r="B624" s="952"/>
      <c r="C624" s="947"/>
      <c r="D624" s="976"/>
      <c r="E624" s="981"/>
      <c r="F624" s="947"/>
      <c r="G624" s="947"/>
      <c r="H624" s="976"/>
      <c r="I624" s="982"/>
      <c r="J624" s="952"/>
    </row>
    <row r="625" spans="1:10" x14ac:dyDescent="0.3">
      <c r="A625" s="1023"/>
      <c r="B625" s="952"/>
      <c r="C625" s="947"/>
      <c r="D625" s="976"/>
      <c r="E625" s="981"/>
      <c r="F625" s="947"/>
      <c r="G625" s="947"/>
      <c r="H625" s="976"/>
      <c r="I625" s="982"/>
      <c r="J625" s="952"/>
    </row>
    <row r="626" spans="1:10" x14ac:dyDescent="0.3">
      <c r="A626" s="1023"/>
      <c r="B626" s="952"/>
      <c r="C626" s="947"/>
      <c r="D626" s="976"/>
      <c r="E626" s="981"/>
      <c r="F626" s="947"/>
      <c r="G626" s="947"/>
      <c r="H626" s="976"/>
      <c r="I626" s="982"/>
      <c r="J626" s="952"/>
    </row>
    <row r="627" spans="1:10" x14ac:dyDescent="0.3">
      <c r="A627" s="1023"/>
      <c r="B627" s="952"/>
      <c r="C627" s="947"/>
      <c r="D627" s="976"/>
      <c r="E627" s="981"/>
      <c r="F627" s="947"/>
      <c r="G627" s="947"/>
      <c r="H627" s="976"/>
      <c r="I627" s="982"/>
      <c r="J627" s="952"/>
    </row>
    <row r="628" spans="1:10" x14ac:dyDescent="0.3">
      <c r="A628" s="1023"/>
      <c r="B628" s="952"/>
      <c r="C628" s="947"/>
      <c r="D628" s="976"/>
      <c r="E628" s="981"/>
      <c r="F628" s="947"/>
      <c r="G628" s="947"/>
      <c r="H628" s="976"/>
      <c r="I628" s="982"/>
      <c r="J628" s="952"/>
    </row>
    <row r="629" spans="1:10" x14ac:dyDescent="0.3">
      <c r="A629" s="1023"/>
      <c r="B629" s="952"/>
      <c r="C629" s="947"/>
      <c r="D629" s="976"/>
      <c r="E629" s="981"/>
      <c r="F629" s="947"/>
      <c r="G629" s="947"/>
      <c r="H629" s="976"/>
      <c r="I629" s="982"/>
      <c r="J629" s="952"/>
    </row>
    <row r="630" spans="1:10" x14ac:dyDescent="0.3">
      <c r="A630" s="1023"/>
      <c r="B630" s="952"/>
      <c r="C630" s="947"/>
      <c r="D630" s="976"/>
      <c r="E630" s="981"/>
      <c r="F630" s="947"/>
      <c r="G630" s="947"/>
      <c r="H630" s="976"/>
      <c r="I630" s="982"/>
      <c r="J630" s="952"/>
    </row>
    <row r="631" spans="1:10" x14ac:dyDescent="0.3">
      <c r="A631" s="1023"/>
      <c r="B631" s="952"/>
      <c r="C631" s="947"/>
      <c r="D631" s="976"/>
      <c r="E631" s="981"/>
      <c r="F631" s="947"/>
      <c r="G631" s="947"/>
      <c r="H631" s="976"/>
      <c r="I631" s="982"/>
      <c r="J631" s="952"/>
    </row>
    <row r="632" spans="1:10" x14ac:dyDescent="0.3">
      <c r="A632" s="1023"/>
      <c r="B632" s="952"/>
      <c r="C632" s="947"/>
      <c r="D632" s="976"/>
      <c r="E632" s="981"/>
      <c r="F632" s="947"/>
      <c r="G632" s="947"/>
      <c r="H632" s="976"/>
      <c r="I632" s="982"/>
      <c r="J632" s="952"/>
    </row>
    <row r="633" spans="1:10" x14ac:dyDescent="0.3">
      <c r="A633" s="1023"/>
      <c r="B633" s="952"/>
      <c r="C633" s="947"/>
      <c r="D633" s="976"/>
      <c r="E633" s="981"/>
      <c r="F633" s="947"/>
      <c r="G633" s="947"/>
      <c r="H633" s="976"/>
      <c r="I633" s="982"/>
      <c r="J633" s="952"/>
    </row>
    <row r="634" spans="1:10" x14ac:dyDescent="0.3">
      <c r="A634" s="1023"/>
      <c r="B634" s="952"/>
      <c r="C634" s="947"/>
      <c r="D634" s="976"/>
      <c r="E634" s="981"/>
      <c r="F634" s="947"/>
      <c r="G634" s="947"/>
      <c r="H634" s="976"/>
      <c r="I634" s="982"/>
      <c r="J634" s="952"/>
    </row>
    <row r="635" spans="1:10" x14ac:dyDescent="0.3">
      <c r="A635" s="1023"/>
      <c r="B635" s="952"/>
      <c r="C635" s="947"/>
      <c r="D635" s="976"/>
      <c r="E635" s="981"/>
      <c r="F635" s="947"/>
      <c r="G635" s="947"/>
      <c r="H635" s="976"/>
      <c r="I635" s="982"/>
      <c r="J635" s="952"/>
    </row>
    <row r="636" spans="1:10" x14ac:dyDescent="0.3">
      <c r="A636" s="1023"/>
      <c r="B636" s="952"/>
      <c r="C636" s="947"/>
      <c r="D636" s="976"/>
      <c r="E636" s="981"/>
      <c r="F636" s="947"/>
      <c r="G636" s="947"/>
      <c r="H636" s="976"/>
      <c r="I636" s="982"/>
      <c r="J636" s="952"/>
    </row>
    <row r="637" spans="1:10" x14ac:dyDescent="0.3">
      <c r="A637" s="1023"/>
      <c r="B637" s="952"/>
      <c r="C637" s="947"/>
      <c r="D637" s="976"/>
      <c r="E637" s="981"/>
      <c r="F637" s="947"/>
      <c r="G637" s="947"/>
      <c r="H637" s="976"/>
      <c r="I637" s="982"/>
      <c r="J637" s="952"/>
    </row>
    <row r="638" spans="1:10" x14ac:dyDescent="0.3">
      <c r="A638" s="1023"/>
      <c r="B638" s="952"/>
      <c r="C638" s="947"/>
      <c r="D638" s="976"/>
      <c r="E638" s="981"/>
      <c r="F638" s="947"/>
      <c r="G638" s="947"/>
      <c r="H638" s="976"/>
      <c r="I638" s="982"/>
      <c r="J638" s="952"/>
    </row>
    <row r="639" spans="1:10" x14ac:dyDescent="0.3">
      <c r="A639" s="1023"/>
      <c r="B639" s="952"/>
      <c r="C639" s="947"/>
      <c r="D639" s="976"/>
      <c r="E639" s="981"/>
      <c r="F639" s="947"/>
      <c r="G639" s="947"/>
      <c r="H639" s="976"/>
      <c r="I639" s="982"/>
      <c r="J639" s="952"/>
    </row>
    <row r="640" spans="1:10" x14ac:dyDescent="0.3">
      <c r="A640" s="1023"/>
      <c r="B640" s="952"/>
      <c r="C640" s="947"/>
      <c r="D640" s="976"/>
      <c r="E640" s="981"/>
      <c r="F640" s="947"/>
      <c r="G640" s="947"/>
      <c r="H640" s="976"/>
      <c r="I640" s="982"/>
      <c r="J640" s="952"/>
    </row>
    <row r="641" spans="1:10" x14ac:dyDescent="0.3">
      <c r="A641" s="1023"/>
      <c r="B641" s="952"/>
      <c r="C641" s="947"/>
      <c r="D641" s="1026"/>
      <c r="E641" s="981"/>
      <c r="F641" s="947"/>
      <c r="G641" s="947"/>
      <c r="H641" s="1026"/>
      <c r="I641" s="982"/>
      <c r="J641" s="952"/>
    </row>
    <row r="642" spans="1:10" x14ac:dyDescent="0.3">
      <c r="A642" s="1023"/>
      <c r="B642" s="952"/>
      <c r="C642" s="947"/>
      <c r="D642" s="1026"/>
      <c r="E642" s="981"/>
      <c r="F642" s="947"/>
      <c r="G642" s="947"/>
      <c r="H642" s="1026"/>
      <c r="I642" s="982"/>
      <c r="J642" s="952"/>
    </row>
    <row r="643" spans="1:10" x14ac:dyDescent="0.3">
      <c r="A643" s="1023"/>
      <c r="B643" s="947"/>
      <c r="C643" s="947"/>
      <c r="D643" s="1037"/>
      <c r="E643" s="981"/>
      <c r="F643" s="947"/>
      <c r="G643" s="947"/>
      <c r="H643" s="976"/>
      <c r="I643" s="947"/>
      <c r="J643" s="976"/>
    </row>
    <row r="644" spans="1:10" ht="15.6" x14ac:dyDescent="0.3">
      <c r="A644" s="374"/>
      <c r="B644" s="374"/>
      <c r="C644" s="928"/>
      <c r="D644" s="374"/>
      <c r="E644" s="374"/>
      <c r="F644" s="374"/>
      <c r="G644" s="374"/>
      <c r="I644" s="954"/>
    </row>
    <row r="645" spans="1:10" x14ac:dyDescent="0.3">
      <c r="A645" s="980"/>
      <c r="B645" s="360"/>
      <c r="C645" s="361"/>
      <c r="D645" s="361"/>
      <c r="E645" s="360"/>
      <c r="F645" s="361"/>
      <c r="G645" s="361"/>
      <c r="I645" s="361"/>
    </row>
    <row r="646" spans="1:10" x14ac:dyDescent="0.3">
      <c r="A646" s="1023"/>
      <c r="B646" s="952"/>
      <c r="C646" s="947"/>
      <c r="D646" s="976"/>
      <c r="E646" s="981"/>
      <c r="F646" s="947"/>
      <c r="G646" s="947"/>
      <c r="H646" s="976"/>
      <c r="I646" s="982"/>
      <c r="J646" s="952"/>
    </row>
    <row r="647" spans="1:10" x14ac:dyDescent="0.3">
      <c r="A647" s="1023"/>
      <c r="B647" s="952"/>
      <c r="C647" s="947"/>
      <c r="D647" s="976"/>
      <c r="E647" s="981"/>
      <c r="F647" s="947"/>
      <c r="G647" s="947"/>
      <c r="H647" s="976"/>
      <c r="I647" s="982"/>
      <c r="J647" s="952"/>
    </row>
    <row r="648" spans="1:10" x14ac:dyDescent="0.3">
      <c r="A648" s="1023"/>
      <c r="B648" s="952"/>
      <c r="C648" s="947"/>
      <c r="D648" s="976"/>
      <c r="E648" s="981"/>
      <c r="F648" s="947"/>
      <c r="G648" s="947"/>
      <c r="H648" s="976"/>
      <c r="I648" s="982"/>
      <c r="J648" s="952"/>
    </row>
    <row r="649" spans="1:10" x14ac:dyDescent="0.3">
      <c r="A649" s="1023"/>
      <c r="B649" s="952"/>
      <c r="C649" s="947"/>
      <c r="D649" s="976"/>
      <c r="E649" s="981"/>
      <c r="F649" s="947"/>
      <c r="G649" s="947"/>
      <c r="H649" s="976"/>
      <c r="I649" s="982"/>
      <c r="J649" s="976"/>
    </row>
    <row r="650" spans="1:10" ht="15.6" x14ac:dyDescent="0.3">
      <c r="A650" s="374"/>
      <c r="B650" s="374"/>
      <c r="C650" s="928"/>
      <c r="D650" s="374"/>
      <c r="E650" s="374"/>
      <c r="F650" s="374"/>
      <c r="G650" s="374"/>
      <c r="I650" s="954"/>
    </row>
    <row r="651" spans="1:10" x14ac:dyDescent="0.3">
      <c r="A651" s="980"/>
      <c r="B651" s="953"/>
      <c r="C651" s="947"/>
      <c r="D651" s="880"/>
      <c r="E651" s="981"/>
      <c r="F651" s="947"/>
      <c r="G651" s="947"/>
      <c r="I651" s="982"/>
    </row>
    <row r="652" spans="1:10" x14ac:dyDescent="0.3">
      <c r="A652" s="1023"/>
      <c r="B652" s="952"/>
      <c r="C652" s="947"/>
      <c r="D652" s="976"/>
      <c r="E652" s="981"/>
      <c r="F652" s="947"/>
      <c r="G652" s="976"/>
      <c r="H652" s="976"/>
      <c r="I652" s="982"/>
      <c r="J652" s="952"/>
    </row>
    <row r="653" spans="1:10" x14ac:dyDescent="0.3">
      <c r="A653" s="1023"/>
      <c r="B653" s="947"/>
      <c r="C653" s="947"/>
      <c r="D653" s="976"/>
      <c r="E653" s="981"/>
      <c r="F653" s="947"/>
      <c r="G653" s="976"/>
      <c r="H653" s="976"/>
      <c r="I653" s="982"/>
      <c r="J653" s="952"/>
    </row>
    <row r="654" spans="1:10" x14ac:dyDescent="0.3">
      <c r="A654" s="1023"/>
      <c r="B654" s="952"/>
      <c r="C654" s="947"/>
      <c r="D654" s="976"/>
      <c r="E654" s="981"/>
      <c r="F654" s="947"/>
      <c r="G654" s="976"/>
      <c r="H654" s="976"/>
      <c r="I654" s="982"/>
      <c r="J654" s="952"/>
    </row>
    <row r="655" spans="1:10" x14ac:dyDescent="0.3">
      <c r="A655" s="980"/>
      <c r="B655" s="953"/>
      <c r="C655" s="947"/>
      <c r="D655" s="880"/>
      <c r="E655" s="981"/>
      <c r="F655" s="947"/>
      <c r="G655" s="947"/>
      <c r="H655" s="880"/>
      <c r="I655" s="982"/>
      <c r="J655" s="880"/>
    </row>
    <row r="656" spans="1:10" ht="15.6" x14ac:dyDescent="0.3">
      <c r="A656" s="374"/>
      <c r="B656" s="374"/>
      <c r="C656" s="928"/>
      <c r="D656" s="374"/>
      <c r="E656" s="374"/>
      <c r="F656" s="374"/>
      <c r="G656" s="374"/>
      <c r="I656" s="954"/>
    </row>
    <row r="657" spans="1:10" ht="15.6" x14ac:dyDescent="0.3">
      <c r="A657" s="374"/>
      <c r="B657" s="374"/>
      <c r="C657" s="928"/>
      <c r="D657" s="374"/>
      <c r="E657" s="374"/>
      <c r="F657" s="374"/>
      <c r="G657" s="374"/>
      <c r="I657" s="954"/>
    </row>
    <row r="658" spans="1:10" x14ac:dyDescent="0.3">
      <c r="A658" s="1023"/>
      <c r="B658" s="952"/>
      <c r="C658" s="947"/>
      <c r="D658" s="1026"/>
      <c r="E658" s="981"/>
      <c r="F658" s="947"/>
      <c r="G658" s="947"/>
      <c r="H658" s="1026"/>
      <c r="I658" s="982"/>
      <c r="J658" s="952"/>
    </row>
    <row r="659" spans="1:10" x14ac:dyDescent="0.3">
      <c r="A659" s="1023"/>
      <c r="B659" s="952"/>
      <c r="C659" s="947"/>
      <c r="D659" s="1026"/>
      <c r="E659" s="981"/>
      <c r="F659" s="947"/>
      <c r="G659" s="947"/>
      <c r="H659" s="1026"/>
      <c r="I659" s="982"/>
      <c r="J659" s="952"/>
    </row>
    <row r="660" spans="1:10" x14ac:dyDescent="0.3">
      <c r="A660" s="1023"/>
      <c r="B660" s="952"/>
      <c r="C660" s="947"/>
      <c r="D660" s="1026"/>
      <c r="E660" s="981"/>
      <c r="F660" s="947"/>
      <c r="G660" s="947"/>
      <c r="H660" s="1026"/>
      <c r="I660" s="982"/>
      <c r="J660" s="952"/>
    </row>
    <row r="661" spans="1:10" x14ac:dyDescent="0.3">
      <c r="A661" s="980"/>
      <c r="B661" s="953"/>
      <c r="C661" s="927"/>
      <c r="D661" s="18"/>
      <c r="E661" s="1004"/>
      <c r="F661" s="359"/>
      <c r="G661" s="359"/>
      <c r="H661" s="923"/>
      <c r="I661" s="983"/>
      <c r="J661" s="923"/>
    </row>
    <row r="662" spans="1:10" ht="15.6" x14ac:dyDescent="0.3">
      <c r="A662" s="374"/>
      <c r="B662" s="374"/>
      <c r="C662" s="928"/>
      <c r="D662" s="374"/>
      <c r="E662" s="374"/>
      <c r="F662" s="374"/>
      <c r="G662" s="374"/>
      <c r="I662" s="954"/>
    </row>
    <row r="663" spans="1:10" x14ac:dyDescent="0.3">
      <c r="A663" s="361"/>
      <c r="B663" s="361"/>
      <c r="C663" s="364"/>
      <c r="D663" s="361"/>
      <c r="E663" s="361"/>
      <c r="F663" s="361"/>
      <c r="G663" s="361"/>
      <c r="I663" s="954"/>
    </row>
    <row r="664" spans="1:10" x14ac:dyDescent="0.3">
      <c r="A664" s="1023"/>
      <c r="B664" s="952"/>
      <c r="C664" s="947"/>
      <c r="D664" s="976"/>
      <c r="E664" s="981"/>
      <c r="F664" s="947"/>
      <c r="G664" s="947"/>
      <c r="H664" s="976"/>
      <c r="I664" s="982"/>
      <c r="J664" s="952"/>
    </row>
    <row r="665" spans="1:10" x14ac:dyDescent="0.3">
      <c r="A665" s="1023"/>
      <c r="B665" s="952"/>
      <c r="C665" s="947"/>
      <c r="D665" s="976"/>
      <c r="E665" s="981"/>
      <c r="F665" s="947"/>
      <c r="G665" s="947"/>
      <c r="H665" s="976"/>
      <c r="I665" s="982"/>
      <c r="J665" s="952"/>
    </row>
    <row r="666" spans="1:10" x14ac:dyDescent="0.3">
      <c r="A666" s="1023"/>
      <c r="B666" s="952"/>
      <c r="C666" s="947"/>
      <c r="D666" s="976"/>
      <c r="E666" s="981"/>
      <c r="F666" s="947"/>
      <c r="G666" s="947"/>
      <c r="H666" s="976"/>
      <c r="I666" s="982"/>
      <c r="J666" s="952"/>
    </row>
    <row r="667" spans="1:10" x14ac:dyDescent="0.3">
      <c r="A667" s="1023"/>
      <c r="B667" s="952"/>
      <c r="C667" s="947"/>
      <c r="D667" s="976"/>
      <c r="E667" s="981"/>
      <c r="F667" s="947"/>
      <c r="G667" s="947"/>
      <c r="H667" s="976"/>
      <c r="I667" s="982"/>
      <c r="J667" s="952"/>
    </row>
    <row r="668" spans="1:10" x14ac:dyDescent="0.3">
      <c r="A668" s="1023"/>
      <c r="B668" s="952"/>
      <c r="C668" s="947"/>
      <c r="D668" s="976"/>
      <c r="E668" s="981"/>
      <c r="F668" s="947"/>
      <c r="G668" s="947"/>
      <c r="H668" s="976"/>
      <c r="I668" s="982"/>
      <c r="J668" s="952"/>
    </row>
    <row r="669" spans="1:10" x14ac:dyDescent="0.3">
      <c r="A669" s="1023"/>
      <c r="B669" s="952"/>
      <c r="C669" s="947"/>
      <c r="D669" s="976"/>
      <c r="E669" s="981"/>
      <c r="F669" s="947"/>
      <c r="G669" s="947"/>
      <c r="H669" s="976"/>
      <c r="I669" s="982"/>
      <c r="J669" s="952"/>
    </row>
    <row r="670" spans="1:10" x14ac:dyDescent="0.3">
      <c r="A670" s="1008"/>
      <c r="B670" s="1008"/>
      <c r="C670" s="1038"/>
      <c r="D670" s="1008"/>
      <c r="E670" s="1008"/>
      <c r="F670" s="1008"/>
      <c r="G670" s="1008"/>
      <c r="H670" s="976"/>
      <c r="I670" s="1024"/>
      <c r="J670" s="976"/>
    </row>
    <row r="671" spans="1:10" ht="15.6" x14ac:dyDescent="0.3">
      <c r="A671" s="374"/>
      <c r="B671" s="374"/>
      <c r="C671" s="928"/>
      <c r="D671" s="374"/>
      <c r="E671" s="374"/>
      <c r="F671" s="374"/>
      <c r="G671" s="374"/>
      <c r="I671" s="954"/>
    </row>
    <row r="672" spans="1:10" x14ac:dyDescent="0.3">
      <c r="A672" s="1023"/>
      <c r="B672" s="976"/>
      <c r="C672" s="976"/>
      <c r="D672" s="976"/>
      <c r="E672" s="976"/>
      <c r="F672" s="976"/>
      <c r="G672" s="976"/>
      <c r="H672" s="976"/>
      <c r="I672" s="976"/>
      <c r="J672" s="976"/>
    </row>
    <row r="673" spans="1:10" x14ac:dyDescent="0.3">
      <c r="A673" s="1023"/>
      <c r="B673" s="952"/>
      <c r="C673" s="947"/>
      <c r="D673" s="976"/>
      <c r="E673" s="981"/>
      <c r="F673" s="947"/>
      <c r="G673" s="947"/>
      <c r="H673" s="976"/>
      <c r="I673" s="982"/>
      <c r="J673" s="952"/>
    </row>
    <row r="674" spans="1:10" x14ac:dyDescent="0.3">
      <c r="A674" s="1023"/>
      <c r="B674" s="952"/>
      <c r="C674" s="947"/>
      <c r="D674" s="976"/>
      <c r="E674" s="981"/>
      <c r="F674" s="947"/>
      <c r="G674" s="947"/>
      <c r="H674" s="976"/>
      <c r="I674" s="982"/>
      <c r="J674" s="952"/>
    </row>
    <row r="675" spans="1:10" x14ac:dyDescent="0.3">
      <c r="A675" s="1023"/>
      <c r="B675" s="952"/>
      <c r="C675" s="947"/>
      <c r="D675" s="976"/>
      <c r="E675" s="981"/>
      <c r="F675" s="947"/>
      <c r="G675" s="947"/>
      <c r="H675" s="976"/>
      <c r="I675" s="982"/>
      <c r="J675" s="952"/>
    </row>
    <row r="676" spans="1:10" x14ac:dyDescent="0.3">
      <c r="A676" s="1008"/>
      <c r="B676" s="1008"/>
      <c r="C676" s="1038"/>
      <c r="D676" s="1008"/>
      <c r="E676" s="1008"/>
      <c r="F676" s="1008"/>
      <c r="G676" s="1008"/>
      <c r="H676" s="976"/>
      <c r="I676" s="1024"/>
      <c r="J676" s="976"/>
    </row>
    <row r="677" spans="1:10" ht="15.6" x14ac:dyDescent="0.3">
      <c r="A677" s="374"/>
      <c r="B677" s="374"/>
      <c r="C677" s="928"/>
      <c r="D677" s="374"/>
      <c r="E677" s="374"/>
      <c r="F677" s="374"/>
      <c r="G677" s="374"/>
      <c r="I677" s="954"/>
    </row>
    <row r="678" spans="1:10" x14ac:dyDescent="0.3">
      <c r="A678" s="1023"/>
      <c r="B678" s="952"/>
      <c r="C678" s="947"/>
      <c r="D678" s="976"/>
      <c r="E678" s="981"/>
      <c r="F678" s="947"/>
      <c r="G678" s="947"/>
      <c r="H678" s="976"/>
      <c r="I678" s="982"/>
      <c r="J678" s="976"/>
    </row>
    <row r="679" spans="1:10" x14ac:dyDescent="0.3">
      <c r="A679" s="1023"/>
      <c r="B679" s="952"/>
      <c r="C679" s="947"/>
      <c r="D679" s="1026"/>
      <c r="E679" s="981"/>
      <c r="F679" s="947"/>
      <c r="G679" s="947"/>
      <c r="H679" s="976"/>
      <c r="I679" s="982"/>
      <c r="J679" s="952"/>
    </row>
    <row r="680" spans="1:10" x14ac:dyDescent="0.3">
      <c r="A680" s="1023"/>
      <c r="B680" s="952"/>
      <c r="C680" s="981"/>
      <c r="D680" s="1026"/>
      <c r="E680" s="981"/>
      <c r="F680" s="981"/>
      <c r="G680" s="981"/>
      <c r="H680" s="976"/>
      <c r="I680" s="1005"/>
      <c r="J680" s="952"/>
    </row>
    <row r="681" spans="1:10" x14ac:dyDescent="0.3">
      <c r="A681" s="1023"/>
      <c r="B681" s="952"/>
      <c r="C681" s="947"/>
      <c r="D681" s="1026"/>
      <c r="E681" s="981"/>
      <c r="F681" s="947"/>
      <c r="G681" s="947"/>
      <c r="H681" s="976"/>
      <c r="I681" s="982"/>
      <c r="J681" s="952"/>
    </row>
    <row r="682" spans="1:10" x14ac:dyDescent="0.3">
      <c r="A682" s="1023"/>
      <c r="B682" s="976"/>
      <c r="C682" s="976"/>
      <c r="D682" s="976"/>
      <c r="E682" s="976"/>
      <c r="F682" s="976"/>
      <c r="G682" s="976"/>
      <c r="H682" s="976"/>
      <c r="I682" s="976"/>
      <c r="J682" s="976"/>
    </row>
    <row r="683" spans="1:10" ht="15.6" x14ac:dyDescent="0.3">
      <c r="A683" s="374"/>
      <c r="B683" s="374"/>
      <c r="C683" s="928"/>
      <c r="D683" s="374"/>
      <c r="E683" s="374"/>
      <c r="F683" s="374"/>
      <c r="G683" s="374"/>
      <c r="I683" s="954"/>
    </row>
    <row r="684" spans="1:10" x14ac:dyDescent="0.3">
      <c r="A684" s="364"/>
      <c r="B684" s="361"/>
      <c r="C684" s="978"/>
      <c r="D684" s="364"/>
      <c r="E684" s="139"/>
      <c r="F684" s="364"/>
      <c r="G684" s="364"/>
      <c r="I684" s="979"/>
    </row>
    <row r="685" spans="1:10" x14ac:dyDescent="0.3">
      <c r="A685" s="1023"/>
      <c r="B685" s="952"/>
      <c r="C685" s="947"/>
      <c r="D685" s="1008"/>
      <c r="E685" s="981"/>
      <c r="F685" s="947"/>
      <c r="G685" s="947"/>
      <c r="H685" s="1008"/>
      <c r="I685" s="1008"/>
      <c r="J685" s="952"/>
    </row>
    <row r="686" spans="1:10" x14ac:dyDescent="0.3">
      <c r="A686" s="1023"/>
      <c r="B686" s="952"/>
      <c r="C686" s="947"/>
      <c r="D686" s="1008"/>
      <c r="E686" s="981"/>
      <c r="F686" s="947"/>
      <c r="G686" s="947"/>
      <c r="H686" s="1008"/>
      <c r="I686" s="1008"/>
      <c r="J686" s="952"/>
    </row>
    <row r="687" spans="1:10" x14ac:dyDescent="0.3">
      <c r="A687" s="1023"/>
      <c r="B687" s="952"/>
      <c r="C687" s="947"/>
      <c r="D687" s="1008"/>
      <c r="E687" s="981"/>
      <c r="F687" s="947"/>
      <c r="G687" s="947"/>
      <c r="H687" s="1008"/>
      <c r="I687" s="1008"/>
      <c r="J687" s="952"/>
    </row>
    <row r="688" spans="1:10" x14ac:dyDescent="0.3">
      <c r="A688" s="1023"/>
      <c r="B688" s="952"/>
      <c r="C688" s="947"/>
      <c r="D688" s="1008"/>
      <c r="E688" s="981"/>
      <c r="F688" s="947"/>
      <c r="G688" s="947"/>
      <c r="H688" s="1008"/>
      <c r="I688" s="1008"/>
      <c r="J688" s="952"/>
    </row>
    <row r="689" spans="1:10" x14ac:dyDescent="0.3">
      <c r="A689" s="1023"/>
      <c r="B689" s="952"/>
      <c r="C689" s="947"/>
      <c r="D689" s="1008"/>
      <c r="E689" s="981"/>
      <c r="F689" s="947"/>
      <c r="G689" s="947"/>
      <c r="H689" s="1008"/>
      <c r="I689" s="1008"/>
      <c r="J689" s="952"/>
    </row>
    <row r="690" spans="1:10" x14ac:dyDescent="0.3">
      <c r="A690" s="1023"/>
      <c r="B690" s="952"/>
      <c r="C690" s="947"/>
      <c r="D690" s="1008"/>
      <c r="E690" s="981"/>
      <c r="F690" s="947"/>
      <c r="G690" s="947"/>
      <c r="H690" s="1008"/>
      <c r="I690" s="1008"/>
      <c r="J690" s="952"/>
    </row>
    <row r="691" spans="1:10" x14ac:dyDescent="0.3">
      <c r="A691" s="1023"/>
      <c r="B691" s="952"/>
      <c r="C691" s="947"/>
      <c r="D691" s="1026"/>
      <c r="E691" s="981"/>
      <c r="F691" s="947"/>
      <c r="G691" s="947"/>
      <c r="H691" s="1026"/>
      <c r="I691" s="982"/>
      <c r="J691" s="952"/>
    </row>
    <row r="692" spans="1:10" x14ac:dyDescent="0.3">
      <c r="A692" s="980"/>
      <c r="B692" s="953"/>
      <c r="C692" s="989"/>
      <c r="D692" s="361"/>
      <c r="E692" s="990"/>
      <c r="F692" s="991"/>
      <c r="G692" s="361"/>
      <c r="I692" s="991"/>
    </row>
    <row r="693" spans="1:10" ht="15.6" x14ac:dyDescent="0.3">
      <c r="A693" s="374"/>
      <c r="B693" s="374"/>
      <c r="C693" s="928"/>
      <c r="D693" s="374"/>
      <c r="E693" s="374"/>
      <c r="F693" s="374"/>
      <c r="G693" s="374"/>
      <c r="I693" s="954"/>
    </row>
    <row r="694" spans="1:10" x14ac:dyDescent="0.3">
      <c r="A694" s="1023"/>
      <c r="B694" s="952"/>
      <c r="C694" s="947"/>
      <c r="D694" s="976"/>
      <c r="E694" s="981"/>
      <c r="F694" s="947"/>
      <c r="G694" s="947"/>
      <c r="H694" s="976"/>
      <c r="I694" s="982"/>
      <c r="J694" s="976"/>
    </row>
    <row r="695" spans="1:10" x14ac:dyDescent="0.3">
      <c r="A695" s="1023"/>
      <c r="B695" s="952"/>
      <c r="C695" s="947"/>
      <c r="D695" s="976"/>
      <c r="E695" s="981"/>
      <c r="F695" s="947"/>
      <c r="G695" s="947"/>
      <c r="H695" s="976"/>
      <c r="I695" s="982"/>
      <c r="J695" s="952"/>
    </row>
    <row r="696" spans="1:10" x14ac:dyDescent="0.3">
      <c r="A696" s="1023"/>
      <c r="B696" s="952"/>
      <c r="C696" s="947"/>
      <c r="D696" s="976"/>
      <c r="E696" s="981"/>
      <c r="F696" s="947"/>
      <c r="G696" s="947"/>
      <c r="H696" s="976"/>
      <c r="I696" s="982"/>
      <c r="J696" s="952"/>
    </row>
    <row r="697" spans="1:10" x14ac:dyDescent="0.3">
      <c r="A697" s="1023"/>
      <c r="B697" s="952"/>
      <c r="C697" s="947"/>
      <c r="D697" s="976"/>
      <c r="E697" s="981"/>
      <c r="F697" s="947"/>
      <c r="G697" s="947"/>
      <c r="H697" s="976"/>
      <c r="I697" s="982"/>
      <c r="J697" s="952"/>
    </row>
    <row r="698" spans="1:10" x14ac:dyDescent="0.3">
      <c r="A698" s="1023"/>
      <c r="B698" s="952"/>
      <c r="C698" s="947"/>
      <c r="D698" s="976"/>
      <c r="E698" s="981"/>
      <c r="F698" s="947"/>
      <c r="G698" s="947"/>
      <c r="H698" s="976"/>
      <c r="I698" s="982"/>
      <c r="J698" s="952"/>
    </row>
    <row r="699" spans="1:10" x14ac:dyDescent="0.3">
      <c r="A699" s="1023"/>
      <c r="B699" s="952"/>
      <c r="C699" s="947"/>
      <c r="D699" s="976"/>
      <c r="E699" s="981"/>
      <c r="F699" s="947"/>
      <c r="G699" s="947"/>
      <c r="H699" s="976"/>
      <c r="I699" s="982"/>
      <c r="J699" s="952"/>
    </row>
    <row r="700" spans="1:10" x14ac:dyDescent="0.3">
      <c r="A700" s="1023"/>
      <c r="B700" s="952"/>
      <c r="C700" s="947"/>
      <c r="D700" s="976"/>
      <c r="E700" s="981"/>
      <c r="F700" s="947"/>
      <c r="G700" s="947"/>
      <c r="H700" s="976"/>
      <c r="I700" s="982"/>
      <c r="J700" s="952"/>
    </row>
    <row r="701" spans="1:10" x14ac:dyDescent="0.3">
      <c r="A701" s="1023"/>
      <c r="B701" s="952"/>
      <c r="C701" s="947"/>
      <c r="D701" s="976"/>
      <c r="E701" s="981"/>
      <c r="F701" s="947"/>
      <c r="G701" s="947"/>
      <c r="H701" s="976"/>
      <c r="I701" s="982"/>
      <c r="J701" s="952"/>
    </row>
    <row r="702" spans="1:10" x14ac:dyDescent="0.3">
      <c r="A702" s="1023"/>
      <c r="B702" s="952"/>
      <c r="C702" s="947"/>
      <c r="D702" s="976"/>
      <c r="E702" s="981"/>
      <c r="F702" s="947"/>
      <c r="G702" s="947"/>
      <c r="H702" s="976"/>
      <c r="I702" s="982"/>
      <c r="J702" s="952"/>
    </row>
    <row r="703" spans="1:10" x14ac:dyDescent="0.3">
      <c r="A703" s="1023"/>
      <c r="B703" s="952"/>
      <c r="C703" s="947"/>
      <c r="D703" s="976"/>
      <c r="E703" s="981"/>
      <c r="F703" s="947"/>
      <c r="G703" s="947"/>
      <c r="H703" s="976"/>
      <c r="I703" s="982"/>
      <c r="J703" s="952"/>
    </row>
    <row r="704" spans="1:10" x14ac:dyDescent="0.3">
      <c r="A704" s="1008"/>
      <c r="B704" s="1008"/>
      <c r="C704" s="1038"/>
      <c r="D704" s="1008"/>
      <c r="E704" s="1008"/>
      <c r="F704" s="1008"/>
      <c r="G704" s="1008"/>
      <c r="H704" s="976"/>
      <c r="I704" s="1024"/>
      <c r="J704" s="976"/>
    </row>
    <row r="705" spans="1:9" x14ac:dyDescent="0.3">
      <c r="A705" s="980"/>
      <c r="B705" s="40"/>
      <c r="C705" s="993"/>
      <c r="D705" s="98"/>
      <c r="E705" s="900"/>
      <c r="F705" s="994"/>
      <c r="G705" s="995"/>
      <c r="I705" s="995"/>
    </row>
    <row r="706" spans="1:9" x14ac:dyDescent="0.3">
      <c r="A706" s="985"/>
      <c r="B706" s="987"/>
      <c r="C706" s="1011"/>
      <c r="D706" s="18"/>
      <c r="E706" s="1012"/>
      <c r="F706" s="952"/>
      <c r="G706" s="987"/>
      <c r="I706" s="358"/>
    </row>
    <row r="707" spans="1:9" x14ac:dyDescent="0.3">
      <c r="A707" s="997"/>
      <c r="B707" s="953"/>
      <c r="C707" s="927"/>
      <c r="D707" s="359"/>
      <c r="E707" s="981"/>
      <c r="F707" s="947"/>
      <c r="G707" s="947"/>
      <c r="I707" s="982"/>
    </row>
    <row r="708" spans="1:9" x14ac:dyDescent="0.3">
      <c r="A708" s="997"/>
      <c r="B708" s="953"/>
      <c r="C708" s="927"/>
      <c r="D708" s="359"/>
      <c r="E708" s="981"/>
      <c r="F708" s="947"/>
      <c r="G708" s="947"/>
      <c r="I708" s="982"/>
    </row>
    <row r="709" spans="1:9" x14ac:dyDescent="0.3">
      <c r="A709" s="997"/>
      <c r="B709" s="953"/>
      <c r="C709" s="927"/>
      <c r="D709" s="359"/>
      <c r="E709" s="981"/>
      <c r="F709" s="947"/>
      <c r="G709" s="947"/>
      <c r="I709" s="982"/>
    </row>
    <row r="710" spans="1:9" x14ac:dyDescent="0.3">
      <c r="A710" s="997"/>
      <c r="B710" s="953"/>
      <c r="C710" s="927"/>
      <c r="D710" s="359"/>
      <c r="E710" s="981"/>
      <c r="F710" s="947"/>
      <c r="G710" s="947"/>
      <c r="I710" s="982"/>
    </row>
    <row r="711" spans="1:9" x14ac:dyDescent="0.3">
      <c r="A711" s="980"/>
      <c r="B711" s="953"/>
      <c r="C711" s="927"/>
      <c r="D711" s="359"/>
      <c r="E711" s="981"/>
      <c r="F711" s="947"/>
      <c r="G711" s="947"/>
      <c r="I711" s="982"/>
    </row>
    <row r="712" spans="1:9" x14ac:dyDescent="0.3">
      <c r="A712" s="980"/>
      <c r="B712" s="953"/>
      <c r="C712" s="927"/>
      <c r="D712" s="359"/>
      <c r="E712" s="981"/>
      <c r="F712" s="947"/>
      <c r="G712" s="947"/>
      <c r="I712" s="982"/>
    </row>
    <row r="713" spans="1:9" x14ac:dyDescent="0.3">
      <c r="A713" s="980"/>
      <c r="B713" s="942"/>
      <c r="C713" s="927"/>
      <c r="D713" s="18"/>
      <c r="E713" s="984"/>
      <c r="F713" s="947"/>
      <c r="G713" s="942"/>
      <c r="I713" s="947"/>
    </row>
    <row r="714" spans="1:9" x14ac:dyDescent="0.3">
      <c r="A714" s="998"/>
      <c r="B714" s="999"/>
      <c r="C714" s="1000"/>
      <c r="D714" s="1001"/>
      <c r="E714" s="139"/>
      <c r="F714" s="1000"/>
      <c r="G714" s="1000"/>
      <c r="I714" s="1002"/>
    </row>
    <row r="715" spans="1:9" x14ac:dyDescent="0.3">
      <c r="A715" s="985"/>
      <c r="B715" s="953"/>
      <c r="C715" s="1011"/>
      <c r="D715" s="18"/>
      <c r="E715" s="1012"/>
      <c r="F715" s="952"/>
      <c r="G715" s="987"/>
      <c r="I715" s="358"/>
    </row>
    <row r="716" spans="1:9" x14ac:dyDescent="0.3">
      <c r="A716" s="980"/>
      <c r="B716" s="953"/>
      <c r="C716" s="927"/>
      <c r="D716" s="359"/>
      <c r="E716" s="981"/>
      <c r="F716" s="947"/>
      <c r="G716" s="947"/>
      <c r="I716" s="982"/>
    </row>
    <row r="717" spans="1:9" x14ac:dyDescent="0.3">
      <c r="A717" s="980"/>
      <c r="B717" s="953"/>
      <c r="C717" s="927"/>
      <c r="D717" s="359"/>
      <c r="E717" s="981"/>
      <c r="F717" s="947"/>
      <c r="G717" s="947"/>
      <c r="I717" s="982"/>
    </row>
    <row r="718" spans="1:9" x14ac:dyDescent="0.3">
      <c r="A718" s="980"/>
      <c r="B718" s="953"/>
      <c r="C718" s="927"/>
      <c r="D718" s="359"/>
      <c r="E718" s="981"/>
      <c r="F718" s="947"/>
      <c r="G718" s="947"/>
      <c r="I718" s="982"/>
    </row>
    <row r="719" spans="1:9" x14ac:dyDescent="0.3">
      <c r="A719" s="980"/>
      <c r="B719" s="953"/>
      <c r="C719" s="927"/>
      <c r="D719" s="359"/>
      <c r="E719" s="981"/>
      <c r="F719" s="947"/>
      <c r="G719" s="947"/>
      <c r="I719" s="982"/>
    </row>
    <row r="720" spans="1:9" x14ac:dyDescent="0.3">
      <c r="A720" s="980"/>
      <c r="B720" s="953"/>
      <c r="C720" s="927"/>
      <c r="D720" s="359"/>
      <c r="E720" s="981"/>
      <c r="F720" s="947"/>
      <c r="G720" s="947"/>
      <c r="I720" s="982"/>
    </row>
    <row r="721" spans="1:9" x14ac:dyDescent="0.3">
      <c r="A721" s="980"/>
      <c r="B721" s="953"/>
      <c r="C721" s="927"/>
      <c r="D721" s="359"/>
      <c r="E721" s="981"/>
      <c r="F721" s="947"/>
      <c r="G721" s="947"/>
      <c r="I721" s="982"/>
    </row>
    <row r="722" spans="1:9" x14ac:dyDescent="0.3">
      <c r="A722" s="980"/>
      <c r="B722" s="953"/>
      <c r="C722" s="927"/>
      <c r="D722" s="359"/>
      <c r="E722" s="981"/>
      <c r="F722" s="947"/>
      <c r="G722" s="947"/>
      <c r="I722" s="982"/>
    </row>
    <row r="723" spans="1:9" ht="15.6" x14ac:dyDescent="0.3">
      <c r="A723" s="954"/>
      <c r="B723" s="929"/>
      <c r="C723" s="928"/>
      <c r="D723" s="929"/>
      <c r="E723" s="929"/>
      <c r="F723" s="929"/>
      <c r="G723" s="929"/>
      <c r="I723" s="954"/>
    </row>
    <row r="724" spans="1:9" x14ac:dyDescent="0.3">
      <c r="A724" s="985"/>
      <c r="B724" s="987"/>
      <c r="C724" s="1011"/>
      <c r="D724" s="18"/>
      <c r="E724" s="1014"/>
      <c r="F724" s="952"/>
      <c r="G724" s="987"/>
      <c r="I724" s="359"/>
    </row>
    <row r="725" spans="1:9" x14ac:dyDescent="0.3">
      <c r="A725" s="980"/>
      <c r="B725" s="953"/>
      <c r="C725" s="927"/>
      <c r="D725" s="954"/>
      <c r="E725" s="1004"/>
      <c r="F725" s="947"/>
      <c r="G725" s="954"/>
      <c r="I725" s="359"/>
    </row>
    <row r="726" spans="1:9" x14ac:dyDescent="0.3">
      <c r="A726" s="980"/>
      <c r="B726" s="953"/>
      <c r="C726" s="927"/>
      <c r="D726" s="1009"/>
      <c r="E726" s="4"/>
      <c r="F726" s="947"/>
      <c r="G726" s="942"/>
      <c r="I726" s="359"/>
    </row>
    <row r="727" spans="1:9" x14ac:dyDescent="0.3">
      <c r="A727" s="980"/>
      <c r="B727" s="953"/>
      <c r="C727" s="927"/>
      <c r="D727" s="359"/>
      <c r="E727" s="981"/>
      <c r="F727" s="947"/>
      <c r="G727" s="947"/>
      <c r="I727" s="982"/>
    </row>
    <row r="728" spans="1:9" x14ac:dyDescent="0.3">
      <c r="A728" s="980"/>
      <c r="B728" s="953"/>
      <c r="C728" s="927"/>
      <c r="D728" s="359"/>
      <c r="E728" s="981"/>
      <c r="F728" s="947"/>
      <c r="G728" s="947"/>
      <c r="I728" s="982"/>
    </row>
    <row r="729" spans="1:9" x14ac:dyDescent="0.3">
      <c r="A729" s="980"/>
      <c r="B729" s="953"/>
      <c r="C729" s="927"/>
      <c r="D729" s="359"/>
      <c r="E729" s="981"/>
      <c r="F729" s="947"/>
      <c r="G729" s="947"/>
      <c r="I729" s="982"/>
    </row>
    <row r="730" spans="1:9" x14ac:dyDescent="0.3">
      <c r="A730" s="980"/>
      <c r="B730" s="953"/>
      <c r="C730" s="927"/>
      <c r="D730" s="359"/>
      <c r="E730" s="981"/>
      <c r="F730" s="947"/>
      <c r="G730" s="947"/>
      <c r="I730" s="982"/>
    </row>
    <row r="731" spans="1:9" x14ac:dyDescent="0.3">
      <c r="A731" s="980"/>
      <c r="B731" s="942"/>
      <c r="C731" s="927"/>
      <c r="D731" s="18"/>
      <c r="E731" s="984"/>
      <c r="F731" s="947"/>
      <c r="G731" s="942"/>
      <c r="I731" s="359"/>
    </row>
    <row r="732" spans="1:9" x14ac:dyDescent="0.3">
      <c r="A732" s="985"/>
      <c r="B732" s="4"/>
      <c r="C732" s="944"/>
      <c r="D732" s="944"/>
      <c r="E732" s="139"/>
      <c r="F732" s="944"/>
      <c r="G732" s="944"/>
      <c r="I732" s="359"/>
    </row>
    <row r="733" spans="1:9" x14ac:dyDescent="0.3">
      <c r="A733" s="980"/>
      <c r="B733" s="953"/>
      <c r="C733" s="927"/>
      <c r="D733" s="954"/>
      <c r="E733" s="1004"/>
      <c r="F733" s="947"/>
      <c r="G733" s="954"/>
      <c r="I733" s="359"/>
    </row>
    <row r="734" spans="1:9" x14ac:dyDescent="0.3">
      <c r="A734" s="980"/>
      <c r="B734" s="953"/>
      <c r="C734" s="927"/>
      <c r="D734" s="359"/>
      <c r="E734" s="981"/>
      <c r="F734" s="947"/>
      <c r="G734" s="947"/>
      <c r="I734" s="982"/>
    </row>
    <row r="735" spans="1:9" x14ac:dyDescent="0.3">
      <c r="A735" s="980"/>
      <c r="B735" s="953"/>
      <c r="C735" s="927"/>
      <c r="D735" s="359"/>
      <c r="E735" s="981"/>
      <c r="F735" s="947"/>
      <c r="G735" s="947"/>
      <c r="I735" s="982"/>
    </row>
    <row r="736" spans="1:9" x14ac:dyDescent="0.3">
      <c r="A736" s="980"/>
      <c r="B736" s="953"/>
      <c r="C736" s="927"/>
      <c r="D736" s="359"/>
      <c r="E736" s="981"/>
      <c r="F736" s="947"/>
      <c r="G736" s="947"/>
      <c r="I736" s="982"/>
    </row>
    <row r="737" spans="1:10" x14ac:dyDescent="0.3">
      <c r="A737" s="980"/>
      <c r="B737" s="953"/>
      <c r="C737" s="927"/>
      <c r="D737" s="359"/>
      <c r="E737" s="981"/>
      <c r="F737" s="947"/>
      <c r="G737" s="947"/>
      <c r="I737" s="982"/>
    </row>
    <row r="738" spans="1:10" x14ac:dyDescent="0.3">
      <c r="A738" s="980"/>
      <c r="B738" s="953"/>
      <c r="C738" s="927"/>
      <c r="D738" s="359"/>
      <c r="E738" s="981"/>
      <c r="F738" s="947"/>
      <c r="G738" s="947"/>
      <c r="I738" s="982"/>
    </row>
    <row r="739" spans="1:10" x14ac:dyDescent="0.3">
      <c r="A739" s="980"/>
      <c r="B739" s="953"/>
      <c r="C739" s="927"/>
      <c r="D739" s="359"/>
      <c r="E739" s="981"/>
      <c r="F739" s="947"/>
      <c r="G739" s="947"/>
      <c r="I739" s="982"/>
    </row>
    <row r="740" spans="1:10" x14ac:dyDescent="0.3">
      <c r="A740" s="980"/>
      <c r="B740" s="942"/>
      <c r="C740" s="927"/>
      <c r="D740" s="18"/>
      <c r="E740" s="984"/>
      <c r="F740" s="947"/>
      <c r="G740" s="942"/>
      <c r="H740" s="947"/>
    </row>
    <row r="741" spans="1:10" x14ac:dyDescent="0.3">
      <c r="A741" s="998"/>
      <c r="B741" s="999"/>
      <c r="C741" s="1000"/>
      <c r="D741" s="1001"/>
      <c r="E741" s="139"/>
      <c r="F741" s="1000"/>
      <c r="G741" s="1000"/>
      <c r="H741" s="1002"/>
    </row>
    <row r="742" spans="1:10" x14ac:dyDescent="0.3">
      <c r="A742" s="985"/>
      <c r="B742" s="953"/>
      <c r="C742" s="1011"/>
      <c r="D742" s="18"/>
      <c r="E742" s="1012"/>
      <c r="F742" s="952"/>
      <c r="G742" s="987"/>
      <c r="H742" s="358"/>
    </row>
    <row r="743" spans="1:10" x14ac:dyDescent="0.3">
      <c r="A743" s="980"/>
      <c r="B743" s="953"/>
      <c r="C743" s="927"/>
      <c r="D743" s="359"/>
      <c r="E743" s="981"/>
      <c r="F743" s="947"/>
      <c r="G743" s="947"/>
      <c r="H743" s="982"/>
    </row>
    <row r="745" spans="1:10" x14ac:dyDescent="0.3">
      <c r="A745" s="907"/>
      <c r="B745" s="895"/>
      <c r="C745" s="551"/>
      <c r="D745" s="890"/>
      <c r="E745" s="958"/>
      <c r="F745" s="550"/>
      <c r="G745" s="895"/>
      <c r="H745" s="550"/>
      <c r="I745" s="895"/>
      <c r="J745" s="895"/>
    </row>
    <row r="746" spans="1:10" x14ac:dyDescent="0.3">
      <c r="A746" s="907"/>
      <c r="B746" s="895"/>
      <c r="C746" s="551"/>
      <c r="D746" s="890"/>
      <c r="E746" s="958"/>
      <c r="F746" s="550"/>
      <c r="G746" s="895"/>
      <c r="H746" s="550"/>
      <c r="I746" s="895"/>
      <c r="J746" s="895"/>
    </row>
    <row r="747" spans="1:10" x14ac:dyDescent="0.3">
      <c r="A747" s="907"/>
      <c r="B747" s="895"/>
      <c r="C747" s="551"/>
      <c r="D747" s="890"/>
      <c r="E747" s="958"/>
      <c r="F747" s="550"/>
      <c r="G747" s="895"/>
      <c r="H747" s="550"/>
      <c r="I747" s="895"/>
      <c r="J747" s="895"/>
    </row>
    <row r="748" spans="1:10" x14ac:dyDescent="0.3">
      <c r="A748" s="907"/>
      <c r="B748" s="895"/>
      <c r="C748" s="551"/>
      <c r="D748" s="890"/>
      <c r="E748" s="958"/>
      <c r="F748" s="550"/>
      <c r="G748" s="895"/>
      <c r="H748" s="550"/>
      <c r="I748" s="895"/>
      <c r="J748" s="895"/>
    </row>
    <row r="749" spans="1:10" x14ac:dyDescent="0.3">
      <c r="A749" s="907"/>
      <c r="B749" s="895"/>
      <c r="C749" s="551"/>
      <c r="D749" s="890"/>
      <c r="E749" s="958"/>
      <c r="F749" s="550"/>
      <c r="G749" s="895"/>
      <c r="H749" s="550"/>
      <c r="I749" s="895"/>
      <c r="J749" s="895"/>
    </row>
    <row r="750" spans="1:10" x14ac:dyDescent="0.3">
      <c r="A750" s="902"/>
      <c r="B750" s="895"/>
      <c r="C750" s="551"/>
      <c r="D750" s="890"/>
      <c r="E750" s="958"/>
      <c r="F750" s="550"/>
      <c r="G750" s="895"/>
      <c r="H750" s="550"/>
      <c r="I750" s="895"/>
    </row>
    <row r="751" spans="1:10" ht="15.6" x14ac:dyDescent="0.3">
      <c r="A751" s="374"/>
      <c r="B751" s="374"/>
      <c r="C751" s="928"/>
      <c r="D751" s="374"/>
      <c r="E751" s="374"/>
      <c r="F751" s="374"/>
      <c r="G751" s="374"/>
      <c r="H751" s="929"/>
      <c r="I751" s="895"/>
    </row>
    <row r="752" spans="1:10" x14ac:dyDescent="0.3">
      <c r="A752" s="902"/>
      <c r="H752" s="923"/>
      <c r="I752" s="895"/>
    </row>
    <row r="753" spans="1:10" x14ac:dyDescent="0.3">
      <c r="A753" s="902"/>
      <c r="B753" s="895"/>
      <c r="C753" s="551"/>
      <c r="D753" s="890"/>
      <c r="E753" s="958"/>
      <c r="F753" s="550"/>
      <c r="G753" s="895"/>
      <c r="H753" s="550"/>
      <c r="I753" s="895"/>
      <c r="J753" s="895"/>
    </row>
    <row r="754" spans="1:10" x14ac:dyDescent="0.3">
      <c r="A754" s="902"/>
      <c r="B754" s="895"/>
      <c r="C754" s="551"/>
      <c r="D754" s="890"/>
      <c r="E754" s="958"/>
      <c r="F754" s="550"/>
      <c r="G754" s="895"/>
      <c r="H754" s="550"/>
      <c r="I754" s="895"/>
      <c r="J754" s="895"/>
    </row>
    <row r="755" spans="1:10" x14ac:dyDescent="0.3">
      <c r="A755" s="902"/>
      <c r="B755" s="895"/>
      <c r="C755" s="551"/>
      <c r="D755" s="890"/>
      <c r="E755" s="958"/>
      <c r="F755" s="550"/>
      <c r="G755" s="895"/>
      <c r="H755" s="550"/>
      <c r="I755" s="895"/>
      <c r="J755" s="895"/>
    </row>
    <row r="756" spans="1:10" x14ac:dyDescent="0.3">
      <c r="A756" s="902"/>
      <c r="B756" s="895"/>
      <c r="C756" s="551"/>
      <c r="D756" s="890"/>
      <c r="E756" s="958"/>
      <c r="F756" s="550"/>
      <c r="G756" s="895"/>
      <c r="H756" s="550"/>
      <c r="I756" s="895"/>
      <c r="J756" s="895"/>
    </row>
    <row r="757" spans="1:10" x14ac:dyDescent="0.3">
      <c r="A757" s="902"/>
      <c r="B757" s="895"/>
      <c r="C757" s="551"/>
      <c r="D757" s="890"/>
      <c r="E757" s="958"/>
      <c r="F757" s="550"/>
      <c r="G757" s="895"/>
      <c r="H757" s="550"/>
      <c r="I757" s="895"/>
      <c r="J757" s="895"/>
    </row>
    <row r="758" spans="1:10" x14ac:dyDescent="0.3">
      <c r="A758" s="902"/>
      <c r="B758" s="895"/>
      <c r="C758" s="551"/>
      <c r="D758" s="890"/>
      <c r="E758" s="958"/>
      <c r="F758" s="550"/>
      <c r="G758" s="895"/>
      <c r="H758" s="550"/>
      <c r="I758" s="895"/>
      <c r="J758" s="895"/>
    </row>
    <row r="759" spans="1:10" x14ac:dyDescent="0.3">
      <c r="A759" s="902"/>
      <c r="B759" s="895"/>
      <c r="C759" s="551"/>
      <c r="D759" s="890"/>
      <c r="E759" s="958"/>
      <c r="F759" s="550"/>
      <c r="G759" s="895"/>
      <c r="H759" s="550"/>
      <c r="I759" s="895"/>
      <c r="J759" s="895"/>
    </row>
    <row r="760" spans="1:10" x14ac:dyDescent="0.3">
      <c r="A760" s="902"/>
      <c r="B760" s="895"/>
      <c r="C760" s="551"/>
      <c r="D760" s="890"/>
      <c r="E760" s="958"/>
      <c r="F760" s="550"/>
      <c r="G760" s="895"/>
      <c r="H760" s="880"/>
      <c r="I760" s="895"/>
    </row>
    <row r="761" spans="1:10" x14ac:dyDescent="0.3">
      <c r="A761" s="904"/>
      <c r="B761" s="889"/>
      <c r="C761" s="6"/>
      <c r="D761" s="6"/>
      <c r="E761" s="139"/>
      <c r="F761" s="6"/>
      <c r="G761" s="6"/>
      <c r="H761" s="880"/>
      <c r="I761" s="895"/>
    </row>
    <row r="762" spans="1:10" x14ac:dyDescent="0.3">
      <c r="A762" s="902"/>
      <c r="B762" s="891"/>
      <c r="C762" s="892"/>
      <c r="D762" s="878"/>
      <c r="E762" s="893"/>
      <c r="F762" s="897"/>
      <c r="G762" s="878"/>
      <c r="H762" s="880"/>
      <c r="I762" s="895"/>
    </row>
    <row r="763" spans="1:10" x14ac:dyDescent="0.3">
      <c r="A763" s="902"/>
      <c r="B763" s="895"/>
      <c r="C763" s="551"/>
      <c r="D763" s="890"/>
      <c r="E763" s="958"/>
      <c r="F763" s="550"/>
      <c r="G763" s="895"/>
      <c r="H763" s="880"/>
      <c r="I763" s="895"/>
    </row>
    <row r="764" spans="1:10" x14ac:dyDescent="0.3">
      <c r="A764" s="902"/>
      <c r="B764" s="891"/>
      <c r="C764" s="551"/>
      <c r="D764" s="962"/>
      <c r="E764" s="889"/>
      <c r="F764" s="550"/>
      <c r="G764" s="895"/>
      <c r="H764" s="880"/>
      <c r="I764" s="895"/>
    </row>
    <row r="765" spans="1:10" x14ac:dyDescent="0.3">
      <c r="A765" s="902"/>
      <c r="B765" s="891"/>
      <c r="C765" s="551"/>
      <c r="D765" s="962"/>
      <c r="E765" s="889"/>
      <c r="F765" s="550"/>
      <c r="G765" s="895"/>
      <c r="H765" s="880"/>
      <c r="I765" s="895"/>
    </row>
    <row r="766" spans="1:10" x14ac:dyDescent="0.3">
      <c r="A766" s="902"/>
      <c r="B766" s="895"/>
      <c r="C766" s="551"/>
      <c r="D766" s="962"/>
      <c r="E766" s="889"/>
      <c r="F766" s="963"/>
      <c r="G766" s="550"/>
      <c r="H766" s="880"/>
      <c r="I766" s="895"/>
    </row>
    <row r="767" spans="1:10" x14ac:dyDescent="0.3">
      <c r="A767" s="902"/>
      <c r="B767" s="891"/>
      <c r="C767" s="551"/>
      <c r="D767" s="962"/>
      <c r="E767" s="889"/>
      <c r="F767" s="550"/>
      <c r="G767" s="895"/>
      <c r="H767" s="880"/>
      <c r="I767" s="895"/>
    </row>
    <row r="768" spans="1:10" x14ac:dyDescent="0.3">
      <c r="A768" s="902"/>
      <c r="B768" s="891"/>
      <c r="C768" s="551"/>
      <c r="D768" s="962"/>
      <c r="E768" s="889"/>
      <c r="F768" s="550"/>
      <c r="G768" s="895"/>
      <c r="H768" s="880"/>
      <c r="I768" s="895"/>
    </row>
    <row r="769" spans="1:9" x14ac:dyDescent="0.3">
      <c r="A769" s="902"/>
      <c r="B769" s="895"/>
      <c r="C769" s="551"/>
      <c r="D769" s="890"/>
      <c r="E769" s="958"/>
      <c r="F769" s="550"/>
      <c r="G769" s="895"/>
      <c r="H769" s="550"/>
      <c r="I769" s="895"/>
    </row>
    <row r="770" spans="1:9" x14ac:dyDescent="0.3">
      <c r="A770" s="908"/>
      <c r="B770" s="909"/>
      <c r="C770" s="910"/>
      <c r="D770" s="911"/>
      <c r="E770" s="139"/>
      <c r="F770" s="910"/>
      <c r="G770" s="910"/>
      <c r="H770" s="912"/>
      <c r="I770" s="895"/>
    </row>
    <row r="771" spans="1:9" x14ac:dyDescent="0.3">
      <c r="A771" s="904"/>
      <c r="B771" s="891"/>
      <c r="C771" s="964"/>
      <c r="D771" s="890"/>
      <c r="E771" s="965"/>
      <c r="F771" s="24"/>
      <c r="G771" s="905"/>
      <c r="H771" s="906"/>
      <c r="I771" s="895"/>
    </row>
    <row r="772" spans="1:9" x14ac:dyDescent="0.3">
      <c r="A772" s="902"/>
      <c r="B772" s="895"/>
      <c r="C772" s="551"/>
      <c r="D772" s="890"/>
      <c r="E772" s="958"/>
      <c r="F772" s="550"/>
      <c r="G772" s="895"/>
      <c r="H772" s="880"/>
      <c r="I772" s="895"/>
    </row>
    <row r="773" spans="1:9" x14ac:dyDescent="0.3">
      <c r="A773" s="902"/>
      <c r="B773" s="891"/>
      <c r="C773" s="551"/>
      <c r="D773" s="962"/>
      <c r="E773" s="889"/>
      <c r="F773" s="550"/>
      <c r="G773" s="895"/>
      <c r="H773" s="880"/>
      <c r="I773" s="895"/>
    </row>
    <row r="774" spans="1:9" x14ac:dyDescent="0.3">
      <c r="A774" s="902"/>
      <c r="B774" s="895"/>
      <c r="C774" s="551"/>
      <c r="D774" s="890"/>
      <c r="E774" s="958"/>
      <c r="F774" s="550"/>
      <c r="G774" s="895"/>
      <c r="H774" s="880"/>
      <c r="I774" s="895"/>
    </row>
    <row r="775" spans="1:9" x14ac:dyDescent="0.3">
      <c r="A775" s="902"/>
      <c r="B775" s="891"/>
      <c r="C775" s="551"/>
      <c r="D775" s="962"/>
      <c r="E775" s="889"/>
      <c r="F775" s="550"/>
      <c r="G775" s="895"/>
      <c r="H775" s="880"/>
      <c r="I775" s="895"/>
    </row>
    <row r="776" spans="1:9" x14ac:dyDescent="0.3">
      <c r="A776" s="902"/>
      <c r="B776" s="891"/>
      <c r="C776" s="551"/>
      <c r="D776" s="962"/>
      <c r="E776" s="889"/>
      <c r="F776" s="550"/>
      <c r="G776" s="895"/>
      <c r="H776" s="880"/>
      <c r="I776" s="895"/>
    </row>
    <row r="777" spans="1:9" x14ac:dyDescent="0.3">
      <c r="A777" s="902"/>
      <c r="B777" s="891"/>
      <c r="C777" s="551"/>
      <c r="D777" s="962"/>
      <c r="E777" s="889"/>
      <c r="F777" s="550"/>
      <c r="G777" s="895"/>
      <c r="H777" s="880"/>
      <c r="I777" s="895"/>
    </row>
    <row r="778" spans="1:9" x14ac:dyDescent="0.3">
      <c r="A778" s="904"/>
      <c r="B778" s="30"/>
      <c r="C778" s="41"/>
      <c r="D778" s="890"/>
      <c r="E778" s="913"/>
      <c r="F778" s="24"/>
      <c r="G778" s="905"/>
      <c r="H778" s="880"/>
      <c r="I778" s="895"/>
    </row>
    <row r="779" spans="1:9" x14ac:dyDescent="0.3">
      <c r="A779" s="902"/>
      <c r="B779" s="891"/>
      <c r="C779" s="892"/>
      <c r="D779" s="878"/>
      <c r="E779" s="893"/>
      <c r="F779" s="897"/>
      <c r="G779" s="878"/>
      <c r="H779" s="880"/>
      <c r="I779" s="895"/>
    </row>
    <row r="780" spans="1:9" x14ac:dyDescent="0.3">
      <c r="A780" s="902"/>
      <c r="B780" s="891"/>
      <c r="C780" s="551"/>
      <c r="D780" s="890"/>
      <c r="E780" s="958"/>
      <c r="F780" s="550"/>
      <c r="G780" s="895"/>
      <c r="H780" s="880"/>
      <c r="I780" s="895"/>
    </row>
    <row r="781" spans="1:9" x14ac:dyDescent="0.3">
      <c r="A781" s="902"/>
      <c r="B781" s="891"/>
      <c r="C781" s="551"/>
      <c r="D781" s="962"/>
      <c r="E781" s="889"/>
      <c r="F781" s="550"/>
      <c r="G781" s="895"/>
      <c r="H781" s="880"/>
      <c r="I781" s="895"/>
    </row>
    <row r="782" spans="1:9" x14ac:dyDescent="0.3">
      <c r="A782" s="902"/>
      <c r="B782" s="891"/>
      <c r="C782" s="551"/>
      <c r="D782" s="962"/>
      <c r="E782" s="889"/>
      <c r="F782" s="550"/>
      <c r="G782" s="895"/>
      <c r="H782" s="880"/>
      <c r="I782" s="895"/>
    </row>
    <row r="783" spans="1:9" x14ac:dyDescent="0.3">
      <c r="A783" s="902"/>
      <c r="B783" s="895"/>
      <c r="C783" s="551"/>
      <c r="D783" s="890"/>
      <c r="E783" s="958"/>
      <c r="F783" s="550"/>
      <c r="G783" s="895"/>
      <c r="H783" s="880"/>
      <c r="I783" s="895"/>
    </row>
    <row r="784" spans="1:9" x14ac:dyDescent="0.3">
      <c r="A784" s="902"/>
      <c r="B784" s="895"/>
      <c r="C784" s="551"/>
      <c r="D784" s="890"/>
      <c r="E784" s="958"/>
      <c r="F784" s="550"/>
      <c r="G784" s="895"/>
      <c r="H784" s="880"/>
      <c r="I784" s="895"/>
    </row>
    <row r="785" spans="1:9" x14ac:dyDescent="0.3">
      <c r="A785" s="902"/>
      <c r="B785" s="895"/>
      <c r="C785" s="551"/>
      <c r="D785" s="890"/>
      <c r="E785" s="958"/>
      <c r="F785" s="550"/>
      <c r="G785" s="895"/>
      <c r="H785" s="880"/>
      <c r="I785" s="895"/>
    </row>
    <row r="786" spans="1:9" x14ac:dyDescent="0.3">
      <c r="A786" s="904"/>
      <c r="B786" s="889"/>
      <c r="C786" s="6"/>
      <c r="D786" s="6"/>
      <c r="E786" s="139"/>
      <c r="F786" s="6"/>
      <c r="G786" s="6"/>
      <c r="H786" s="880"/>
      <c r="I786" s="895"/>
    </row>
    <row r="787" spans="1:9" x14ac:dyDescent="0.3">
      <c r="A787" s="902"/>
      <c r="B787" s="891"/>
      <c r="C787" s="892"/>
      <c r="D787" s="878"/>
      <c r="E787" s="893"/>
      <c r="F787" s="897"/>
      <c r="G787" s="878"/>
      <c r="H787" s="880"/>
      <c r="I787" s="895"/>
    </row>
    <row r="788" spans="1:9" x14ac:dyDescent="0.3">
      <c r="A788" s="902"/>
      <c r="B788" s="895"/>
      <c r="C788" s="551"/>
      <c r="D788" s="890"/>
      <c r="E788" s="958"/>
      <c r="F788" s="550"/>
      <c r="G788" s="895"/>
      <c r="H788" s="880"/>
      <c r="I788" s="895"/>
    </row>
    <row r="789" spans="1:9" x14ac:dyDescent="0.3">
      <c r="A789" s="902"/>
      <c r="B789" s="895"/>
      <c r="C789" s="551"/>
      <c r="D789" s="890"/>
      <c r="E789" s="958"/>
      <c r="F789" s="550"/>
      <c r="G789" s="895"/>
      <c r="H789" s="880"/>
      <c r="I789" s="895"/>
    </row>
    <row r="790" spans="1:9" x14ac:dyDescent="0.3">
      <c r="A790" s="902"/>
      <c r="B790" s="891"/>
      <c r="C790" s="551"/>
      <c r="D790" s="962"/>
      <c r="E790" s="889"/>
      <c r="F790" s="550"/>
      <c r="G790" s="895"/>
      <c r="H790" s="880"/>
      <c r="I790" s="895"/>
    </row>
    <row r="791" spans="1:9" x14ac:dyDescent="0.3">
      <c r="A791" s="902"/>
      <c r="B791" s="891"/>
      <c r="C791" s="551"/>
      <c r="D791" s="962"/>
      <c r="E791" s="889"/>
      <c r="F791" s="550"/>
      <c r="G791" s="895"/>
      <c r="H791" s="880"/>
      <c r="I791" s="895"/>
    </row>
    <row r="792" spans="1:9" x14ac:dyDescent="0.3">
      <c r="A792" s="902"/>
      <c r="B792" s="891"/>
      <c r="C792" s="551"/>
      <c r="D792" s="962"/>
      <c r="E792" s="889"/>
      <c r="F792" s="550"/>
      <c r="G792" s="895"/>
      <c r="H792" s="880"/>
      <c r="I792" s="884"/>
    </row>
    <row r="793" spans="1:9" x14ac:dyDescent="0.3">
      <c r="A793" s="902"/>
      <c r="B793" s="891"/>
      <c r="C793" s="551"/>
      <c r="D793" s="962"/>
      <c r="E793" s="889"/>
      <c r="F793" s="550"/>
      <c r="G793" s="895"/>
      <c r="H793" s="880"/>
      <c r="I793" s="884"/>
    </row>
    <row r="794" spans="1:9" x14ac:dyDescent="0.3">
      <c r="H794" s="923"/>
    </row>
    <row r="795" spans="1:9" x14ac:dyDescent="0.3">
      <c r="H795" s="923"/>
    </row>
    <row r="796" spans="1:9" x14ac:dyDescent="0.3">
      <c r="H796" s="923"/>
    </row>
    <row r="797" spans="1:9" x14ac:dyDescent="0.3">
      <c r="H797" s="923"/>
    </row>
    <row r="798" spans="1:9" x14ac:dyDescent="0.3">
      <c r="H798" s="923"/>
    </row>
    <row r="799" spans="1:9" x14ac:dyDescent="0.3">
      <c r="H799" s="923"/>
    </row>
  </sheetData>
  <sortState ref="A229:J257">
    <sortCondition ref="E229:E257"/>
  </sortState>
  <mergeCells count="37">
    <mergeCell ref="A99:C99"/>
    <mergeCell ref="G99:J99"/>
    <mergeCell ref="A100:J100"/>
    <mergeCell ref="A242:K242"/>
    <mergeCell ref="A240:K240"/>
    <mergeCell ref="A54:K54"/>
    <mergeCell ref="K245:K246"/>
    <mergeCell ref="A245:A246"/>
    <mergeCell ref="B245:B246"/>
    <mergeCell ref="C245:D246"/>
    <mergeCell ref="E245:E246"/>
    <mergeCell ref="F245:G246"/>
    <mergeCell ref="H245:I245"/>
    <mergeCell ref="J245:J246"/>
    <mergeCell ref="C101:D101"/>
    <mergeCell ref="F101:G101"/>
    <mergeCell ref="H101:J101"/>
    <mergeCell ref="A96:K96"/>
    <mergeCell ref="A244:K244"/>
    <mergeCell ref="G243:K243"/>
    <mergeCell ref="A98:K98"/>
    <mergeCell ref="B59:D59"/>
    <mergeCell ref="A25:K25"/>
    <mergeCell ref="A1:K1"/>
    <mergeCell ref="A2:K2"/>
    <mergeCell ref="A3:K3"/>
    <mergeCell ref="A23:K23"/>
    <mergeCell ref="A24:K24"/>
    <mergeCell ref="B55:D55"/>
    <mergeCell ref="E55:G55"/>
    <mergeCell ref="I55:K55"/>
    <mergeCell ref="E57:F57"/>
    <mergeCell ref="A50:K50"/>
    <mergeCell ref="C47:H48"/>
    <mergeCell ref="A52:K52"/>
    <mergeCell ref="A53:C53"/>
    <mergeCell ref="F53:J53"/>
  </mergeCells>
  <conditionalFormatting sqref="A570:A575">
    <cfRule type="expression" priority="233">
      <formula>IF(MOD(A606,10)&lt;10,MOD(A606,10),IF(A606/10&gt;8,MOD(A606,80),IF(A606/10&gt;7,MOD(A606,70),IF(A606/10&gt;6,MOD(A606,60),IF(A606/10&gt;5,MOD(A606,50),IF(A606/10&gt;4,MOD(A606,40),IF(A606/10&gt;3,MOD(A606,30),IF(A606/10&gt;2,MOD(A606,20),MOD(A606,100)))))))))</formula>
    </cfRule>
  </conditionalFormatting>
  <conditionalFormatting sqref="A656">
    <cfRule type="expression" priority="179">
      <formula>IF(MOD(A690,10)&lt;10,MOD(A690,10),IF(A690/10&gt;8,MOD(A690,80),IF(A690/10&gt;7,MOD(A690,70),IF(A690/10&gt;6,MOD(A690,60),IF(A690/10&gt;5,MOD(A690,50),IF(A690/10&gt;4,MOD(A690,40),IF(A690/10&gt;3,MOD(A690,30),IF(A690/10&gt;2,MOD(A690,20),MOD(A690,100)))))))))</formula>
    </cfRule>
  </conditionalFormatting>
  <conditionalFormatting sqref="G576">
    <cfRule type="expression" dxfId="136" priority="158">
      <formula>IF(NOT(ISBLANK(G576)),IF(ISNUMBER(G576),IF(INT(G576/10000)&gt;23,TRUE,IF(INT(MOD(G576,10000)/100)&gt;59.99,TRUE,IF(MOD(G576,100)&gt;59.99,TRUE,FALSE))),TRUE))</formula>
    </cfRule>
  </conditionalFormatting>
  <conditionalFormatting sqref="A576">
    <cfRule type="expression" priority="157">
      <formula>IF(MOD(#REF!,10)&lt;10,MOD(#REF!,10),IF(#REF!/10&gt;8,MOD(#REF!,80),IF(#REF!/10&gt;7,MOD(#REF!,70),IF(#REF!/10&gt;6,MOD(#REF!,60),IF(#REF!/10&gt;5,MOD(#REF!,50),IF(#REF!/10&gt;4,MOD(#REF!,40),IF(#REF!/10&gt;3,MOD(#REF!,30),IF(#REF!/10&gt;2,MOD(#REF!,20),MOD(#REF!,100)))))))))</formula>
    </cfRule>
  </conditionalFormatting>
  <conditionalFormatting sqref="A587 A589">
    <cfRule type="expression" priority="156">
      <formula>IF(MOD(A640,10)&lt;10,MOD(A640,10),IF(A640/10&gt;8,MOD(A640,80),IF(A640/10&gt;7,MOD(A640,70),IF(A640/10&gt;6,MOD(A640,60),IF(A640/10&gt;5,MOD(A640,50),IF(A640/10&gt;4,MOD(A640,40),IF(A640/10&gt;3,MOD(A640,30),IF(A640/10&gt;2,MOD(A640,20),MOD(A640,100)))))))))</formula>
    </cfRule>
  </conditionalFormatting>
  <conditionalFormatting sqref="A547 A553">
    <cfRule type="expression" priority="152">
      <formula>IF(MOD(#REF!,10)&lt;10,MOD(#REF!,10),IF(#REF!/10&gt;8,MOD(#REF!,80),IF(#REF!/10&gt;7,MOD(#REF!,70),IF(#REF!/10&gt;6,MOD(#REF!,60),IF(#REF!/10&gt;5,MOD(#REF!,50),IF(#REF!/10&gt;4,MOD(#REF!,40),IF(#REF!/10&gt;3,MOD(#REF!,30),IF(#REF!/10&gt;2,MOD(#REF!,20),MOD(#REF!,100)))))))))</formula>
    </cfRule>
  </conditionalFormatting>
  <conditionalFormatting sqref="E565">
    <cfRule type="expression" dxfId="135" priority="150">
      <formula>IF(ISBLANK(E565),FALSE,IF(IF(ISNUMBER($E$8),IF(YEAR(TODAY())-$E$8&lt;=E565,FALSE,TRUE),FALSE),TRUE,IF(ISNUMBER($H$8),IF(YEAR(TODAY())-$H$8&lt;E565,TRUE,FALSE),FALSE)))</formula>
    </cfRule>
  </conditionalFormatting>
  <conditionalFormatting sqref="D576">
    <cfRule type="expression" dxfId="134" priority="139">
      <formula>IF(ISBLANK(D576),FALSE,IF(IF(ISNUMBER(#REF!),IF(YEAR(TODAY())-#REF!&lt;=D576,FALSE,TRUE),FALSE),TRUE,IF(ISNUMBER($H$8),IF(YEAR(TODAY())-$H$8&lt;D576,TRUE,FALSE),FALSE)))</formula>
    </cfRule>
  </conditionalFormatting>
  <conditionalFormatting sqref="A566:A569">
    <cfRule type="expression" priority="137">
      <formula>IF(MOD(#REF!,10)&lt;10,MOD(#REF!,10),IF(#REF!/10&gt;8,MOD(#REF!,80),IF(#REF!/10&gt;7,MOD(#REF!,70),IF(#REF!/10&gt;6,MOD(#REF!,60),IF(#REF!/10&gt;5,MOD(#REF!,50),IF(#REF!/10&gt;4,MOD(#REF!,40),IF(#REF!/10&gt;3,MOD(#REF!,30),IF(#REF!/10&gt;2,MOD(#REF!,20),MOD(#REF!,100)))))))))</formula>
    </cfRule>
  </conditionalFormatting>
  <conditionalFormatting sqref="A617:A622">
    <cfRule type="expression" priority="129">
      <formula>IF(MOD(A678,10)&lt;10,MOD(A678,10),IF(A678/10&gt;8,MOD(A678,80),IF(A678/10&gt;7,MOD(A678,70),IF(A678/10&gt;6,MOD(A678,60),IF(A678/10&gt;5,MOD(A678,50),IF(A678/10&gt;4,MOD(A678,40),IF(A678/10&gt;3,MOD(A678,30),IF(A678/10&gt;2,MOD(A678,20),MOD(A678,100)))))))))</formula>
    </cfRule>
  </conditionalFormatting>
  <conditionalFormatting sqref="I576">
    <cfRule type="expression" dxfId="133" priority="125">
      <formula>IF(I576&gt;($H$6+$H$7-#REF!),IF((I576+#REF!)&gt;($H$6+$H$7),TRUE,))</formula>
    </cfRule>
  </conditionalFormatting>
  <conditionalFormatting sqref="E678">
    <cfRule type="expression" dxfId="132" priority="124">
      <formula>IF(ISBLANK(E678),FALSE,IF(IF(ISNUMBER($E$8),IF(YEAR(TODAY())-$E$8&lt;=E678,FALSE,TRUE),FALSE),TRUE,IF(ISNUMBER($H$8),IF(YEAR(TODAY())-$H$8&lt;E678,TRUE,FALSE),FALSE)))</formula>
    </cfRule>
  </conditionalFormatting>
  <conditionalFormatting sqref="B678">
    <cfRule type="expression" dxfId="131" priority="123">
      <formula>IF(#REF!&lt;&gt;$I$6,IF(#REF!&lt;&gt;$I$7,IF(#REF!&lt;&gt;$I$8,IF(#REF!&lt;&gt;$J$6,IF(#REF!&lt;&gt;$J$7,IF(#REF!&lt;&gt;$J$8,IF(#REF!&lt;&gt;#REF!,IF(#REF!&lt;&gt;#REF!,IF(#REF!&lt;&gt;#REF!,IF(#REF!&lt;&gt;#REF!,IF(#REF!&lt;&gt;#REF!,TRUE)))))))))))</formula>
    </cfRule>
  </conditionalFormatting>
  <conditionalFormatting sqref="A678">
    <cfRule type="expression" priority="122">
      <formula>IF(MOD(A710,10)&lt;10,MOD(A710,10),IF(A710/10&gt;8,MOD(A710,80),IF(A710/10&gt;7,MOD(A710,70),IF(A710/10&gt;6,MOD(A710,60),IF(A710/10&gt;5,MOD(A710,50),IF(A710/10&gt;4,MOD(A710,40),IF(A710/10&gt;3,MOD(A710,30),IF(A710/10&gt;2,MOD(A710,20),MOD(A710,100)))))))))</formula>
    </cfRule>
  </conditionalFormatting>
  <conditionalFormatting sqref="A679 A681 A683 A685 A687 A689 A691">
    <cfRule type="expression" priority="121">
      <formula>IF(MOD(#REF!,10)&lt;10,MOD(#REF!,10),IF(#REF!/10&gt;8,MOD(#REF!,80),IF(#REF!/10&gt;7,MOD(#REF!,70),IF(#REF!/10&gt;6,MOD(#REF!,60),IF(#REF!/10&gt;5,MOD(#REF!,50),IF(#REF!/10&gt;4,MOD(#REF!,40),IF(#REF!/10&gt;3,MOD(#REF!,30),IF(#REF!/10&gt;2,MOD(#REF!,20),MOD(#REF!,100)))))))))</formula>
    </cfRule>
  </conditionalFormatting>
  <conditionalFormatting sqref="A680 A682 A684 A686 A688 A690 A692">
    <cfRule type="expression" priority="120">
      <formula>IF(MOD(#REF!,10)&lt;10,MOD(#REF!,10),IF(#REF!/10&gt;8,MOD(#REF!,80),IF(#REF!/10&gt;7,MOD(#REF!,70),IF(#REF!/10&gt;6,MOD(#REF!,60),IF(#REF!/10&gt;5,MOD(#REF!,50),IF(#REF!/10&gt;4,MOD(#REF!,40),IF(#REF!/10&gt;3,MOD(#REF!,30),IF(#REF!/10&gt;2,MOD(#REF!,20),MOD(#REF!,100)))))))))</formula>
    </cfRule>
  </conditionalFormatting>
  <conditionalFormatting sqref="A657">
    <cfRule type="expression" priority="119">
      <formula>IF(MOD(#REF!,10)&lt;10,MOD(#REF!,10),IF(#REF!/10&gt;8,MOD(#REF!,80),IF(#REF!/10&gt;7,MOD(#REF!,70),IF(#REF!/10&gt;6,MOD(#REF!,60),IF(#REF!/10&gt;5,MOD(#REF!,50),IF(#REF!/10&gt;4,MOD(#REF!,40),IF(#REF!/10&gt;3,MOD(#REF!,30),IF(#REF!/10&gt;2,MOD(#REF!,20),MOD(#REF!,100)))))))))</formula>
    </cfRule>
  </conditionalFormatting>
  <conditionalFormatting sqref="C659">
    <cfRule type="duplicateValues" dxfId="130" priority="118"/>
  </conditionalFormatting>
  <conditionalFormatting sqref="A661 A663 A665 A667 A669 A671 A673">
    <cfRule type="expression" priority="117">
      <formula>IF(MOD(#REF!,10)&lt;10,MOD(#REF!,10),IF(#REF!/10&gt;8,MOD(#REF!,80),IF(#REF!/10&gt;7,MOD(#REF!,70),IF(#REF!/10&gt;6,MOD(#REF!,60),IF(#REF!/10&gt;5,MOD(#REF!,50),IF(#REF!/10&gt;4,MOD(#REF!,40),IF(#REF!/10&gt;3,MOD(#REF!,30),IF(#REF!/10&gt;2,MOD(#REF!,20),MOD(#REF!,100)))))))))</formula>
    </cfRule>
  </conditionalFormatting>
  <conditionalFormatting sqref="A660 A662 A664 A666 A668 A670 A672">
    <cfRule type="expression" priority="116">
      <formula>IF(MOD(#REF!,10)&lt;10,MOD(#REF!,10),IF(#REF!/10&gt;8,MOD(#REF!,80),IF(#REF!/10&gt;7,MOD(#REF!,70),IF(#REF!/10&gt;6,MOD(#REF!,60),IF(#REF!/10&gt;5,MOD(#REF!,50),IF(#REF!/10&gt;4,MOD(#REF!,40),IF(#REF!/10&gt;3,MOD(#REF!,30),IF(#REF!/10&gt;2,MOD(#REF!,20),MOD(#REF!,100)))))))))</formula>
    </cfRule>
  </conditionalFormatting>
  <conditionalFormatting sqref="E697">
    <cfRule type="expression" dxfId="129" priority="115">
      <formula>IF(ISBLANK(E697),FALSE,IF(IF(ISNUMBER($E$8),IF(YEAR(TODAY())-$E$8&lt;=E697,FALSE,TRUE),FALSE),TRUE,IF(ISNUMBER($H$8),IF(YEAR(TODAY())-$H$8&lt;E697,TRUE,FALSE),FALSE)))</formula>
    </cfRule>
  </conditionalFormatting>
  <conditionalFormatting sqref="B697">
    <cfRule type="expression" dxfId="128" priority="114">
      <formula>IF(#REF!&lt;&gt;$I$6,IF(#REF!&lt;&gt;$I$7,IF(#REF!&lt;&gt;$I$8,IF(#REF!&lt;&gt;$J$6,IF(#REF!&lt;&gt;$J$7,IF(#REF!&lt;&gt;$J$8,IF(#REF!&lt;&gt;#REF!,IF(#REF!&lt;&gt;#REF!,IF(#REF!&lt;&gt;#REF!,IF(#REF!&lt;&gt;#REF!,IF(#REF!&lt;&gt;#REF!,TRUE)))))))))))</formula>
    </cfRule>
  </conditionalFormatting>
  <conditionalFormatting sqref="A694:A695 A697 A699 A701 A703">
    <cfRule type="expression" priority="113">
      <formula>IF(MOD(#REF!,10)&lt;10,MOD(#REF!,10),IF(#REF!/10&gt;8,MOD(#REF!,80),IF(#REF!/10&gt;7,MOD(#REF!,70),IF(#REF!/10&gt;6,MOD(#REF!,60),IF(#REF!/10&gt;5,MOD(#REF!,50),IF(#REF!/10&gt;4,MOD(#REF!,40),IF(#REF!/10&gt;3,MOD(#REF!,30),IF(#REF!/10&gt;2,MOD(#REF!,20),MOD(#REF!,100)))))))))</formula>
    </cfRule>
  </conditionalFormatting>
  <conditionalFormatting sqref="A693">
    <cfRule type="expression" priority="111">
      <formula>IF(MOD(#REF!,10)&lt;10,MOD(#REF!,10),IF(#REF!/10&gt;8,MOD(#REF!,80),IF(#REF!/10&gt;7,MOD(#REF!,70),IF(#REF!/10&gt;6,MOD(#REF!,60),IF(#REF!/10&gt;5,MOD(#REF!,50),IF(#REF!/10&gt;4,MOD(#REF!,40),IF(#REF!/10&gt;3,MOD(#REF!,30),IF(#REF!/10&gt;2,MOD(#REF!,20),MOD(#REF!,100)))))))))</formula>
    </cfRule>
  </conditionalFormatting>
  <conditionalFormatting sqref="A704:A719">
    <cfRule type="expression" priority="110">
      <formula>IF(MOD(A752,10)&lt;10,MOD(A752,10),IF(A752/10&gt;8,MOD(A752,80),IF(A752/10&gt;7,MOD(A752,70),IF(A752/10&gt;6,MOD(A752,60),IF(A752/10&gt;5,MOD(A752,50),IF(A752/10&gt;4,MOD(A752,40),IF(A752/10&gt;3,MOD(A752,30),IF(A752/10&gt;2,MOD(A752,20),MOD(A752,100)))))))))</formula>
    </cfRule>
  </conditionalFormatting>
  <conditionalFormatting sqref="A743">
    <cfRule type="expression" priority="109">
      <formula>IF(MOD(A749,10)&lt;10,MOD(A749,10),IF(A749/10&gt;8,MOD(A749,80),IF(A749/10&gt;7,MOD(A749,70),IF(A749/10&gt;6,MOD(A749,60),IF(A749/10&gt;5,MOD(A749,50),IF(A749/10&gt;4,MOD(A749,40),IF(A749/10&gt;3,MOD(A749,30),IF(A749/10&gt;2,MOD(A749,20),MOD(A749,100)))))))))</formula>
    </cfRule>
  </conditionalFormatting>
  <conditionalFormatting sqref="H743">
    <cfRule type="expression" dxfId="127" priority="107">
      <formula>IF(ISNUMBER(H743),FALSE,IF(ISBLANK(H743),FALSE,TRUE))</formula>
    </cfRule>
    <cfRule type="expression" dxfId="126" priority="108">
      <formula>IF(INT(H743/10000)&gt;23,TRUE,IF(INT(MOD(H743,10000)/100)&gt;59.99,TRUE,IF(MOD(H743,100)&gt;59.99,TRUE,FALSE)))</formula>
    </cfRule>
  </conditionalFormatting>
  <conditionalFormatting sqref="A750">
    <cfRule type="expression" priority="106">
      <formula>IF(MOD(#REF!,10)&lt;10,MOD(#REF!,10),IF(#REF!/10&gt;8,MOD(#REF!,80),IF(#REF!/10&gt;7,MOD(#REF!,70),IF(#REF!/10&gt;6,MOD(#REF!,60),IF(#REF!/10&gt;5,MOD(#REF!,50),IF(#REF!/10&gt;4,MOD(#REF!,40),IF(#REF!/10&gt;3,MOD(#REF!,30),IF(#REF!/10&gt;2,MOD(#REF!,20),MOD(#REF!,100)))))))))</formula>
    </cfRule>
  </conditionalFormatting>
  <conditionalFormatting sqref="A766">
    <cfRule type="expression" priority="105">
      <formula>IF(MOD(#REF!,10)&lt;10,MOD(#REF!,10),IF(#REF!/10&gt;8,MOD(#REF!,80),IF(#REF!/10&gt;7,MOD(#REF!,70),IF(#REF!/10&gt;6,MOD(#REF!,60),IF(#REF!/10&gt;5,MOD(#REF!,50),IF(#REF!/10&gt;4,MOD(#REF!,40),IF(#REF!/10&gt;3,MOD(#REF!,30),IF(#REF!/10&gt;2,MOD(#REF!,20),MOD(#REF!,100)))))))))</formula>
    </cfRule>
  </conditionalFormatting>
  <conditionalFormatting sqref="E762">
    <cfRule type="expression" dxfId="125" priority="104">
      <formula>IF(ISBLANK(E762),FALSE,IF(IF(ISNUMBER($E$8),IF(YEAR(TODAY())-$E$8&lt;=E762,FALSE,TRUE),FALSE),TRUE,IF(ISNUMBER($H$8),IF(YEAR(TODAY())-$H$8&lt;E762,TRUE,FALSE),FALSE)))</formula>
    </cfRule>
  </conditionalFormatting>
  <conditionalFormatting sqref="B762">
    <cfRule type="expression" dxfId="124" priority="103">
      <formula>IF(#REF!&lt;&gt;$I$6,IF(#REF!&lt;&gt;$I$7,IF(#REF!&lt;&gt;$I$8,IF(#REF!&lt;&gt;$J$6,IF(#REF!&lt;&gt;$J$7,IF(#REF!&lt;&gt;$J$8,IF(#REF!&lt;&gt;#REF!,IF(#REF!&lt;&gt;#REF!,IF(#REF!&lt;&gt;#REF!,IF(#REF!&lt;&gt;#REF!,IF(#REF!&lt;&gt;#REF!,TRUE)))))))))))</formula>
    </cfRule>
  </conditionalFormatting>
  <conditionalFormatting sqref="A760">
    <cfRule type="expression" priority="102">
      <formula>IF(MOD(#REF!,10)&lt;10,MOD(#REF!,10),IF(#REF!/10&gt;8,MOD(#REF!,80),IF(#REF!/10&gt;7,MOD(#REF!,70),IF(#REF!/10&gt;6,MOD(#REF!,60),IF(#REF!/10&gt;5,MOD(#REF!,50),IF(#REF!/10&gt;4,MOD(#REF!,40),IF(#REF!/10&gt;3,MOD(#REF!,30),IF(#REF!/10&gt;2,MOD(#REF!,20),MOD(#REF!,100)))))))))</formula>
    </cfRule>
  </conditionalFormatting>
  <conditionalFormatting sqref="A615">
    <cfRule type="expression" priority="101">
      <formula>IF(MOD(A656,10)&lt;10,MOD(A656,10),IF(A656/10&gt;8,MOD(A656,80),IF(A656/10&gt;7,MOD(A656,70),IF(A656/10&gt;6,MOD(A656,60),IF(A656/10&gt;5,MOD(A656,50),IF(A656/10&gt;4,MOD(A656,40),IF(A656/10&gt;3,MOD(A656,30),IF(A656/10&gt;2,MOD(A656,20),MOD(A656,100)))))))))</formula>
    </cfRule>
  </conditionalFormatting>
  <conditionalFormatting sqref="A754 A756 A758">
    <cfRule type="expression" priority="100">
      <formula>IF(MOD(A804,10)&lt;10,MOD(A804,10),IF(A804/10&gt;8,MOD(A804,80),IF(A804/10&gt;7,MOD(A804,70),IF(A804/10&gt;6,MOD(A804,60),IF(A804/10&gt;5,MOD(A804,50),IF(A804/10&gt;4,MOD(A804,40),IF(A804/10&gt;3,MOD(A804,30),IF(A804/10&gt;2,MOD(A804,20),MOD(A804,100)))))))))</formula>
    </cfRule>
  </conditionalFormatting>
  <conditionalFormatting sqref="A762">
    <cfRule type="expression" priority="99">
      <formula>IF(MOD(#REF!,10)&lt;10,MOD(#REF!,10),IF(#REF!/10&gt;8,MOD(#REF!,80),IF(#REF!/10&gt;7,MOD(#REF!,70),IF(#REF!/10&gt;6,MOD(#REF!,60),IF(#REF!/10&gt;5,MOD(#REF!,50),IF(#REF!/10&gt;4,MOD(#REF!,40),IF(#REF!/10&gt;3,MOD(#REF!,30),IF(#REF!/10&gt;2,MOD(#REF!,20),MOD(#REF!,100)))))))))</formula>
    </cfRule>
  </conditionalFormatting>
  <conditionalFormatting sqref="A725">
    <cfRule type="expression" priority="98">
      <formula>IF(MOD(#REF!,10)&lt;10,MOD(#REF!,10),IF(#REF!/10&gt;8,MOD(#REF!,80),IF(#REF!/10&gt;7,MOD(#REF!,70),IF(#REF!/10&gt;6,MOD(#REF!,60),IF(#REF!/10&gt;5,MOD(#REF!,50),IF(#REF!/10&gt;4,MOD(#REF!,40),IF(#REF!/10&gt;3,MOD(#REF!,30),IF(#REF!/10&gt;2,MOD(#REF!,20),MOD(#REF!,100)))))))))</formula>
    </cfRule>
  </conditionalFormatting>
  <conditionalFormatting sqref="A722:A724">
    <cfRule type="expression" priority="97">
      <formula>IF(MOD(A761,10)&lt;10,MOD(A761,10),IF(A761/10&gt;8,MOD(A761,80),IF(A761/10&gt;7,MOD(A761,70),IF(A761/10&gt;6,MOD(A761,60),IF(A761/10&gt;5,MOD(A761,50),IF(A761/10&gt;4,MOD(A761,40),IF(A761/10&gt;3,MOD(A761,30),IF(A761/10&gt;2,MOD(A761,20),MOD(A761,100)))))))))</formula>
    </cfRule>
  </conditionalFormatting>
  <conditionalFormatting sqref="A721">
    <cfRule type="expression" priority="96">
      <formula>IF(MOD(#REF!,10)&lt;10,MOD(#REF!,10),IF(#REF!/10&gt;8,MOD(#REF!,80),IF(#REF!/10&gt;7,MOD(#REF!,70),IF(#REF!/10&gt;6,MOD(#REF!,60),IF(#REF!/10&gt;5,MOD(#REF!,50),IF(#REF!/10&gt;4,MOD(#REF!,40),IF(#REF!/10&gt;3,MOD(#REF!,30),IF(#REF!/10&gt;2,MOD(#REF!,20),MOD(#REF!,100)))))))))</formula>
    </cfRule>
  </conditionalFormatting>
  <conditionalFormatting sqref="A734">
    <cfRule type="expression" priority="95">
      <formula>IF(MOD(#REF!,10)&lt;10,MOD(#REF!,10),IF(#REF!/10&gt;8,MOD(#REF!,80),IF(#REF!/10&gt;7,MOD(#REF!,70),IF(#REF!/10&gt;6,MOD(#REF!,60),IF(#REF!/10&gt;5,MOD(#REF!,50),IF(#REF!/10&gt;4,MOD(#REF!,40),IF(#REF!/10&gt;3,MOD(#REF!,30),IF(#REF!/10&gt;2,MOD(#REF!,20),MOD(#REF!,100)))))))))</formula>
    </cfRule>
  </conditionalFormatting>
  <conditionalFormatting sqref="A730 A733">
    <cfRule type="expression" priority="94">
      <formula>IF(MOD(A772,10)&lt;10,MOD(A772,10),IF(A772/10&gt;8,MOD(A772,80),IF(A772/10&gt;7,MOD(A772,70),IF(A772/10&gt;6,MOD(A772,60),IF(A772/10&gt;5,MOD(A772,50),IF(A772/10&gt;4,MOD(A772,40),IF(A772/10&gt;3,MOD(A772,30),IF(A772/10&gt;2,MOD(A772,20),MOD(A772,100)))))))))</formula>
    </cfRule>
  </conditionalFormatting>
  <conditionalFormatting sqref="A729 A732">
    <cfRule type="expression" priority="93">
      <formula>IF(MOD(#REF!,10)&lt;10,MOD(#REF!,10),IF(#REF!/10&gt;8,MOD(#REF!,80),IF(#REF!/10&gt;7,MOD(#REF!,70),IF(#REF!/10&gt;6,MOD(#REF!,60),IF(#REF!/10&gt;5,MOD(#REF!,50),IF(#REF!/10&gt;4,MOD(#REF!,40),IF(#REF!/10&gt;3,MOD(#REF!,30),IF(#REF!/10&gt;2,MOD(#REF!,20),MOD(#REF!,100)))))))))</formula>
    </cfRule>
  </conditionalFormatting>
  <conditionalFormatting sqref="A741">
    <cfRule type="expression" priority="92">
      <formula>IF(MOD(#REF!,10)&lt;10,MOD(#REF!,10),IF(#REF!/10&gt;8,MOD(#REF!,80),IF(#REF!/10&gt;7,MOD(#REF!,70),IF(#REF!/10&gt;6,MOD(#REF!,60),IF(#REF!/10&gt;5,MOD(#REF!,50),IF(#REF!/10&gt;4,MOD(#REF!,40),IF(#REF!/10&gt;3,MOD(#REF!,30),IF(#REF!/10&gt;2,MOD(#REF!,20),MOD(#REF!,100)))))))))</formula>
    </cfRule>
  </conditionalFormatting>
  <conditionalFormatting sqref="A738:A740">
    <cfRule type="expression" priority="91">
      <formula>IF(MOD(A789,10)&lt;10,MOD(A789,10),IF(A789/10&gt;8,MOD(A789,80),IF(A789/10&gt;7,MOD(A789,70),IF(A789/10&gt;6,MOD(A789,60),IF(A789/10&gt;5,MOD(A789,50),IF(A789/10&gt;4,MOD(A789,40),IF(A789/10&gt;3,MOD(A789,30),IF(A789/10&gt;2,MOD(A789,20),MOD(A789,100)))))))))</formula>
    </cfRule>
  </conditionalFormatting>
  <conditionalFormatting sqref="A737">
    <cfRule type="expression" priority="90">
      <formula>IF(MOD(#REF!,10)&lt;10,MOD(#REF!,10),IF(#REF!/10&gt;8,MOD(#REF!,80),IF(#REF!/10&gt;7,MOD(#REF!,70),IF(#REF!/10&gt;6,MOD(#REF!,60),IF(#REF!/10&gt;5,MOD(#REF!,50),IF(#REF!/10&gt;4,MOD(#REF!,40),IF(#REF!/10&gt;3,MOD(#REF!,30),IF(#REF!/10&gt;2,MOD(#REF!,20),MOD(#REF!,100)))))))))</formula>
    </cfRule>
  </conditionalFormatting>
  <conditionalFormatting sqref="A744:A749">
    <cfRule type="expression" priority="89">
      <formula>IF(MOD(#REF!,10)&lt;10,MOD(#REF!,10),IF(#REF!/10&gt;8,MOD(#REF!,80),IF(#REF!/10&gt;7,MOD(#REF!,70),IF(#REF!/10&gt;6,MOD(#REF!,60),IF(#REF!/10&gt;5,MOD(#REF!,50),IF(#REF!/10&gt;4,MOD(#REF!,40),IF(#REF!/10&gt;3,MOD(#REF!,30),IF(#REF!/10&gt;2,MOD(#REF!,20),MOD(#REF!,100)))))))))</formula>
    </cfRule>
  </conditionalFormatting>
  <conditionalFormatting sqref="A763:A765">
    <cfRule type="expression" priority="88">
      <formula>IF(MOD(A834,10)&lt;10,MOD(A834,10),IF(A834/10&gt;8,MOD(A834,80),IF(A834/10&gt;7,MOD(A834,70),IF(A834/10&gt;6,MOD(A834,60),IF(A834/10&gt;5,MOD(A834,50),IF(A834/10&gt;4,MOD(A834,40),IF(A834/10&gt;3,MOD(A834,30),IF(A834/10&gt;2,MOD(A834,20),MOD(A834,100)))))))))</formula>
    </cfRule>
  </conditionalFormatting>
  <conditionalFormatting sqref="A753 A755 A757 A759">
    <cfRule type="expression" priority="87">
      <formula>IF(MOD(#REF!,10)&lt;10,MOD(#REF!,10),IF(#REF!/10&gt;8,MOD(#REF!,80),IF(#REF!/10&gt;7,MOD(#REF!,70),IF(#REF!/10&gt;6,MOD(#REF!,60),IF(#REF!/10&gt;5,MOD(#REF!,50),IF(#REF!/10&gt;4,MOD(#REF!,40),IF(#REF!/10&gt;3,MOD(#REF!,30),IF(#REF!/10&gt;2,MOD(#REF!,20),MOD(#REF!,100)))))))))</formula>
    </cfRule>
  </conditionalFormatting>
  <conditionalFormatting sqref="A752">
    <cfRule type="expression" priority="86">
      <formula>IF(MOD(A803,10)&lt;10,MOD(A803,10),IF(A803/10&gt;8,MOD(A803,80),IF(A803/10&gt;7,MOD(A803,70),IF(A803/10&gt;6,MOD(A803,60),IF(A803/10&gt;5,MOD(A803,50),IF(A803/10&gt;4,MOD(A803,40),IF(A803/10&gt;3,MOD(A803,30),IF(A803/10&gt;2,MOD(A803,20),MOD(A803,100)))))))))</formula>
    </cfRule>
  </conditionalFormatting>
  <conditionalFormatting sqref="C727">
    <cfRule type="duplicateValues" dxfId="123" priority="85"/>
  </conditionalFormatting>
  <conditionalFormatting sqref="A736">
    <cfRule type="expression" priority="84">
      <formula>IF(MOD(#REF!,10)&lt;10,MOD(#REF!,10),IF(#REF!/10&gt;8,MOD(#REF!,80),IF(#REF!/10&gt;7,MOD(#REF!,70),IF(#REF!/10&gt;6,MOD(#REF!,60),IF(#REF!/10&gt;5,MOD(#REF!,50),IF(#REF!/10&gt;4,MOD(#REF!,40),IF(#REF!/10&gt;3,MOD(#REF!,30),IF(#REF!/10&gt;2,MOD(#REF!,20),MOD(#REF!,100)))))))))</formula>
    </cfRule>
  </conditionalFormatting>
  <conditionalFormatting sqref="A728 A731">
    <cfRule type="expression" priority="83">
      <formula>IF(MOD(#REF!,10)&lt;10,MOD(#REF!,10),IF(#REF!/10&gt;8,MOD(#REF!,80),IF(#REF!/10&gt;7,MOD(#REF!,70),IF(#REF!/10&gt;6,MOD(#REF!,60),IF(#REF!/10&gt;5,MOD(#REF!,50),IF(#REF!/10&gt;4,MOD(#REF!,40),IF(#REF!/10&gt;3,MOD(#REF!,30),IF(#REF!/10&gt;2,MOD(#REF!,20),MOD(#REF!,100)))))))))</formula>
    </cfRule>
  </conditionalFormatting>
  <conditionalFormatting sqref="A768:A769">
    <cfRule type="expression" priority="82">
      <formula>IF(MOD(#REF!,10)&lt;10,MOD(#REF!,10),IF(#REF!/10&gt;8,MOD(#REF!,80),IF(#REF!/10&gt;7,MOD(#REF!,70),IF(#REF!/10&gt;6,MOD(#REF!,60),IF(#REF!/10&gt;5,MOD(#REF!,50),IF(#REF!/10&gt;4,MOD(#REF!,40),IF(#REF!/10&gt;3,MOD(#REF!,30),IF(#REF!/10&gt;2,MOD(#REF!,20),MOD(#REF!,100)))))))))</formula>
    </cfRule>
  </conditionalFormatting>
  <conditionalFormatting sqref="A767">
    <cfRule type="expression" priority="81">
      <formula>IF(MOD(#REF!,10)&lt;10,MOD(#REF!,10),IF(#REF!/10&gt;8,MOD(#REF!,80),IF(#REF!/10&gt;7,MOD(#REF!,70),IF(#REF!/10&gt;6,MOD(#REF!,60),IF(#REF!/10&gt;5,MOD(#REF!,50),IF(#REF!/10&gt;4,MOD(#REF!,40),IF(#REF!/10&gt;3,MOD(#REF!,30),IF(#REF!/10&gt;2,MOD(#REF!,20),MOD(#REF!,100)))))))))</formula>
    </cfRule>
  </conditionalFormatting>
  <conditionalFormatting sqref="A675:A676">
    <cfRule type="expression" priority="80">
      <formula>IF(MOD(#REF!,10)&lt;10,MOD(#REF!,10),IF(#REF!/10&gt;8,MOD(#REF!,80),IF(#REF!/10&gt;7,MOD(#REF!,70),IF(#REF!/10&gt;6,MOD(#REF!,60),IF(#REF!/10&gt;5,MOD(#REF!,50),IF(#REF!/10&gt;4,MOD(#REF!,40),IF(#REF!/10&gt;3,MOD(#REF!,30),IF(#REF!/10&gt;2,MOD(#REF!,20),MOD(#REF!,100)))))))))</formula>
    </cfRule>
  </conditionalFormatting>
  <conditionalFormatting sqref="A720">
    <cfRule type="expression" priority="79">
      <formula>IF(MOD(#REF!,10)&lt;10,MOD(#REF!,10),IF(#REF!/10&gt;8,MOD(#REF!,80),IF(#REF!/10&gt;7,MOD(#REF!,70),IF(#REF!/10&gt;6,MOD(#REF!,60),IF(#REF!/10&gt;5,MOD(#REF!,50),IF(#REF!/10&gt;4,MOD(#REF!,40),IF(#REF!/10&gt;3,MOD(#REF!,30),IF(#REF!/10&gt;2,MOD(#REF!,20),MOD(#REF!,100)))))))))</formula>
    </cfRule>
  </conditionalFormatting>
  <conditionalFormatting sqref="A792">
    <cfRule type="expression" priority="78">
      <formula>IF(MOD(#REF!,10)&lt;10,MOD(#REF!,10),IF(#REF!/10&gt;8,MOD(#REF!,80),IF(#REF!/10&gt;7,MOD(#REF!,70),IF(#REF!/10&gt;6,MOD(#REF!,60),IF(#REF!/10&gt;5,MOD(#REF!,50),IF(#REF!/10&gt;4,MOD(#REF!,40),IF(#REF!/10&gt;3,MOD(#REF!,30),IF(#REF!/10&gt;2,MOD(#REF!,20),MOD(#REF!,100)))))))))</formula>
    </cfRule>
  </conditionalFormatting>
  <conditionalFormatting sqref="H770:H771">
    <cfRule type="expression" dxfId="122" priority="76">
      <formula>IF(ISNUMBER(H770),FALSE,IF(ISBLANK(H770),FALSE,TRUE))</formula>
    </cfRule>
    <cfRule type="expression" dxfId="121" priority="77">
      <formula>IF(INT(H770/10000)&gt;23,TRUE,IF(INT(MOD(H770,10000)/100)&gt;59.99,TRUE,IF(MOD(H770,100)&gt;59.99,TRUE,FALSE)))</formula>
    </cfRule>
  </conditionalFormatting>
  <conditionalFormatting sqref="A771">
    <cfRule type="expression" priority="75">
      <formula>IF(MOD(A775,10)&lt;10,MOD(A775,10),IF(A775/10&gt;8,MOD(A775,80),IF(A775/10&gt;7,MOD(A775,70),IF(A775/10&gt;6,MOD(A775,60),IF(A775/10&gt;5,MOD(A775,50),IF(A775/10&gt;4,MOD(A775,40),IF(A775/10&gt;3,MOD(A775,30),IF(A775/10&gt;2,MOD(A775,20),MOD(A775,100)))))))))</formula>
    </cfRule>
  </conditionalFormatting>
  <conditionalFormatting sqref="A770">
    <cfRule type="expression" priority="74">
      <formula>IF(MOD(#REF!,10)&lt;10,MOD(#REF!,10),IF(#REF!/10&gt;8,MOD(#REF!,80),IF(#REF!/10&gt;7,MOD(#REF!,70),IF(#REF!/10&gt;6,MOD(#REF!,60),IF(#REF!/10&gt;5,MOD(#REF!,50),IF(#REF!/10&gt;4,MOD(#REF!,40),IF(#REF!/10&gt;3,MOD(#REF!,30),IF(#REF!/10&gt;2,MOD(#REF!,20),MOD(#REF!,100)))))))))</formula>
    </cfRule>
  </conditionalFormatting>
  <conditionalFormatting sqref="A791">
    <cfRule type="expression" priority="73">
      <formula>IF(MOD(#REF!,10)&lt;10,MOD(#REF!,10),IF(#REF!/10&gt;8,MOD(#REF!,80),IF(#REF!/10&gt;7,MOD(#REF!,70),IF(#REF!/10&gt;6,MOD(#REF!,60),IF(#REF!/10&gt;5,MOD(#REF!,50),IF(#REF!/10&gt;4,MOD(#REF!,40),IF(#REF!/10&gt;3,MOD(#REF!,30),IF(#REF!/10&gt;2,MOD(#REF!,20),MOD(#REF!,100)))))))))</formula>
    </cfRule>
  </conditionalFormatting>
  <conditionalFormatting sqref="E779 E787">
    <cfRule type="expression" dxfId="120" priority="72">
      <formula>IF(ISBLANK(E779),FALSE,IF(IF(ISNUMBER($E$8),IF(YEAR(TODAY())-$E$8&lt;=E779,FALSE,TRUE),FALSE),TRUE,IF(ISNUMBER($H$8),IF(YEAR(TODAY())-$H$8&lt;E779,TRUE,FALSE),FALSE)))</formula>
    </cfRule>
  </conditionalFormatting>
  <conditionalFormatting sqref="B779 B787">
    <cfRule type="expression" dxfId="119" priority="71">
      <formula>IF(#REF!&lt;&gt;$I$6,IF(#REF!&lt;&gt;$I$7,IF(#REF!&lt;&gt;$I$8,IF(#REF!&lt;&gt;$J$6,IF(#REF!&lt;&gt;$J$7,IF(#REF!&lt;&gt;$J$8,IF(#REF!&lt;&gt;#REF!,IF(#REF!&lt;&gt;#REF!,IF(#REF!&lt;&gt;#REF!,IF(#REF!&lt;&gt;#REF!,IF(#REF!&lt;&gt;#REF!,TRUE)))))))))))</formula>
    </cfRule>
  </conditionalFormatting>
  <conditionalFormatting sqref="A779">
    <cfRule type="expression" priority="70">
      <formula>IF(MOD(A835,10)&lt;10,MOD(A835,10),IF(A835/10&gt;8,MOD(A835,80),IF(A835/10&gt;7,MOD(A835,70),IF(A835/10&gt;6,MOD(A835,60),IF(A835/10&gt;5,MOD(A835,50),IF(A835/10&gt;4,MOD(A835,40),IF(A835/10&gt;3,MOD(A835,30),IF(A835/10&gt;2,MOD(A835,20),MOD(A835,100)))))))))</formula>
    </cfRule>
  </conditionalFormatting>
  <conditionalFormatting sqref="A772">
    <cfRule type="expression" priority="69">
      <formula>IF(MOD(#REF!,10)&lt;10,MOD(#REF!,10),IF(#REF!/10&gt;8,MOD(#REF!,80),IF(#REF!/10&gt;7,MOD(#REF!,70),IF(#REF!/10&gt;6,MOD(#REF!,60),IF(#REF!/10&gt;5,MOD(#REF!,50),IF(#REF!/10&gt;4,MOD(#REF!,40),IF(#REF!/10&gt;3,MOD(#REF!,30),IF(#REF!/10&gt;2,MOD(#REF!,20),MOD(#REF!,100)))))))))</formula>
    </cfRule>
  </conditionalFormatting>
  <conditionalFormatting sqref="A784:A785">
    <cfRule type="expression" priority="68">
      <formula>IF(MOD(#REF!,10)&lt;10,MOD(#REF!,10),IF(#REF!/10&gt;8,MOD(#REF!,80),IF(#REF!/10&gt;7,MOD(#REF!,70),IF(#REF!/10&gt;6,MOD(#REF!,60),IF(#REF!/10&gt;5,MOD(#REF!,50),IF(#REF!/10&gt;4,MOD(#REF!,40),IF(#REF!/10&gt;3,MOD(#REF!,30),IF(#REF!/10&gt;2,MOD(#REF!,20),MOD(#REF!,100)))))))))</formula>
    </cfRule>
  </conditionalFormatting>
  <conditionalFormatting sqref="A780">
    <cfRule type="expression" priority="67">
      <formula>IF(MOD(#REF!,10)&lt;10,MOD(#REF!,10),IF(#REF!/10&gt;8,MOD(#REF!,80),IF(#REF!/10&gt;7,MOD(#REF!,70),IF(#REF!/10&gt;6,MOD(#REF!,60),IF(#REF!/10&gt;5,MOD(#REF!,50),IF(#REF!/10&gt;4,MOD(#REF!,40),IF(#REF!/10&gt;3,MOD(#REF!,30),IF(#REF!/10&gt;2,MOD(#REF!,20),MOD(#REF!,100)))))))))</formula>
    </cfRule>
  </conditionalFormatting>
  <conditionalFormatting sqref="A782">
    <cfRule type="expression" priority="66">
      <formula>IF(MOD(A836,10)&lt;10,MOD(A836,10),IF(A836/10&gt;8,MOD(A836,80),IF(A836/10&gt;7,MOD(A836,70),IF(A836/10&gt;6,MOD(A836,60),IF(A836/10&gt;5,MOD(A836,50),IF(A836/10&gt;4,MOD(A836,40),IF(A836/10&gt;3,MOD(A836,30),IF(A836/10&gt;2,MOD(A836,20),MOD(A836,100)))))))))</formula>
    </cfRule>
  </conditionalFormatting>
  <conditionalFormatting sqref="A775:A777">
    <cfRule type="expression" priority="65">
      <formula>IF(MOD(A829,10)&lt;10,MOD(A829,10),IF(A829/10&gt;8,MOD(A829,80),IF(A829/10&gt;7,MOD(A829,70),IF(A829/10&gt;6,MOD(A829,60),IF(A829/10&gt;5,MOD(A829,50),IF(A829/10&gt;4,MOD(A829,40),IF(A829/10&gt;3,MOD(A829,30),IF(A829/10&gt;2,MOD(A829,20),MOD(A829,100)))))))))</formula>
    </cfRule>
  </conditionalFormatting>
  <conditionalFormatting sqref="A781">
    <cfRule type="expression" priority="64">
      <formula>IF(MOD(#REF!,10)&lt;10,MOD(#REF!,10),IF(#REF!/10&gt;8,MOD(#REF!,80),IF(#REF!/10&gt;7,MOD(#REF!,70),IF(#REF!/10&gt;6,MOD(#REF!,60),IF(#REF!/10&gt;5,MOD(#REF!,50),IF(#REF!/10&gt;4,MOD(#REF!,40),IF(#REF!/10&gt;3,MOD(#REF!,30),IF(#REF!/10&gt;2,MOD(#REF!,20),MOD(#REF!,100)))))))))</formula>
    </cfRule>
  </conditionalFormatting>
  <conditionalFormatting sqref="A787">
    <cfRule type="expression" priority="63">
      <formula>IF(MOD(#REF!,10)&lt;10,MOD(#REF!,10),IF(#REF!/10&gt;8,MOD(#REF!,80),IF(#REF!/10&gt;7,MOD(#REF!,70),IF(#REF!/10&gt;6,MOD(#REF!,60),IF(#REF!/10&gt;5,MOD(#REF!,50),IF(#REF!/10&gt;4,MOD(#REF!,40),IF(#REF!/10&gt;3,MOD(#REF!,30),IF(#REF!/10&gt;2,MOD(#REF!,20),MOD(#REF!,100)))))))))</formula>
    </cfRule>
  </conditionalFormatting>
  <conditionalFormatting sqref="A778">
    <cfRule type="expression" priority="62">
      <formula>IF(MOD(#REF!,10)&lt;10,MOD(#REF!,10),IF(#REF!/10&gt;8,MOD(#REF!,80),IF(#REF!/10&gt;7,MOD(#REF!,70),IF(#REF!/10&gt;6,MOD(#REF!,60),IF(#REF!/10&gt;5,MOD(#REF!,50),IF(#REF!/10&gt;4,MOD(#REF!,40),IF(#REF!/10&gt;3,MOD(#REF!,30),IF(#REF!/10&gt;2,MOD(#REF!,20),MOD(#REF!,100)))))))))</formula>
    </cfRule>
  </conditionalFormatting>
  <conditionalFormatting sqref="A783">
    <cfRule type="expression" priority="61">
      <formula>IF(MOD(#REF!,10)&lt;10,MOD(#REF!,10),IF(#REF!/10&gt;8,MOD(#REF!,80),IF(#REF!/10&gt;7,MOD(#REF!,70),IF(#REF!/10&gt;6,MOD(#REF!,60),IF(#REF!/10&gt;5,MOD(#REF!,50),IF(#REF!/10&gt;4,MOD(#REF!,40),IF(#REF!/10&gt;3,MOD(#REF!,30),IF(#REF!/10&gt;2,MOD(#REF!,20),MOD(#REF!,100)))))))))</formula>
    </cfRule>
  </conditionalFormatting>
  <conditionalFormatting sqref="A788:A790">
    <cfRule type="expression" priority="60">
      <formula>IF(MOD(A859,10)&lt;10,MOD(A859,10),IF(A859/10&gt;8,MOD(A859,80),IF(A859/10&gt;7,MOD(A859,70),IF(A859/10&gt;6,MOD(A859,60),IF(A859/10&gt;5,MOD(A859,50),IF(A859/10&gt;4,MOD(A859,40),IF(A859/10&gt;3,MOD(A859,30),IF(A859/10&gt;2,MOD(A859,20),MOD(A859,100)))))))))</formula>
    </cfRule>
  </conditionalFormatting>
  <conditionalFormatting sqref="A774">
    <cfRule type="expression" priority="59">
      <formula>IF(MOD(#REF!,10)&lt;10,MOD(#REF!,10),IF(#REF!/10&gt;8,MOD(#REF!,80),IF(#REF!/10&gt;7,MOD(#REF!,70),IF(#REF!/10&gt;6,MOD(#REF!,60),IF(#REF!/10&gt;5,MOD(#REF!,50),IF(#REF!/10&gt;4,MOD(#REF!,40),IF(#REF!/10&gt;3,MOD(#REF!,30),IF(#REF!/10&gt;2,MOD(#REF!,20),MOD(#REF!,100)))))))))</formula>
    </cfRule>
  </conditionalFormatting>
  <conditionalFormatting sqref="A773">
    <cfRule type="expression" priority="58">
      <formula>IF(MOD(A828,10)&lt;10,MOD(A828,10),IF(A828/10&gt;8,MOD(A828,80),IF(A828/10&gt;7,MOD(A828,70),IF(A828/10&gt;6,MOD(A828,60),IF(A828/10&gt;5,MOD(A828,50),IF(A828/10&gt;4,MOD(A828,40),IF(A828/10&gt;3,MOD(A828,30),IF(A828/10&gt;2,MOD(A828,20),MOD(A828,100)))))))))</formula>
    </cfRule>
  </conditionalFormatting>
  <conditionalFormatting sqref="A793">
    <cfRule type="expression" priority="57">
      <formula>IF(MOD(#REF!,10)&lt;10,MOD(#REF!,10),IF(#REF!/10&gt;8,MOD(#REF!,80),IF(#REF!/10&gt;7,MOD(#REF!,70),IF(#REF!/10&gt;6,MOD(#REF!,60),IF(#REF!/10&gt;5,MOD(#REF!,50),IF(#REF!/10&gt;4,MOD(#REF!,40),IF(#REF!/10&gt;3,MOD(#REF!,30),IF(#REF!/10&gt;2,MOD(#REF!,20),MOD(#REF!,100)))))))))</formula>
    </cfRule>
  </conditionalFormatting>
  <conditionalFormatting sqref="C564">
    <cfRule type="duplicateValues" dxfId="118" priority="40"/>
  </conditionalFormatting>
  <conditionalFormatting sqref="C577">
    <cfRule type="duplicateValues" dxfId="117" priority="35"/>
  </conditionalFormatting>
  <conditionalFormatting sqref="C584">
    <cfRule type="duplicateValues" dxfId="116" priority="34"/>
  </conditionalFormatting>
  <conditionalFormatting sqref="C623">
    <cfRule type="duplicateValues" dxfId="115" priority="33"/>
  </conditionalFormatting>
  <conditionalFormatting sqref="C658">
    <cfRule type="duplicateValues" dxfId="114" priority="32"/>
  </conditionalFormatting>
  <conditionalFormatting sqref="C677">
    <cfRule type="duplicateValues" dxfId="113" priority="31"/>
  </conditionalFormatting>
  <conditionalFormatting sqref="C696">
    <cfRule type="duplicateValues" dxfId="112" priority="30"/>
  </conditionalFormatting>
  <conditionalFormatting sqref="A674">
    <cfRule type="expression" priority="29">
      <formula>IF(MOD(#REF!,10)&lt;10,MOD(#REF!,10),IF(#REF!/10&gt;8,MOD(#REF!,80),IF(#REF!/10&gt;7,MOD(#REF!,70),IF(#REF!/10&gt;6,MOD(#REF!,60),IF(#REF!/10&gt;5,MOD(#REF!,50),IF(#REF!/10&gt;4,MOD(#REF!,40),IF(#REF!/10&gt;3,MOD(#REF!,30),IF(#REF!/10&gt;2,MOD(#REF!,20),MOD(#REF!,100)))))))))</formula>
    </cfRule>
  </conditionalFormatting>
  <conditionalFormatting sqref="C726">
    <cfRule type="duplicateValues" dxfId="111" priority="28"/>
  </conditionalFormatting>
  <conditionalFormatting sqref="C735">
    <cfRule type="duplicateValues" dxfId="110" priority="27"/>
  </conditionalFormatting>
  <conditionalFormatting sqref="C742">
    <cfRule type="duplicateValues" dxfId="109" priority="26"/>
  </conditionalFormatting>
  <conditionalFormatting sqref="C751">
    <cfRule type="duplicateValues" dxfId="108" priority="25"/>
  </conditionalFormatting>
  <conditionalFormatting sqref="A625 A628 A631 A634 A637 A640 A643 A645 A648 A651 A654">
    <cfRule type="expression" priority="24">
      <formula>IF(MOD(#REF!,10)&lt;10,MOD(#REF!,10),IF(#REF!/10&gt;8,MOD(#REF!,80),IF(#REF!/10&gt;7,MOD(#REF!,70),IF(#REF!/10&gt;6,MOD(#REF!,60),IF(#REF!/10&gt;5,MOD(#REF!,50),IF(#REF!/10&gt;4,MOD(#REF!,40),IF(#REF!/10&gt;3,MOD(#REF!,30),IF(#REF!/10&gt;2,MOD(#REF!,20),MOD(#REF!,100)))))))))</formula>
    </cfRule>
  </conditionalFormatting>
  <conditionalFormatting sqref="A580:A583">
    <cfRule type="expression" priority="22">
      <formula>IF(MOD(A617,10)&lt;10,MOD(A617,10),IF(A617/10&gt;8,MOD(A617,80),IF(A617/10&gt;7,MOD(A617,70),IF(A617/10&gt;6,MOD(A617,60),IF(A617/10&gt;5,MOD(A617,50),IF(A617/10&gt;4,MOD(A617,40),IF(A617/10&gt;3,MOD(A617,30),IF(A617/10&gt;2,MOD(A617,20),MOD(A617,100)))))))))</formula>
    </cfRule>
  </conditionalFormatting>
  <conditionalFormatting sqref="A515">
    <cfRule type="expression" priority="12">
      <formula>IF(MOD(#REF!,10)&lt;10,MOD(#REF!,10),IF(#REF!/10&gt;8,MOD(#REF!,80),IF(#REF!/10&gt;7,MOD(#REF!,70),IF(#REF!/10&gt;6,MOD(#REF!,60),IF(#REF!/10&gt;5,MOD(#REF!,50),IF(#REF!/10&gt;4,MOD(#REF!,40),IF(#REF!/10&gt;3,MOD(#REF!,30),IF(#REF!/10&gt;2,MOD(#REF!,20),MOD(#REF!,100)))))))))</formula>
    </cfRule>
  </conditionalFormatting>
  <conditionalFormatting sqref="A578:A579">
    <cfRule type="expression" priority="10">
      <formula>IF(MOD(#REF!,10)&lt;10,MOD(#REF!,10),IF(#REF!/10&gt;8,MOD(#REF!,80),IF(#REF!/10&gt;7,MOD(#REF!,70),IF(#REF!/10&gt;6,MOD(#REF!,60),IF(#REF!/10&gt;5,MOD(#REF!,50),IF(#REF!/10&gt;4,MOD(#REF!,40),IF(#REF!/10&gt;3,MOD(#REF!,30),IF(#REF!/10&gt;2,MOD(#REF!,20),MOD(#REF!,100)))))))))</formula>
    </cfRule>
  </conditionalFormatting>
  <conditionalFormatting sqref="A624">
    <cfRule type="expression" priority="9">
      <formula>IF(MOD(#REF!,10)&lt;10,MOD(#REF!,10),IF(#REF!/10&gt;8,MOD(#REF!,80),IF(#REF!/10&gt;7,MOD(#REF!,70),IF(#REF!/10&gt;6,MOD(#REF!,60),IF(#REF!/10&gt;5,MOD(#REF!,50),IF(#REF!/10&gt;4,MOD(#REF!,40),IF(#REF!/10&gt;3,MOD(#REF!,30),IF(#REF!/10&gt;2,MOD(#REF!,20),MOD(#REF!,100)))))))))</formula>
    </cfRule>
  </conditionalFormatting>
  <conditionalFormatting sqref="A626 A629 A632 A635 A638 A641 A646 A649 A652 A655">
    <cfRule type="expression" priority="8">
      <formula>IF(MOD(#REF!,10)&lt;10,MOD(#REF!,10),IF(#REF!/10&gt;8,MOD(#REF!,80),IF(#REF!/10&gt;7,MOD(#REF!,70),IF(#REF!/10&gt;6,MOD(#REF!,60),IF(#REF!/10&gt;5,MOD(#REF!,50),IF(#REF!/10&gt;4,MOD(#REF!,40),IF(#REF!/10&gt;3,MOD(#REF!,30),IF(#REF!/10&gt;2,MOD(#REF!,20),MOD(#REF!,100)))))))))</formula>
    </cfRule>
  </conditionalFormatting>
  <conditionalFormatting sqref="A616">
    <cfRule type="expression" priority="5">
      <formula>IF(MOD(A683,10)&lt;10,MOD(A683,10),IF(A683/10&gt;8,MOD(A683,80),IF(A683/10&gt;7,MOD(A683,70),IF(A683/10&gt;6,MOD(A683,60),IF(A683/10&gt;5,MOD(A683,50),IF(A683/10&gt;4,MOD(A683,40),IF(A683/10&gt;3,MOD(A683,30),IF(A683/10&gt;2,MOD(A683,20),MOD(A683,100)))))))))</formula>
    </cfRule>
  </conditionalFormatting>
  <conditionalFormatting sqref="A630 A639 A642 A627 A633 A636">
    <cfRule type="expression" priority="4">
      <formula>IF(MOD(A685,10)&lt;10,MOD(A685,10),IF(A685/10&gt;8,MOD(A685,80),IF(A685/10&gt;7,MOD(A685,70),IF(A685/10&gt;6,MOD(A685,60),IF(A685/10&gt;5,MOD(A685,50),IF(A685/10&gt;4,MOD(A685,40),IF(A685/10&gt;3,MOD(A685,30),IF(A685/10&gt;2,MOD(A685,20),MOD(A685,100)))))))))</formula>
    </cfRule>
  </conditionalFormatting>
  <conditionalFormatting sqref="A644 A647 A650 A653">
    <cfRule type="expression" priority="71682">
      <formula>IF(MOD(A708,10)&lt;10,MOD(A708,10),IF(A708/10&gt;8,MOD(A708,80),IF(A708/10&gt;7,MOD(A708,70),IF(A708/10&gt;6,MOD(A708,60),IF(A708/10&gt;5,MOD(A708,50),IF(A708/10&gt;4,MOD(A708,40),IF(A708/10&gt;3,MOD(A708,30),IF(A708/10&gt;2,MOD(A708,20),MOD(A708,100)))))))))</formula>
    </cfRule>
  </conditionalFormatting>
  <conditionalFormatting sqref="A611 A613">
    <cfRule type="expression" priority="71683">
      <formula>IF(MOD(#REF!,10)&lt;10,MOD(#REF!,10),IF(#REF!/10&gt;8,MOD(#REF!,80),IF(#REF!/10&gt;7,MOD(#REF!,70),IF(#REF!/10&gt;6,MOD(#REF!,60),IF(#REF!/10&gt;5,MOD(#REF!,50),IF(#REF!/10&gt;4,MOD(#REF!,40),IF(#REF!/10&gt;3,MOD(#REF!,30),IF(#REF!/10&gt;2,MOD(#REF!,20),MOD(#REF!,100)))))))))</formula>
    </cfRule>
  </conditionalFormatting>
  <conditionalFormatting sqref="A565 A562:A563">
    <cfRule type="expression" priority="71685">
      <formula>IF(MOD(#REF!,10)&lt;10,MOD(#REF!,10),IF(#REF!/10&gt;8,MOD(#REF!,80),IF(#REF!/10&gt;7,MOD(#REF!,70),IF(#REF!/10&gt;6,MOD(#REF!,60),IF(#REF!/10&gt;5,MOD(#REF!,50),IF(#REF!/10&gt;4,MOD(#REF!,40),IF(#REF!/10&gt;3,MOD(#REF!,30),IF(#REF!/10&gt;2,MOD(#REF!,20),MOD(#REF!,100)))))))))</formula>
    </cfRule>
  </conditionalFormatting>
  <conditionalFormatting sqref="A591 A593 A595 A597">
    <cfRule type="expression" priority="71686">
      <formula>IF(MOD(#REF!,10)&lt;10,MOD(#REF!,10),IF(#REF!/10&gt;8,MOD(#REF!,80),IF(#REF!/10&gt;7,MOD(#REF!,70),IF(#REF!/10&gt;6,MOD(#REF!,60),IF(#REF!/10&gt;5,MOD(#REF!,50),IF(#REF!/10&gt;4,MOD(#REF!,40),IF(#REF!/10&gt;3,MOD(#REF!,30),IF(#REF!/10&gt;2,MOD(#REF!,20),MOD(#REF!,100)))))))))</formula>
    </cfRule>
  </conditionalFormatting>
  <conditionalFormatting sqref="A601 A603 A605 A607 A609 A599">
    <cfRule type="expression" priority="71690">
      <formula>IF(MOD(A645,10)&lt;10,MOD(A645,10),IF(A645/10&gt;8,MOD(A645,80),IF(A645/10&gt;7,MOD(A645,70),IF(A645/10&gt;6,MOD(A645,60),IF(A645/10&gt;5,MOD(A645,50),IF(A645/10&gt;4,MOD(A645,40),IF(A645/10&gt;3,MOD(A645,30),IF(A645/10&gt;2,MOD(A645,20),MOD(A645,100)))))))))</formula>
    </cfRule>
  </conditionalFormatting>
  <conditionalFormatting sqref="F105:F111">
    <cfRule type="expression" dxfId="107" priority="3">
      <formula>IF(ISBLANK(F105),FALSE,IF(IF(ISNUMBER($G$13),IF(YEAR(TODAY())-$G$13&lt;=F105,FALSE,TRUE),FALSE),TRUE,IF(ISNUMBER($E$13),IF(YEAR(TODAY())-$E$13&lt;F105,TRUE,FALSE),FALSE)))</formula>
    </cfRule>
  </conditionalFormatting>
  <pageMargins left="0" right="0" top="0.35433070866141736" bottom="1.1811023622047245" header="0" footer="0.11811023622047245"/>
  <pageSetup paperSize="9" orientation="portrait" r:id="rId1"/>
  <headerFooter scaleWithDoc="0" alignWithMargins="0">
    <oddHeader>&amp;R&amp;"Times New Roman,курсив"&amp;8Стр. &amp;P из &amp;N</oddHeader>
    <oddFooter>&amp;L&amp;"Times New Roman,полужирный курсив"Главный судья соревнований, судья первой категории
Главный секретарь соревнований, судья всероссийской категории&amp;R&amp;"Times New Roman,полужирный курсив"Устюгова В.Ю. 
Реди Е.В.</oddFooter>
  </headerFooter>
  <rowBreaks count="1" manualBreakCount="1">
    <brk id="49" max="1638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0"/>
  <dimension ref="A1:R320"/>
  <sheetViews>
    <sheetView topLeftCell="A67" workbookViewId="0">
      <selection activeCell="O84" sqref="O84"/>
    </sheetView>
  </sheetViews>
  <sheetFormatPr defaultRowHeight="14.4" x14ac:dyDescent="0.3"/>
  <cols>
    <col min="8" max="8" width="12" style="525" customWidth="1"/>
    <col min="9" max="9" width="9.109375" style="522"/>
  </cols>
  <sheetData>
    <row r="1" spans="1:11" ht="18.75" customHeight="1" x14ac:dyDescent="0.3">
      <c r="A1" s="109" t="s">
        <v>74</v>
      </c>
      <c r="C1" s="110"/>
      <c r="D1" s="111"/>
      <c r="E1" s="111"/>
      <c r="F1" s="111"/>
      <c r="G1" s="111"/>
      <c r="H1" s="112">
        <f ca="1">YEAR(TODAY())-18</f>
        <v>2007</v>
      </c>
      <c r="I1" s="255" t="s">
        <v>75</v>
      </c>
      <c r="J1" s="111"/>
      <c r="K1" s="345" t="s">
        <v>621</v>
      </c>
    </row>
    <row r="2" spans="1:11" ht="15.75" customHeight="1" x14ac:dyDescent="0.3">
      <c r="A2" s="113" t="s">
        <v>626</v>
      </c>
      <c r="C2" s="110"/>
      <c r="D2" s="111"/>
      <c r="E2" s="111"/>
      <c r="F2" s="111"/>
      <c r="G2" s="111"/>
      <c r="H2" s="513"/>
      <c r="I2" s="516"/>
      <c r="J2" s="111"/>
      <c r="K2" s="345" t="s">
        <v>623</v>
      </c>
    </row>
    <row r="3" spans="1:11" ht="15" customHeight="1" x14ac:dyDescent="0.3">
      <c r="A3" s="103" t="s">
        <v>627</v>
      </c>
      <c r="C3" s="104"/>
      <c r="D3" s="103"/>
      <c r="E3" s="103"/>
      <c r="F3" s="103"/>
      <c r="G3" s="103"/>
      <c r="H3" s="514"/>
      <c r="I3" s="517"/>
      <c r="J3" s="103"/>
      <c r="K3" s="345" t="s">
        <v>624</v>
      </c>
    </row>
    <row r="4" spans="1:11" ht="14.25" customHeight="1" x14ac:dyDescent="0.3">
      <c r="A4" s="53"/>
      <c r="C4" s="33" t="s">
        <v>39</v>
      </c>
      <c r="D4" s="35"/>
      <c r="E4" s="36"/>
      <c r="F4" s="34"/>
      <c r="G4" s="34"/>
      <c r="H4" s="523"/>
      <c r="I4" s="518"/>
      <c r="J4" s="35"/>
      <c r="K4" s="345" t="s">
        <v>625</v>
      </c>
    </row>
    <row r="5" spans="1:11" ht="15" customHeight="1" x14ac:dyDescent="0.3">
      <c r="A5" s="54"/>
      <c r="C5" s="37"/>
      <c r="D5" s="27"/>
      <c r="E5" s="23"/>
      <c r="F5" s="38"/>
      <c r="G5" s="38"/>
      <c r="H5" s="515" t="str">
        <f>$K$1</f>
        <v>Рекорд края</v>
      </c>
      <c r="I5" s="518">
        <f>Рекорды!D5</f>
        <v>17.940000000000001</v>
      </c>
    </row>
    <row r="6" spans="1:11" ht="15" customHeight="1" x14ac:dyDescent="0.3">
      <c r="A6" s="54"/>
      <c r="C6" s="37"/>
      <c r="D6" s="27"/>
      <c r="E6" s="23"/>
      <c r="F6" s="38"/>
      <c r="G6" s="38"/>
      <c r="H6" s="515" t="str">
        <f>$K$2</f>
        <v>Рекорд края 16-17 лет</v>
      </c>
      <c r="I6" s="518">
        <f>Рекорды!B5</f>
        <v>18.920000000000002</v>
      </c>
    </row>
    <row r="7" spans="1:11" ht="15" customHeight="1" x14ac:dyDescent="0.3">
      <c r="A7" s="54"/>
      <c r="C7" s="37"/>
      <c r="D7" s="27"/>
      <c r="E7" s="23"/>
      <c r="F7" s="38"/>
      <c r="G7" s="38"/>
      <c r="H7" s="515" t="str">
        <f>$K$3</f>
        <v>Рекорд края 14-15 лет</v>
      </c>
      <c r="I7" s="518">
        <f>Рекорды!D73</f>
        <v>19.11</v>
      </c>
    </row>
    <row r="8" spans="1:11" ht="15" customHeight="1" x14ac:dyDescent="0.3">
      <c r="A8" s="54"/>
      <c r="C8" s="37"/>
      <c r="D8" s="27"/>
      <c r="E8" s="23"/>
      <c r="F8" s="38"/>
      <c r="G8" s="38"/>
      <c r="H8" s="515" t="str">
        <f>$K$4</f>
        <v>Рекорд края 13 лет и младше</v>
      </c>
      <c r="I8" s="518">
        <f>Рекорды!B73</f>
        <v>19.850000000000001</v>
      </c>
    </row>
    <row r="9" spans="1:11" ht="12.75" customHeight="1" x14ac:dyDescent="0.3">
      <c r="A9" s="114"/>
      <c r="C9" s="114"/>
      <c r="D9" s="114"/>
      <c r="E9" s="114"/>
      <c r="F9" s="114"/>
      <c r="G9" s="114"/>
      <c r="H9" s="524"/>
      <c r="I9" s="519"/>
      <c r="J9" s="38"/>
    </row>
    <row r="10" spans="1:11" ht="14.25" customHeight="1" x14ac:dyDescent="0.3">
      <c r="A10" s="53"/>
      <c r="C10" s="33" t="s">
        <v>76</v>
      </c>
      <c r="D10" s="35"/>
      <c r="E10" s="36"/>
      <c r="F10" s="34"/>
      <c r="G10" s="34"/>
      <c r="H10" s="523"/>
      <c r="I10" s="517"/>
      <c r="J10" s="103"/>
    </row>
    <row r="11" spans="1:11" ht="15" customHeight="1" x14ac:dyDescent="0.3">
      <c r="A11" s="54"/>
      <c r="C11" s="37"/>
      <c r="D11" s="27"/>
      <c r="E11" s="23"/>
      <c r="F11" s="38"/>
      <c r="G11" s="38"/>
      <c r="H11" s="515" t="str">
        <f>$K$1</f>
        <v>Рекорд края</v>
      </c>
      <c r="I11" s="518">
        <f>Рекорды!E5</f>
        <v>15.92</v>
      </c>
      <c r="J11" s="103"/>
    </row>
    <row r="12" spans="1:11" ht="15" customHeight="1" x14ac:dyDescent="0.3">
      <c r="A12" s="54"/>
      <c r="C12" s="37"/>
      <c r="D12" s="27"/>
      <c r="E12" s="23"/>
      <c r="F12" s="38"/>
      <c r="G12" s="38"/>
      <c r="H12" s="515" t="str">
        <f>$K$2</f>
        <v>Рекорд края 16-17 лет</v>
      </c>
      <c r="I12" s="518">
        <f>Рекорды!C5</f>
        <v>15.92</v>
      </c>
      <c r="J12" s="38"/>
    </row>
    <row r="13" spans="1:11" ht="15" customHeight="1" x14ac:dyDescent="0.3">
      <c r="A13" s="54"/>
      <c r="C13" s="37"/>
      <c r="D13" s="27"/>
      <c r="E13" s="23"/>
      <c r="F13" s="38"/>
      <c r="G13" s="38"/>
      <c r="H13" s="515" t="str">
        <f>$K$3</f>
        <v>Рекорд края 14-15 лет</v>
      </c>
      <c r="I13" s="518">
        <f>Рекорды!E73</f>
        <v>17.5</v>
      </c>
      <c r="J13" s="38"/>
    </row>
    <row r="14" spans="1:11" ht="15" customHeight="1" x14ac:dyDescent="0.3">
      <c r="A14" s="54"/>
      <c r="C14" s="37"/>
      <c r="D14" s="27"/>
      <c r="E14" s="23"/>
      <c r="F14" s="38"/>
      <c r="G14" s="38"/>
      <c r="H14" s="515" t="str">
        <f>$K$4</f>
        <v>Рекорд края 13 лет и младше</v>
      </c>
      <c r="I14" s="518">
        <f>Рекорды!C73</f>
        <v>17.7</v>
      </c>
      <c r="J14" s="38"/>
    </row>
    <row r="15" spans="1:11" ht="15" customHeight="1" x14ac:dyDescent="0.3">
      <c r="A15" s="54"/>
      <c r="C15" s="37"/>
      <c r="D15" s="27"/>
      <c r="E15" s="23"/>
      <c r="F15" s="38"/>
      <c r="G15" s="38"/>
      <c r="H15" s="524"/>
      <c r="I15" s="518"/>
      <c r="J15" s="103"/>
    </row>
    <row r="16" spans="1:11" ht="14.25" customHeight="1" x14ac:dyDescent="0.3">
      <c r="A16" s="103"/>
      <c r="C16" s="33" t="s">
        <v>96</v>
      </c>
      <c r="D16" s="103"/>
      <c r="E16" s="103"/>
      <c r="F16" s="103"/>
      <c r="G16" s="103"/>
      <c r="H16" s="523"/>
      <c r="I16" s="517"/>
      <c r="J16" s="103"/>
    </row>
    <row r="17" spans="1:10" ht="15" customHeight="1" x14ac:dyDescent="0.3">
      <c r="A17" s="103"/>
      <c r="C17" s="104"/>
      <c r="D17" s="103"/>
      <c r="E17" s="103"/>
      <c r="F17" s="103"/>
      <c r="G17" s="103"/>
      <c r="H17" s="515" t="str">
        <f>$K$1</f>
        <v>Рекорд края</v>
      </c>
      <c r="I17" s="518">
        <f>Рекорды!D41</f>
        <v>21.46</v>
      </c>
    </row>
    <row r="18" spans="1:10" ht="15" customHeight="1" x14ac:dyDescent="0.3">
      <c r="A18" s="54"/>
      <c r="C18" s="37"/>
      <c r="D18" s="27"/>
      <c r="E18" s="23"/>
      <c r="F18" s="38"/>
      <c r="G18" s="38"/>
      <c r="H18" s="515" t="str">
        <f>$K$2</f>
        <v>Рекорд края 16-17 лет</v>
      </c>
      <c r="I18" s="518">
        <f>Рекорды!B41</f>
        <v>21.92</v>
      </c>
    </row>
    <row r="19" spans="1:10" ht="15" customHeight="1" x14ac:dyDescent="0.3">
      <c r="A19" s="54"/>
      <c r="C19" s="37"/>
      <c r="D19" s="27"/>
      <c r="E19" s="23"/>
      <c r="F19" s="38"/>
      <c r="G19" s="38"/>
      <c r="H19" s="515" t="str">
        <f>$K$3</f>
        <v>Рекорд края 14-15 лет</v>
      </c>
      <c r="I19" s="518">
        <f>Рекорды!D109</f>
        <v>23</v>
      </c>
    </row>
    <row r="20" spans="1:10" ht="15" customHeight="1" x14ac:dyDescent="0.3">
      <c r="A20" s="54"/>
      <c r="C20" s="37"/>
      <c r="D20" s="27"/>
      <c r="E20" s="23"/>
      <c r="F20" s="38"/>
      <c r="G20" s="38"/>
      <c r="H20" s="515" t="str">
        <f>$K$4</f>
        <v>Рекорд края 13 лет и младше</v>
      </c>
      <c r="I20" s="518">
        <f>Рекорды!B109</f>
        <v>23.8</v>
      </c>
    </row>
    <row r="21" spans="1:10" ht="15" customHeight="1" x14ac:dyDescent="0.3">
      <c r="A21" s="103"/>
      <c r="C21" s="104"/>
      <c r="D21" s="103"/>
      <c r="E21" s="103"/>
      <c r="F21" s="103"/>
      <c r="G21" s="103"/>
      <c r="H21" s="524"/>
      <c r="I21" s="518"/>
      <c r="J21" s="103"/>
    </row>
    <row r="22" spans="1:10" ht="14.25" customHeight="1" x14ac:dyDescent="0.3">
      <c r="A22" s="103"/>
      <c r="C22" s="33" t="s">
        <v>97</v>
      </c>
      <c r="D22" s="103"/>
      <c r="E22" s="103"/>
      <c r="F22" s="103"/>
      <c r="G22" s="103"/>
      <c r="H22" s="523"/>
      <c r="I22" s="518"/>
      <c r="J22" s="103"/>
    </row>
    <row r="23" spans="1:10" ht="15" customHeight="1" x14ac:dyDescent="0.3">
      <c r="A23" s="103"/>
      <c r="C23" s="104"/>
      <c r="D23" s="103"/>
      <c r="E23" s="103"/>
      <c r="F23" s="103"/>
      <c r="G23" s="103"/>
      <c r="H23" s="515" t="str">
        <f>$K$1</f>
        <v>Рекорд края</v>
      </c>
      <c r="I23" s="518">
        <f>Рекорды!E41</f>
        <v>18.77</v>
      </c>
      <c r="J23" s="103"/>
    </row>
    <row r="24" spans="1:10" ht="15" customHeight="1" x14ac:dyDescent="0.3">
      <c r="A24" s="54"/>
      <c r="C24" s="37"/>
      <c r="D24" s="27"/>
      <c r="E24" s="23"/>
      <c r="F24" s="38"/>
      <c r="G24" s="38"/>
      <c r="H24" s="515" t="str">
        <f>$K$2</f>
        <v>Рекорд края 16-17 лет</v>
      </c>
      <c r="I24" s="518">
        <f>Рекорды!C41</f>
        <v>20.02</v>
      </c>
    </row>
    <row r="25" spans="1:10" ht="15" customHeight="1" x14ac:dyDescent="0.3">
      <c r="A25" s="54"/>
      <c r="C25" s="37"/>
      <c r="D25" s="27"/>
      <c r="E25" s="23"/>
      <c r="F25" s="38"/>
      <c r="G25" s="38"/>
      <c r="H25" s="515" t="str">
        <f>$K$3</f>
        <v>Рекорд края 14-15 лет</v>
      </c>
      <c r="I25" s="518">
        <f>Рекорды!E109</f>
        <v>20.79</v>
      </c>
    </row>
    <row r="26" spans="1:10" ht="15" customHeight="1" x14ac:dyDescent="0.3">
      <c r="A26" s="54"/>
      <c r="C26" s="37"/>
      <c r="D26" s="27"/>
      <c r="E26" s="23"/>
      <c r="F26" s="38"/>
      <c r="G26" s="38"/>
      <c r="H26" s="515" t="str">
        <f>$K$4</f>
        <v>Рекорд края 13 лет и младше</v>
      </c>
      <c r="I26" s="518">
        <f>Рекорды!C109</f>
        <v>22</v>
      </c>
    </row>
    <row r="27" spans="1:10" ht="15" customHeight="1" x14ac:dyDescent="0.3">
      <c r="A27" s="103"/>
      <c r="C27" s="104"/>
      <c r="D27" s="103"/>
      <c r="E27" s="103"/>
      <c r="F27" s="103"/>
      <c r="G27" s="103"/>
      <c r="H27" s="524"/>
      <c r="I27" s="517"/>
      <c r="J27" s="103"/>
    </row>
    <row r="28" spans="1:10" ht="14.25" customHeight="1" x14ac:dyDescent="0.3">
      <c r="A28" s="53"/>
      <c r="C28" s="33" t="s">
        <v>77</v>
      </c>
      <c r="D28" s="35"/>
      <c r="E28" s="36"/>
      <c r="F28" s="34"/>
      <c r="G28" s="34"/>
      <c r="H28" s="523"/>
      <c r="I28" s="518"/>
      <c r="J28" s="34"/>
    </row>
    <row r="29" spans="1:10" ht="15" customHeight="1" x14ac:dyDescent="0.3">
      <c r="A29" s="54"/>
      <c r="C29" s="37"/>
      <c r="D29" s="27"/>
      <c r="E29" s="23"/>
      <c r="F29" s="38"/>
      <c r="G29" s="38"/>
      <c r="H29" s="515" t="str">
        <f>$K$1</f>
        <v>Рекорд края</v>
      </c>
      <c r="I29" s="518">
        <f>Рекорды!D8</f>
        <v>39.200000000000003</v>
      </c>
    </row>
    <row r="30" spans="1:10" ht="15" customHeight="1" x14ac:dyDescent="0.3">
      <c r="A30" s="54"/>
      <c r="C30" s="37"/>
      <c r="D30" s="27"/>
      <c r="E30" s="23"/>
      <c r="F30" s="38"/>
      <c r="G30" s="38"/>
      <c r="H30" s="515" t="str">
        <f>$K$2</f>
        <v>Рекорд края 16-17 лет</v>
      </c>
      <c r="I30" s="518">
        <f>Рекорды!B8</f>
        <v>41.2</v>
      </c>
    </row>
    <row r="31" spans="1:10" ht="15" customHeight="1" x14ac:dyDescent="0.3">
      <c r="A31" s="54"/>
      <c r="C31" s="37"/>
      <c r="D31" s="27"/>
      <c r="E31" s="23"/>
      <c r="F31" s="38"/>
      <c r="G31" s="38"/>
      <c r="H31" s="515" t="str">
        <f>$K$3</f>
        <v>Рекорд края 14-15 лет</v>
      </c>
      <c r="I31" s="518">
        <f>Рекорды!D76</f>
        <v>41.48</v>
      </c>
    </row>
    <row r="32" spans="1:10" ht="15" customHeight="1" x14ac:dyDescent="0.3">
      <c r="A32" s="54"/>
      <c r="C32" s="37"/>
      <c r="D32" s="27"/>
      <c r="E32" s="23"/>
      <c r="F32" s="38"/>
      <c r="G32" s="38"/>
      <c r="H32" s="515" t="str">
        <f>$K$4</f>
        <v>Рекорд края 13 лет и младше</v>
      </c>
      <c r="I32" s="518">
        <f>Рекорды!B76</f>
        <v>43.88</v>
      </c>
    </row>
    <row r="33" spans="1:10" ht="15" customHeight="1" x14ac:dyDescent="0.3">
      <c r="A33" s="54"/>
      <c r="C33" s="37"/>
      <c r="D33" s="27"/>
      <c r="E33" s="23"/>
      <c r="F33" s="38"/>
      <c r="G33" s="38"/>
      <c r="H33" s="524"/>
      <c r="I33" s="518"/>
      <c r="J33" s="27"/>
    </row>
    <row r="34" spans="1:10" ht="14.25" customHeight="1" x14ac:dyDescent="0.3">
      <c r="A34" s="53"/>
      <c r="C34" s="33" t="s">
        <v>78</v>
      </c>
      <c r="D34" s="35"/>
      <c r="E34" s="36"/>
      <c r="F34" s="34"/>
      <c r="G34" s="34"/>
      <c r="H34" s="523"/>
      <c r="I34" s="518"/>
      <c r="J34" s="103"/>
    </row>
    <row r="35" spans="1:10" ht="15" customHeight="1" x14ac:dyDescent="0.3">
      <c r="A35" s="54"/>
      <c r="C35" s="37"/>
      <c r="D35" s="27"/>
      <c r="E35" s="23"/>
      <c r="F35" s="38"/>
      <c r="G35" s="38"/>
      <c r="H35" s="515" t="str">
        <f>$K$1</f>
        <v>Рекорд края</v>
      </c>
      <c r="I35" s="518">
        <f>Рекорды!E8</f>
        <v>35.56</v>
      </c>
      <c r="J35" s="103"/>
    </row>
    <row r="36" spans="1:10" ht="15" customHeight="1" x14ac:dyDescent="0.3">
      <c r="A36" s="54"/>
      <c r="C36" s="37"/>
      <c r="D36" s="27"/>
      <c r="E36" s="23"/>
      <c r="F36" s="38"/>
      <c r="G36" s="38"/>
      <c r="H36" s="515" t="str">
        <f>$K$2</f>
        <v>Рекорд края 16-17 лет</v>
      </c>
      <c r="I36" s="518">
        <f>Рекорды!C8</f>
        <v>36.24</v>
      </c>
      <c r="J36" s="38"/>
    </row>
    <row r="37" spans="1:10" ht="15" customHeight="1" x14ac:dyDescent="0.3">
      <c r="A37" s="54"/>
      <c r="C37" s="37"/>
      <c r="D37" s="27"/>
      <c r="E37" s="23"/>
      <c r="F37" s="38"/>
      <c r="G37" s="38"/>
      <c r="H37" s="515" t="str">
        <f>$K$3</f>
        <v>Рекорд края 14-15 лет</v>
      </c>
      <c r="I37" s="518">
        <f>Рекорды!E76</f>
        <v>37.69</v>
      </c>
      <c r="J37" s="38"/>
    </row>
    <row r="38" spans="1:10" ht="15" customHeight="1" x14ac:dyDescent="0.3">
      <c r="A38" s="54"/>
      <c r="C38" s="37"/>
      <c r="D38" s="27"/>
      <c r="E38" s="23"/>
      <c r="F38" s="38"/>
      <c r="G38" s="38"/>
      <c r="H38" s="515" t="str">
        <f>$K$4</f>
        <v>Рекорд края 13 лет и младше</v>
      </c>
      <c r="I38" s="518">
        <f>Рекорды!C76</f>
        <v>40.549999999999997</v>
      </c>
      <c r="J38" s="38"/>
    </row>
    <row r="39" spans="1:10" ht="15" customHeight="1" x14ac:dyDescent="0.3">
      <c r="A39" s="103"/>
      <c r="C39" s="104"/>
      <c r="D39" s="103"/>
      <c r="E39" s="103"/>
      <c r="F39" s="103"/>
      <c r="G39" s="103"/>
      <c r="H39" s="524"/>
      <c r="I39" s="517"/>
      <c r="J39" s="103"/>
    </row>
    <row r="40" spans="1:10" ht="14.25" customHeight="1" x14ac:dyDescent="0.3">
      <c r="A40" s="103"/>
      <c r="C40" s="33" t="s">
        <v>98</v>
      </c>
      <c r="D40" s="103"/>
      <c r="E40" s="103"/>
      <c r="F40" s="103"/>
      <c r="G40" s="103"/>
      <c r="H40" s="523"/>
      <c r="I40" s="517"/>
      <c r="J40" s="103"/>
    </row>
    <row r="41" spans="1:10" ht="15" customHeight="1" x14ac:dyDescent="0.3">
      <c r="A41" s="54"/>
      <c r="C41" s="37"/>
      <c r="D41" s="27"/>
      <c r="E41" s="23"/>
      <c r="F41" s="38"/>
      <c r="G41" s="38"/>
      <c r="H41" s="515" t="str">
        <f>$K$1</f>
        <v>Рекорд края</v>
      </c>
      <c r="I41" s="518">
        <f>Рекорды!D44</f>
        <v>47.58</v>
      </c>
    </row>
    <row r="42" spans="1:10" ht="15" customHeight="1" x14ac:dyDescent="0.3">
      <c r="A42" s="54"/>
      <c r="C42" s="37"/>
      <c r="D42" s="27"/>
      <c r="E42" s="23"/>
      <c r="F42" s="38"/>
      <c r="G42" s="38"/>
      <c r="H42" s="515" t="str">
        <f>$K$2</f>
        <v>Рекорд края 16-17 лет</v>
      </c>
      <c r="I42" s="518">
        <f>Рекорды!B44</f>
        <v>47.91</v>
      </c>
    </row>
    <row r="43" spans="1:10" ht="15" customHeight="1" x14ac:dyDescent="0.3">
      <c r="A43" s="54"/>
      <c r="C43" s="37"/>
      <c r="D43" s="27"/>
      <c r="E43" s="23"/>
      <c r="F43" s="38"/>
      <c r="G43" s="38"/>
      <c r="H43" s="515" t="str">
        <f>$K$3</f>
        <v>Рекорд края 14-15 лет</v>
      </c>
      <c r="I43" s="518">
        <f>Рекорды!D112</f>
        <v>50.68</v>
      </c>
    </row>
    <row r="44" spans="1:10" ht="15.75" customHeight="1" x14ac:dyDescent="0.3">
      <c r="A44" s="103"/>
      <c r="C44" s="104"/>
      <c r="D44" s="103"/>
      <c r="E44" s="103"/>
      <c r="F44" s="103"/>
      <c r="G44" s="103"/>
      <c r="H44" s="515" t="str">
        <f>$K$4</f>
        <v>Рекорд края 13 лет и младше</v>
      </c>
      <c r="I44" s="518">
        <f>Рекорды!B112</f>
        <v>53.01</v>
      </c>
    </row>
    <row r="45" spans="1:10" ht="15.75" customHeight="1" x14ac:dyDescent="0.3">
      <c r="A45" s="103"/>
      <c r="C45" s="104"/>
      <c r="D45" s="103"/>
      <c r="E45" s="103"/>
      <c r="F45" s="103"/>
      <c r="G45" s="103"/>
      <c r="H45" s="524"/>
      <c r="I45" s="518"/>
      <c r="J45" s="103"/>
    </row>
    <row r="46" spans="1:10" ht="14.25" customHeight="1" x14ac:dyDescent="0.3">
      <c r="A46" s="103"/>
      <c r="C46" s="33" t="s">
        <v>99</v>
      </c>
      <c r="D46" s="103"/>
      <c r="E46" s="103"/>
      <c r="F46" s="103"/>
      <c r="G46" s="103"/>
      <c r="H46" s="523"/>
      <c r="I46" s="518"/>
      <c r="J46" s="103"/>
    </row>
    <row r="47" spans="1:10" ht="15" customHeight="1" x14ac:dyDescent="0.3">
      <c r="A47" s="103"/>
      <c r="C47" s="104"/>
      <c r="D47" s="103"/>
      <c r="E47" s="103"/>
      <c r="F47" s="103"/>
      <c r="G47" s="103"/>
      <c r="H47" s="515" t="str">
        <f>$K$1</f>
        <v>Рекорд края</v>
      </c>
      <c r="I47" s="518">
        <f>Рекорды!E44</f>
        <v>42.7</v>
      </c>
      <c r="J47" s="103"/>
    </row>
    <row r="48" spans="1:10" ht="15" customHeight="1" x14ac:dyDescent="0.3">
      <c r="A48" s="54"/>
      <c r="C48" s="37"/>
      <c r="D48" s="27"/>
      <c r="E48" s="23"/>
      <c r="F48" s="38"/>
      <c r="G48" s="38"/>
      <c r="H48" s="515" t="str">
        <f>$K$2</f>
        <v>Рекорд края 16-17 лет</v>
      </c>
      <c r="I48" s="518">
        <f>Рекорды!C44</f>
        <v>43.77</v>
      </c>
    </row>
    <row r="49" spans="1:10" ht="15" customHeight="1" x14ac:dyDescent="0.3">
      <c r="A49" s="54"/>
      <c r="C49" s="37"/>
      <c r="D49" s="27"/>
      <c r="E49" s="23"/>
      <c r="F49" s="38"/>
      <c r="G49" s="38"/>
      <c r="H49" s="515" t="str">
        <f>$K$3</f>
        <v>Рекорд края 14-15 лет</v>
      </c>
      <c r="I49" s="518">
        <f>Рекорды!E112</f>
        <v>45.9</v>
      </c>
    </row>
    <row r="50" spans="1:10" ht="15" customHeight="1" x14ac:dyDescent="0.3">
      <c r="A50" s="54"/>
      <c r="C50" s="37"/>
      <c r="D50" s="27"/>
      <c r="E50" s="23"/>
      <c r="F50" s="38"/>
      <c r="G50" s="38"/>
      <c r="H50" s="515" t="str">
        <f>$K$4</f>
        <v>Рекорд края 13 лет и младше</v>
      </c>
      <c r="I50" s="518">
        <f>Рекорды!C112</f>
        <v>48.95</v>
      </c>
    </row>
    <row r="51" spans="1:10" ht="15" customHeight="1" x14ac:dyDescent="0.3">
      <c r="A51" s="103"/>
      <c r="C51" s="104"/>
      <c r="D51" s="103"/>
      <c r="E51" s="103"/>
      <c r="F51" s="103"/>
      <c r="G51" s="103"/>
      <c r="H51" s="524"/>
      <c r="I51" s="517"/>
      <c r="J51" s="103"/>
    </row>
    <row r="52" spans="1:10" ht="14.25" customHeight="1" x14ac:dyDescent="0.3">
      <c r="A52" s="53"/>
      <c r="C52" s="33" t="s">
        <v>79</v>
      </c>
      <c r="D52" s="35"/>
      <c r="E52" s="36"/>
      <c r="F52" s="34"/>
      <c r="G52" s="34"/>
      <c r="H52" s="523"/>
      <c r="I52" s="518"/>
      <c r="J52" s="34"/>
    </row>
    <row r="53" spans="1:10" ht="15" customHeight="1" x14ac:dyDescent="0.3">
      <c r="A53" s="54"/>
      <c r="C53" s="37"/>
      <c r="D53" s="27"/>
      <c r="E53" s="23"/>
      <c r="F53" s="38"/>
      <c r="G53" s="38"/>
      <c r="H53" s="515" t="str">
        <f>$K$1</f>
        <v>Рекорд края</v>
      </c>
      <c r="I53" s="518">
        <f>Рекорды!D11</f>
        <v>128.51</v>
      </c>
    </row>
    <row r="54" spans="1:10" ht="15" customHeight="1" x14ac:dyDescent="0.3">
      <c r="A54" s="54"/>
      <c r="C54" s="37"/>
      <c r="D54" s="27"/>
      <c r="E54" s="23"/>
      <c r="F54" s="38"/>
      <c r="G54" s="38"/>
      <c r="H54" s="515" t="str">
        <f>$K$2</f>
        <v>Рекорд края 16-17 лет</v>
      </c>
      <c r="I54" s="518">
        <f>Рекорды!B11</f>
        <v>132.52000000000001</v>
      </c>
    </row>
    <row r="55" spans="1:10" ht="15" customHeight="1" x14ac:dyDescent="0.3">
      <c r="A55" s="54"/>
      <c r="C55" s="37"/>
      <c r="D55" s="27"/>
      <c r="E55" s="23"/>
      <c r="F55" s="38"/>
      <c r="G55" s="38"/>
      <c r="H55" s="515" t="str">
        <f>$K$3</f>
        <v>Рекорд края 14-15 лет</v>
      </c>
      <c r="I55" s="518">
        <f>Рекорды!D79</f>
        <v>137.02000000000001</v>
      </c>
    </row>
    <row r="56" spans="1:10" ht="15" customHeight="1" x14ac:dyDescent="0.3">
      <c r="A56" s="54"/>
      <c r="C56" s="37"/>
      <c r="D56" s="27"/>
      <c r="E56" s="23"/>
      <c r="F56" s="38"/>
      <c r="G56" s="38"/>
      <c r="H56" s="515" t="str">
        <f>$K$4</f>
        <v>Рекорд края 13 лет и младше</v>
      </c>
      <c r="I56" s="518">
        <f>Рекорды!B79</f>
        <v>139.87</v>
      </c>
    </row>
    <row r="57" spans="1:10" ht="15" customHeight="1" x14ac:dyDescent="0.3">
      <c r="A57" s="103"/>
      <c r="C57" s="104"/>
      <c r="D57" s="103"/>
      <c r="E57" s="103"/>
      <c r="F57" s="103"/>
      <c r="G57" s="103"/>
      <c r="H57" s="524"/>
      <c r="I57" s="517"/>
      <c r="J57" s="103"/>
    </row>
    <row r="58" spans="1:10" ht="14.25" customHeight="1" x14ac:dyDescent="0.3">
      <c r="A58" s="53"/>
      <c r="C58" s="33" t="s">
        <v>80</v>
      </c>
      <c r="D58" s="35"/>
      <c r="E58" s="36"/>
      <c r="F58" s="34"/>
      <c r="G58" s="34"/>
      <c r="H58" s="523"/>
      <c r="I58" s="518"/>
      <c r="J58" s="103"/>
    </row>
    <row r="59" spans="1:10" ht="15" customHeight="1" x14ac:dyDescent="0.3">
      <c r="A59" s="54"/>
      <c r="C59" s="37"/>
      <c r="D59" s="27"/>
      <c r="E59" s="23"/>
      <c r="F59" s="38"/>
      <c r="G59" s="38"/>
      <c r="H59" s="515" t="str">
        <f>$K$1</f>
        <v>Рекорд края</v>
      </c>
      <c r="I59" s="518">
        <f>Рекорды!E11</f>
        <v>121.33</v>
      </c>
      <c r="J59" s="103"/>
    </row>
    <row r="60" spans="1:10" ht="15" customHeight="1" x14ac:dyDescent="0.3">
      <c r="A60" s="54"/>
      <c r="C60" s="37"/>
      <c r="D60" s="27"/>
      <c r="E60" s="23"/>
      <c r="F60" s="38"/>
      <c r="G60" s="38"/>
      <c r="H60" s="515" t="str">
        <f>$K$2</f>
        <v>Рекорд края 16-17 лет</v>
      </c>
      <c r="I60" s="518">
        <f>Рекорды!C11</f>
        <v>121.67</v>
      </c>
      <c r="J60" s="38"/>
    </row>
    <row r="61" spans="1:10" ht="15" customHeight="1" x14ac:dyDescent="0.3">
      <c r="A61" s="54"/>
      <c r="C61" s="37"/>
      <c r="D61" s="27"/>
      <c r="E61" s="23"/>
      <c r="F61" s="38"/>
      <c r="G61" s="38"/>
      <c r="H61" s="515" t="str">
        <f>$K$3</f>
        <v>Рекорд края 14-15 лет</v>
      </c>
      <c r="I61" s="518">
        <f>Рекорды!E79</f>
        <v>125.51</v>
      </c>
      <c r="J61" s="38"/>
    </row>
    <row r="62" spans="1:10" ht="15" customHeight="1" x14ac:dyDescent="0.3">
      <c r="A62" s="54"/>
      <c r="C62" s="37"/>
      <c r="D62" s="27"/>
      <c r="E62" s="23"/>
      <c r="F62" s="38"/>
      <c r="G62" s="38"/>
      <c r="H62" s="515" t="str">
        <f>$K$4</f>
        <v>Рекорд края 13 лет и младше</v>
      </c>
      <c r="I62" s="518">
        <f>Рекорды!C79</f>
        <v>133.16999999999999</v>
      </c>
      <c r="J62" s="38"/>
    </row>
    <row r="63" spans="1:10" ht="15" customHeight="1" x14ac:dyDescent="0.3">
      <c r="A63" s="54"/>
      <c r="C63" s="37"/>
      <c r="D63" s="27"/>
      <c r="E63" s="23"/>
      <c r="F63" s="38"/>
      <c r="G63" s="38"/>
      <c r="H63" s="524"/>
      <c r="I63" s="518"/>
      <c r="J63" s="103"/>
    </row>
    <row r="64" spans="1:10" ht="14.25" customHeight="1" x14ac:dyDescent="0.3">
      <c r="A64" s="103"/>
      <c r="C64" s="33" t="s">
        <v>100</v>
      </c>
      <c r="D64" s="103"/>
      <c r="E64" s="103"/>
      <c r="F64" s="103"/>
      <c r="G64" s="103"/>
      <c r="H64" s="523"/>
      <c r="I64" s="517"/>
      <c r="J64" s="103"/>
    </row>
    <row r="65" spans="1:18" ht="15" customHeight="1" x14ac:dyDescent="0.3">
      <c r="A65" s="103"/>
      <c r="C65" s="104"/>
      <c r="D65" s="103"/>
      <c r="E65" s="103"/>
      <c r="F65" s="103"/>
      <c r="G65" s="103"/>
      <c r="H65" s="515" t="str">
        <f>$K$1</f>
        <v>Рекорд края</v>
      </c>
      <c r="I65" s="518">
        <f>Рекорды!D47</f>
        <v>146.62</v>
      </c>
    </row>
    <row r="66" spans="1:18" ht="15" customHeight="1" x14ac:dyDescent="0.3">
      <c r="A66" s="54"/>
      <c r="C66" s="37"/>
      <c r="D66" s="27"/>
      <c r="E66" s="23"/>
      <c r="F66" s="38"/>
      <c r="G66" s="38"/>
      <c r="H66" s="515" t="str">
        <f>$K$2</f>
        <v>Рекорд края 16-17 лет</v>
      </c>
      <c r="I66" s="518">
        <f>Рекорды!B47</f>
        <v>149.49</v>
      </c>
    </row>
    <row r="67" spans="1:18" ht="15" customHeight="1" x14ac:dyDescent="0.3">
      <c r="A67" s="54"/>
      <c r="C67" s="37"/>
      <c r="D67" s="27"/>
      <c r="E67" s="23"/>
      <c r="F67" s="38"/>
      <c r="G67" s="38"/>
      <c r="H67" s="515" t="str">
        <f>$K$3</f>
        <v>Рекорд края 14-15 лет</v>
      </c>
      <c r="I67" s="518">
        <f>Рекорды!D115</f>
        <v>154.19</v>
      </c>
    </row>
    <row r="68" spans="1:18" ht="15" customHeight="1" x14ac:dyDescent="0.3">
      <c r="A68" s="54"/>
      <c r="C68" s="37"/>
      <c r="D68" s="27"/>
      <c r="E68" s="23"/>
      <c r="F68" s="38"/>
      <c r="G68" s="38"/>
      <c r="H68" s="515" t="str">
        <f>$K$4</f>
        <v>Рекорд края 13 лет и младше</v>
      </c>
      <c r="I68" s="518">
        <f>Рекорды!B115</f>
        <v>158.33000000000001</v>
      </c>
    </row>
    <row r="69" spans="1:18" ht="15" customHeight="1" x14ac:dyDescent="0.3">
      <c r="A69" s="103"/>
      <c r="C69" s="104"/>
      <c r="D69" s="103"/>
      <c r="E69" s="103"/>
      <c r="F69" s="103"/>
      <c r="G69" s="103"/>
      <c r="H69" s="524"/>
      <c r="I69" s="518"/>
      <c r="J69" s="103"/>
    </row>
    <row r="70" spans="1:18" ht="14.25" customHeight="1" x14ac:dyDescent="0.3">
      <c r="A70" s="103"/>
      <c r="C70" s="33" t="s">
        <v>101</v>
      </c>
      <c r="D70" s="103"/>
      <c r="E70" s="103"/>
      <c r="F70" s="103"/>
      <c r="G70" s="103"/>
      <c r="H70" s="523"/>
      <c r="I70" s="518"/>
      <c r="J70" s="103"/>
    </row>
    <row r="71" spans="1:18" ht="15" customHeight="1" x14ac:dyDescent="0.3">
      <c r="A71" s="103"/>
      <c r="C71" s="104"/>
      <c r="D71" s="103"/>
      <c r="E71" s="103"/>
      <c r="F71" s="103"/>
      <c r="G71" s="103"/>
      <c r="H71" s="515" t="str">
        <f>$K$1</f>
        <v>Рекорд края</v>
      </c>
      <c r="I71" s="518">
        <f>Рекорды!E47</f>
        <v>136.33000000000001</v>
      </c>
      <c r="J71" s="103"/>
    </row>
    <row r="72" spans="1:18" ht="15" customHeight="1" x14ac:dyDescent="0.3">
      <c r="A72" s="54"/>
      <c r="C72" s="37"/>
      <c r="D72" s="27"/>
      <c r="E72" s="23"/>
      <c r="F72" s="38"/>
      <c r="G72" s="38"/>
      <c r="H72" s="515" t="str">
        <f>$K$2</f>
        <v>Рекорд края 16-17 лет</v>
      </c>
      <c r="I72" s="518">
        <f>Рекорды!C47</f>
        <v>138.86000000000001</v>
      </c>
    </row>
    <row r="73" spans="1:18" ht="15" customHeight="1" x14ac:dyDescent="0.3">
      <c r="A73" s="54"/>
      <c r="C73" s="37"/>
      <c r="D73" s="27"/>
      <c r="E73" s="23"/>
      <c r="F73" s="38"/>
      <c r="G73" s="38"/>
      <c r="H73" s="515" t="str">
        <f>$K$3</f>
        <v>Рекорд края 14-15 лет</v>
      </c>
      <c r="I73" s="518">
        <f>Рекорды!E115</f>
        <v>144.66999999999999</v>
      </c>
    </row>
    <row r="74" spans="1:18" ht="15" customHeight="1" x14ac:dyDescent="0.3">
      <c r="A74" s="54"/>
      <c r="C74" s="37"/>
      <c r="D74" s="27"/>
      <c r="E74" s="23"/>
      <c r="F74" s="38"/>
      <c r="G74" s="38"/>
      <c r="H74" s="515" t="str">
        <f>$K$4</f>
        <v>Рекорд края 13 лет и младше</v>
      </c>
      <c r="I74" s="518">
        <f>Рекорды!C115</f>
        <v>149.38999999999999</v>
      </c>
    </row>
    <row r="75" spans="1:18" ht="15" customHeight="1" x14ac:dyDescent="0.3">
      <c r="A75" s="103"/>
      <c r="C75" s="104"/>
      <c r="D75" s="103"/>
      <c r="E75" s="103"/>
      <c r="F75" s="103"/>
      <c r="G75" s="103"/>
      <c r="H75" s="524"/>
      <c r="I75" s="517"/>
      <c r="J75" s="103"/>
    </row>
    <row r="76" spans="1:18" ht="14.25" customHeight="1" x14ac:dyDescent="0.35">
      <c r="A76" s="53"/>
      <c r="C76" s="33" t="s">
        <v>38</v>
      </c>
      <c r="D76" s="35"/>
      <c r="E76" s="36"/>
      <c r="F76" s="34"/>
      <c r="G76" s="34"/>
      <c r="H76" s="523"/>
      <c r="I76" s="518"/>
      <c r="J76" s="34"/>
      <c r="L76" s="777"/>
      <c r="M76" s="777"/>
      <c r="N76" s="778"/>
      <c r="O76" s="779"/>
      <c r="P76" s="779"/>
      <c r="Q76" s="779"/>
      <c r="R76" s="778"/>
    </row>
    <row r="77" spans="1:18" ht="15" customHeight="1" x14ac:dyDescent="0.3">
      <c r="A77" s="54"/>
      <c r="C77" s="37"/>
      <c r="D77" s="27"/>
      <c r="E77" s="23"/>
      <c r="F77" s="38"/>
      <c r="G77" s="38"/>
      <c r="H77" s="515" t="str">
        <f>$K$1</f>
        <v>Рекорд края</v>
      </c>
      <c r="I77" s="518">
        <f>Рекорды!D14</f>
        <v>318.52</v>
      </c>
    </row>
    <row r="78" spans="1:18" ht="15" customHeight="1" x14ac:dyDescent="0.3">
      <c r="A78" s="54"/>
      <c r="C78" s="37"/>
      <c r="D78" s="27"/>
      <c r="E78" s="23"/>
      <c r="F78" s="38"/>
      <c r="G78" s="38"/>
      <c r="H78" s="515" t="str">
        <f>$K$2</f>
        <v>Рекорд края 16-17 лет</v>
      </c>
      <c r="I78" s="518">
        <f>Рекорды!B14</f>
        <v>323.08999999999997</v>
      </c>
    </row>
    <row r="79" spans="1:18" ht="15" customHeight="1" x14ac:dyDescent="0.3">
      <c r="A79" s="54"/>
      <c r="C79" s="37"/>
      <c r="D79" s="27"/>
      <c r="E79" s="23"/>
      <c r="F79" s="38"/>
      <c r="G79" s="38"/>
      <c r="H79" s="515" t="str">
        <f>$K$3</f>
        <v>Рекорд края 14-15 лет</v>
      </c>
      <c r="I79" s="518">
        <f>Рекорды!D82</f>
        <v>331.09</v>
      </c>
    </row>
    <row r="80" spans="1:18" ht="15" customHeight="1" x14ac:dyDescent="0.3">
      <c r="A80" s="54"/>
      <c r="C80" s="37"/>
      <c r="D80" s="27"/>
      <c r="E80" s="23"/>
      <c r="F80" s="38"/>
      <c r="G80" s="38"/>
      <c r="H80" s="515" t="str">
        <f>$K$4</f>
        <v>Рекорд края 13 лет и младше</v>
      </c>
      <c r="I80" s="518">
        <f>Рекорды!B82</f>
        <v>339.29</v>
      </c>
    </row>
    <row r="81" spans="1:10" ht="15" customHeight="1" x14ac:dyDescent="0.3">
      <c r="A81" s="54"/>
      <c r="C81" s="37"/>
      <c r="D81" s="27"/>
      <c r="E81" s="23"/>
      <c r="F81" s="38"/>
      <c r="G81" s="38"/>
      <c r="H81" s="524"/>
      <c r="I81" s="518"/>
      <c r="J81" s="38"/>
    </row>
    <row r="82" spans="1:10" ht="14.25" customHeight="1" x14ac:dyDescent="0.3">
      <c r="A82" s="53"/>
      <c r="C82" s="33" t="s">
        <v>81</v>
      </c>
      <c r="D82" s="35"/>
      <c r="E82" s="36"/>
      <c r="F82" s="34"/>
      <c r="G82" s="34"/>
      <c r="H82" s="523"/>
      <c r="I82" s="518"/>
      <c r="J82" s="103"/>
    </row>
    <row r="83" spans="1:10" ht="15" customHeight="1" x14ac:dyDescent="0.3">
      <c r="A83" s="54"/>
      <c r="C83" s="37"/>
      <c r="D83" s="27"/>
      <c r="E83" s="23"/>
      <c r="F83" s="38"/>
      <c r="G83" s="38"/>
      <c r="H83" s="515" t="str">
        <f>$K$1</f>
        <v>Рекорд края</v>
      </c>
      <c r="I83" s="518">
        <f>Рекорды!E14</f>
        <v>305.45</v>
      </c>
      <c r="J83" s="103"/>
    </row>
    <row r="84" spans="1:10" ht="15" customHeight="1" x14ac:dyDescent="0.3">
      <c r="A84" s="54"/>
      <c r="C84" s="37"/>
      <c r="D84" s="27"/>
      <c r="E84" s="23"/>
      <c r="F84" s="38"/>
      <c r="G84" s="38"/>
      <c r="H84" s="515" t="str">
        <f>$K$2</f>
        <v>Рекорд края 16-17 лет</v>
      </c>
      <c r="I84" s="518">
        <f>Рекорды!C14</f>
        <v>305.86</v>
      </c>
      <c r="J84" s="38"/>
    </row>
    <row r="85" spans="1:10" ht="15" customHeight="1" x14ac:dyDescent="0.3">
      <c r="A85" s="54"/>
      <c r="C85" s="37"/>
      <c r="D85" s="27"/>
      <c r="E85" s="23"/>
      <c r="F85" s="38"/>
      <c r="G85" s="38"/>
      <c r="H85" s="515" t="str">
        <f>$K$3</f>
        <v>Рекорд края 14-15 лет</v>
      </c>
      <c r="I85" s="518">
        <f>Рекорды!E82</f>
        <v>310.17</v>
      </c>
      <c r="J85" s="38"/>
    </row>
    <row r="86" spans="1:10" ht="15" customHeight="1" x14ac:dyDescent="0.3">
      <c r="A86" s="54"/>
      <c r="C86" s="37"/>
      <c r="D86" s="27"/>
      <c r="E86" s="23"/>
      <c r="F86" s="38"/>
      <c r="G86" s="38"/>
      <c r="H86" s="515" t="str">
        <f>$K$4</f>
        <v>Рекорд края 13 лет и младше</v>
      </c>
      <c r="I86" s="518">
        <f>Рекорды!C82</f>
        <v>327.27</v>
      </c>
      <c r="J86" s="38"/>
    </row>
    <row r="87" spans="1:10" ht="15" customHeight="1" x14ac:dyDescent="0.3">
      <c r="A87" s="54"/>
      <c r="C87" s="37"/>
      <c r="D87" s="27"/>
      <c r="E87" s="23"/>
      <c r="F87" s="38"/>
      <c r="G87" s="38"/>
      <c r="H87" s="524"/>
      <c r="I87" s="518"/>
      <c r="J87" s="103"/>
    </row>
    <row r="88" spans="1:10" ht="14.25" customHeight="1" x14ac:dyDescent="0.3">
      <c r="A88" s="103"/>
      <c r="C88" s="33" t="s">
        <v>1025</v>
      </c>
      <c r="D88" s="103"/>
      <c r="E88" s="103"/>
      <c r="F88" s="103"/>
      <c r="G88" s="103"/>
      <c r="H88" s="523"/>
      <c r="I88" s="517"/>
      <c r="J88" s="103"/>
    </row>
    <row r="89" spans="1:10" ht="15" customHeight="1" x14ac:dyDescent="0.3">
      <c r="A89" s="103"/>
      <c r="C89" s="104"/>
      <c r="D89" s="103"/>
      <c r="E89" s="103"/>
      <c r="F89" s="103"/>
      <c r="G89" s="103"/>
      <c r="H89" s="515" t="str">
        <f>$K$1</f>
        <v>Рекорд края</v>
      </c>
      <c r="I89" s="518" t="str">
        <f>Рекорды!D71</f>
        <v>Девушки</v>
      </c>
    </row>
    <row r="90" spans="1:10" ht="15" customHeight="1" x14ac:dyDescent="0.3">
      <c r="A90" s="54"/>
      <c r="C90" s="37"/>
      <c r="D90" s="27"/>
      <c r="E90" s="23"/>
      <c r="F90" s="38"/>
      <c r="G90" s="38"/>
      <c r="H90" s="515" t="str">
        <f>$K$2</f>
        <v>Рекорд края 16-17 лет</v>
      </c>
      <c r="I90" s="518" t="str">
        <f>Рекорды!B71</f>
        <v>Девочки</v>
      </c>
    </row>
    <row r="91" spans="1:10" ht="15" customHeight="1" x14ac:dyDescent="0.3">
      <c r="A91" s="54"/>
      <c r="C91" s="37"/>
      <c r="D91" s="27"/>
      <c r="E91" s="23"/>
      <c r="F91" s="38"/>
      <c r="G91" s="38"/>
      <c r="H91" s="515" t="str">
        <f>$K$3</f>
        <v>Рекорд края 14-15 лет</v>
      </c>
      <c r="I91" s="518">
        <f>Рекорды!D139</f>
        <v>0</v>
      </c>
    </row>
    <row r="92" spans="1:10" ht="15" customHeight="1" x14ac:dyDescent="0.3">
      <c r="A92" s="54"/>
      <c r="C92" s="37"/>
      <c r="D92" s="27"/>
      <c r="E92" s="23"/>
      <c r="F92" s="38"/>
      <c r="G92" s="38"/>
      <c r="H92" s="515" t="str">
        <f>$K$4</f>
        <v>Рекорд края 13 лет и младше</v>
      </c>
      <c r="I92" s="518">
        <f>Рекорды!B139</f>
        <v>0</v>
      </c>
    </row>
    <row r="93" spans="1:10" ht="15" customHeight="1" x14ac:dyDescent="0.3">
      <c r="A93" s="103"/>
      <c r="C93" s="104"/>
      <c r="D93" s="103"/>
      <c r="E93" s="103"/>
      <c r="F93" s="103"/>
      <c r="G93" s="103"/>
      <c r="H93" s="524"/>
      <c r="I93" s="518"/>
      <c r="J93" s="103"/>
    </row>
    <row r="94" spans="1:10" ht="14.25" customHeight="1" x14ac:dyDescent="0.3">
      <c r="A94" s="103"/>
      <c r="C94" s="33" t="s">
        <v>1026</v>
      </c>
      <c r="D94" s="103"/>
      <c r="E94" s="103"/>
      <c r="F94" s="103"/>
      <c r="G94" s="103"/>
      <c r="H94" s="523"/>
      <c r="I94" s="518"/>
      <c r="J94" s="103"/>
    </row>
    <row r="95" spans="1:10" ht="15" customHeight="1" x14ac:dyDescent="0.3">
      <c r="A95" s="103"/>
      <c r="C95" s="104"/>
      <c r="D95" s="103"/>
      <c r="E95" s="103"/>
      <c r="F95" s="103"/>
      <c r="G95" s="103"/>
      <c r="H95" s="515" t="str">
        <f>$K$1</f>
        <v>Рекорд края</v>
      </c>
      <c r="I95" s="518" t="str">
        <f>Рекорды!E71</f>
        <v>Юноши</v>
      </c>
      <c r="J95" s="103"/>
    </row>
    <row r="96" spans="1:10" ht="15" customHeight="1" x14ac:dyDescent="0.3">
      <c r="A96" s="54"/>
      <c r="C96" s="37"/>
      <c r="D96" s="27"/>
      <c r="E96" s="23"/>
      <c r="F96" s="38"/>
      <c r="G96" s="38"/>
      <c r="H96" s="515" t="str">
        <f>$K$2</f>
        <v>Рекорд края 16-17 лет</v>
      </c>
      <c r="I96" s="518" t="str">
        <f>Рекорды!C71</f>
        <v>Мальчики</v>
      </c>
    </row>
    <row r="97" spans="1:10" ht="15" customHeight="1" x14ac:dyDescent="0.3">
      <c r="A97" s="54"/>
      <c r="C97" s="37"/>
      <c r="D97" s="27"/>
      <c r="E97" s="23"/>
      <c r="F97" s="38"/>
      <c r="G97" s="38"/>
      <c r="H97" s="515" t="str">
        <f>$K$3</f>
        <v>Рекорд края 14-15 лет</v>
      </c>
      <c r="I97" s="518">
        <f>Рекорды!E139</f>
        <v>0</v>
      </c>
    </row>
    <row r="98" spans="1:10" ht="15" customHeight="1" x14ac:dyDescent="0.3">
      <c r="A98" s="54"/>
      <c r="C98" s="37"/>
      <c r="D98" s="27"/>
      <c r="E98" s="23"/>
      <c r="F98" s="38"/>
      <c r="G98" s="38"/>
      <c r="H98" s="515" t="str">
        <f>$K$4</f>
        <v>Рекорд края 13 лет и младше</v>
      </c>
      <c r="I98" s="518">
        <f>Рекорды!C139</f>
        <v>0</v>
      </c>
    </row>
    <row r="99" spans="1:10" ht="15" customHeight="1" x14ac:dyDescent="0.3">
      <c r="A99" s="103"/>
      <c r="C99" s="104"/>
      <c r="D99" s="103"/>
      <c r="E99" s="103"/>
      <c r="F99" s="103"/>
      <c r="G99" s="103"/>
      <c r="H99" s="524"/>
      <c r="I99" s="517"/>
      <c r="J99" s="103"/>
    </row>
    <row r="100" spans="1:10" ht="14.25" customHeight="1" x14ac:dyDescent="0.3">
      <c r="A100" s="53"/>
      <c r="C100" s="33" t="s">
        <v>82</v>
      </c>
      <c r="D100" s="35"/>
      <c r="E100" s="36"/>
      <c r="F100" s="34"/>
      <c r="G100" s="34"/>
      <c r="H100" s="523"/>
      <c r="I100" s="518"/>
      <c r="J100" s="34"/>
    </row>
    <row r="101" spans="1:10" ht="15" customHeight="1" x14ac:dyDescent="0.3">
      <c r="A101" s="54"/>
      <c r="C101" s="37"/>
      <c r="D101" s="27"/>
      <c r="E101" s="23"/>
      <c r="F101" s="38"/>
      <c r="G101" s="38"/>
      <c r="H101" s="515" t="str">
        <f>$K$1</f>
        <v>Рекорд края</v>
      </c>
      <c r="I101" s="518">
        <f>Рекорды!D17</f>
        <v>705.36</v>
      </c>
    </row>
    <row r="102" spans="1:10" ht="15" customHeight="1" x14ac:dyDescent="0.3">
      <c r="A102" s="54"/>
      <c r="C102" s="37"/>
      <c r="D102" s="27"/>
      <c r="E102" s="23"/>
      <c r="F102" s="38"/>
      <c r="G102" s="38"/>
      <c r="H102" s="515" t="str">
        <f>$K$2</f>
        <v>Рекорд края 16-17 лет</v>
      </c>
      <c r="I102" s="518">
        <f>Рекорды!B17</f>
        <v>709.46</v>
      </c>
    </row>
    <row r="103" spans="1:10" ht="15" customHeight="1" x14ac:dyDescent="0.3">
      <c r="A103" s="54"/>
      <c r="C103" s="37"/>
      <c r="D103" s="27"/>
      <c r="E103" s="23"/>
      <c r="F103" s="38"/>
      <c r="G103" s="38"/>
      <c r="H103" s="515" t="str">
        <f>$K$3</f>
        <v>Рекорд края 14-15 лет</v>
      </c>
      <c r="I103" s="518">
        <f>Рекорды!D85</f>
        <v>715.49</v>
      </c>
    </row>
    <row r="104" spans="1:10" ht="15" customHeight="1" x14ac:dyDescent="0.3">
      <c r="A104" s="54"/>
      <c r="C104" s="37"/>
      <c r="D104" s="27"/>
      <c r="E104" s="23"/>
      <c r="F104" s="38"/>
      <c r="G104" s="38"/>
      <c r="H104" s="515" t="str">
        <f>$K$4</f>
        <v>Рекорд края 13 лет и младше</v>
      </c>
      <c r="I104" s="518">
        <f>Рекорды!B85</f>
        <v>746.47</v>
      </c>
    </row>
    <row r="105" spans="1:10" ht="15" customHeight="1" x14ac:dyDescent="0.3">
      <c r="A105" s="54"/>
      <c r="C105" s="37"/>
      <c r="D105" s="27"/>
      <c r="E105" s="23"/>
      <c r="F105" s="38"/>
      <c r="G105" s="38"/>
      <c r="H105" s="524"/>
      <c r="I105" s="518"/>
      <c r="J105" s="38"/>
    </row>
    <row r="106" spans="1:10" ht="14.25" customHeight="1" x14ac:dyDescent="0.3">
      <c r="A106" s="53"/>
      <c r="C106" s="33" t="s">
        <v>83</v>
      </c>
      <c r="D106" s="35"/>
      <c r="E106" s="36"/>
      <c r="F106" s="34"/>
      <c r="G106" s="34"/>
      <c r="H106" s="523"/>
      <c r="I106" s="518"/>
      <c r="J106" s="103"/>
    </row>
    <row r="107" spans="1:10" ht="15" customHeight="1" x14ac:dyDescent="0.3">
      <c r="A107" s="54"/>
      <c r="C107" s="37"/>
      <c r="D107" s="27"/>
      <c r="E107" s="23"/>
      <c r="F107" s="38"/>
      <c r="G107" s="38"/>
      <c r="H107" s="515" t="str">
        <f>$K$1</f>
        <v>Рекорд края</v>
      </c>
      <c r="I107" s="518">
        <f>Рекорды!E17</f>
        <v>639.77</v>
      </c>
      <c r="J107" s="103"/>
    </row>
    <row r="108" spans="1:10" ht="15" customHeight="1" x14ac:dyDescent="0.3">
      <c r="A108" s="54"/>
      <c r="C108" s="37"/>
      <c r="D108" s="27"/>
      <c r="E108" s="23"/>
      <c r="F108" s="38"/>
      <c r="G108" s="38"/>
      <c r="H108" s="515" t="str">
        <f>$K$2</f>
        <v>Рекорд края 16-17 лет</v>
      </c>
      <c r="I108" s="518">
        <f>Рекорды!C17</f>
        <v>644.39</v>
      </c>
    </row>
    <row r="109" spans="1:10" ht="15" customHeight="1" x14ac:dyDescent="0.3">
      <c r="A109" s="54"/>
      <c r="C109" s="37"/>
      <c r="D109" s="27"/>
      <c r="E109" s="23"/>
      <c r="F109" s="38"/>
      <c r="G109" s="38"/>
      <c r="H109" s="515" t="str">
        <f>$K$3</f>
        <v>Рекорд края 14-15 лет</v>
      </c>
      <c r="I109" s="518">
        <f>Рекорды!E85</f>
        <v>649.41999999999996</v>
      </c>
    </row>
    <row r="110" spans="1:10" ht="15" customHeight="1" x14ac:dyDescent="0.3">
      <c r="A110" s="54"/>
      <c r="C110" s="37"/>
      <c r="D110" s="27"/>
      <c r="E110" s="23"/>
      <c r="F110" s="38"/>
      <c r="G110" s="38"/>
      <c r="H110" s="515" t="str">
        <f>$K$4</f>
        <v>Рекорд края 13 лет и младше</v>
      </c>
      <c r="I110" s="518">
        <f>Рекорды!C85</f>
        <v>723.47</v>
      </c>
    </row>
    <row r="111" spans="1:10" ht="15" customHeight="1" x14ac:dyDescent="0.3">
      <c r="A111" s="54"/>
      <c r="C111" s="37"/>
      <c r="D111" s="27"/>
      <c r="E111" s="23"/>
      <c r="F111" s="38"/>
      <c r="G111" s="38"/>
      <c r="H111" s="524"/>
      <c r="I111" s="518"/>
      <c r="J111" s="103"/>
    </row>
    <row r="112" spans="1:10" ht="14.25" customHeight="1" x14ac:dyDescent="0.3">
      <c r="A112" s="53"/>
      <c r="C112" s="33" t="s">
        <v>84</v>
      </c>
      <c r="D112" s="35"/>
      <c r="E112" s="36"/>
      <c r="F112" s="34"/>
      <c r="G112" s="34"/>
      <c r="H112" s="523"/>
      <c r="I112" s="518"/>
      <c r="J112" s="34"/>
    </row>
    <row r="113" spans="1:10" ht="15" customHeight="1" x14ac:dyDescent="0.3">
      <c r="A113" s="54"/>
      <c r="C113" s="37"/>
      <c r="D113" s="27"/>
      <c r="E113" s="23"/>
      <c r="F113" s="38"/>
      <c r="G113" s="38"/>
      <c r="H113" s="515" t="str">
        <f>$K$1</f>
        <v>Рекорд края</v>
      </c>
      <c r="I113" s="518">
        <f>Рекорды!D20</f>
        <v>1337.4</v>
      </c>
    </row>
    <row r="114" spans="1:10" ht="15" customHeight="1" x14ac:dyDescent="0.3">
      <c r="A114" s="54"/>
      <c r="C114" s="37"/>
      <c r="D114" s="27"/>
      <c r="E114" s="23"/>
      <c r="F114" s="38"/>
      <c r="G114" s="38"/>
      <c r="H114" s="515" t="str">
        <f>$K$2</f>
        <v>Рекорд края 16-17 лет</v>
      </c>
      <c r="I114" s="518">
        <f>Рекорды!B20</f>
        <v>1357.87</v>
      </c>
    </row>
    <row r="115" spans="1:10" ht="15" customHeight="1" x14ac:dyDescent="0.3">
      <c r="A115" s="54"/>
      <c r="C115" s="37"/>
      <c r="D115" s="27"/>
      <c r="E115" s="23"/>
      <c r="F115" s="38"/>
      <c r="G115" s="38"/>
      <c r="H115" s="515" t="str">
        <f>$K$3</f>
        <v>Рекорд края 14-15 лет</v>
      </c>
      <c r="I115" s="518">
        <f>Рекорды!D88</f>
        <v>1407.7</v>
      </c>
    </row>
    <row r="116" spans="1:10" ht="15" customHeight="1" x14ac:dyDescent="0.3">
      <c r="A116" s="54"/>
      <c r="C116" s="37"/>
      <c r="D116" s="27"/>
      <c r="E116" s="23"/>
      <c r="F116" s="38"/>
      <c r="G116" s="38"/>
      <c r="H116" s="515" t="str">
        <f>$K$4</f>
        <v>Рекорд края 13 лет и младше</v>
      </c>
      <c r="I116" s="518">
        <f>Рекорды!B88</f>
        <v>1506.32</v>
      </c>
    </row>
    <row r="117" spans="1:10" ht="15" customHeight="1" x14ac:dyDescent="0.3">
      <c r="A117" s="103"/>
      <c r="C117" s="104"/>
      <c r="D117" s="103"/>
      <c r="E117" s="103"/>
      <c r="F117" s="103"/>
      <c r="G117" s="103"/>
      <c r="H117" s="524"/>
      <c r="I117" s="517"/>
      <c r="J117" s="103"/>
    </row>
    <row r="118" spans="1:10" ht="14.25" customHeight="1" x14ac:dyDescent="0.3">
      <c r="A118" s="53"/>
      <c r="C118" s="33" t="s">
        <v>85</v>
      </c>
      <c r="D118" s="35"/>
      <c r="E118" s="36"/>
      <c r="F118" s="34"/>
      <c r="G118" s="34"/>
      <c r="H118" s="523"/>
      <c r="I118" s="518"/>
      <c r="J118" s="103"/>
    </row>
    <row r="119" spans="1:10" ht="15" customHeight="1" x14ac:dyDescent="0.3">
      <c r="A119" s="54"/>
      <c r="C119" s="37"/>
      <c r="D119" s="27"/>
      <c r="E119" s="23"/>
      <c r="F119" s="38"/>
      <c r="G119" s="38"/>
      <c r="H119" s="515" t="str">
        <f>$K$1</f>
        <v>Рекорд края</v>
      </c>
      <c r="I119" s="518">
        <f>Рекорды!E20</f>
        <v>1249.71</v>
      </c>
      <c r="J119" s="103"/>
    </row>
    <row r="120" spans="1:10" ht="15" customHeight="1" x14ac:dyDescent="0.3">
      <c r="A120" s="54"/>
      <c r="C120" s="37"/>
      <c r="D120" s="27"/>
      <c r="E120" s="23"/>
      <c r="F120" s="38"/>
      <c r="G120" s="38"/>
      <c r="H120" s="515" t="str">
        <f>$K$2</f>
        <v>Рекорд края 16-17 лет</v>
      </c>
      <c r="I120" s="518">
        <f>Рекорды!C20</f>
        <v>1331.73</v>
      </c>
    </row>
    <row r="121" spans="1:10" ht="15" customHeight="1" x14ac:dyDescent="0.3">
      <c r="A121" s="54"/>
      <c r="C121" s="37"/>
      <c r="D121" s="27"/>
      <c r="E121" s="23"/>
      <c r="F121" s="38"/>
      <c r="G121" s="38"/>
      <c r="H121" s="515" t="str">
        <f>$K$3</f>
        <v>Рекорд края 14-15 лет</v>
      </c>
      <c r="I121" s="518">
        <f>Рекорды!E88</f>
        <v>1351.37</v>
      </c>
    </row>
    <row r="122" spans="1:10" ht="15" customHeight="1" x14ac:dyDescent="0.3">
      <c r="A122" s="54"/>
      <c r="C122" s="37"/>
      <c r="D122" s="27"/>
      <c r="E122" s="23"/>
      <c r="F122" s="38"/>
      <c r="G122" s="38"/>
      <c r="H122" s="515" t="str">
        <f>$K$4</f>
        <v>Рекорд края 13 лет и младше</v>
      </c>
      <c r="I122" s="518">
        <f>Рекорды!C88</f>
        <v>1433.92</v>
      </c>
    </row>
    <row r="123" spans="1:10" ht="15" customHeight="1" x14ac:dyDescent="0.3">
      <c r="A123" s="54"/>
      <c r="C123" s="37"/>
      <c r="D123" s="27"/>
      <c r="E123" s="23"/>
      <c r="F123" s="38"/>
      <c r="G123" s="38"/>
      <c r="H123" s="524"/>
      <c r="I123" s="518"/>
      <c r="J123" s="103"/>
    </row>
    <row r="124" spans="1:10" ht="14.25" customHeight="1" x14ac:dyDescent="0.3">
      <c r="A124" s="53"/>
      <c r="C124" s="33" t="s">
        <v>94</v>
      </c>
      <c r="D124" s="35"/>
      <c r="E124" s="36"/>
      <c r="F124" s="34"/>
      <c r="G124" s="34"/>
      <c r="H124" s="523"/>
      <c r="I124" s="518"/>
      <c r="J124" s="103"/>
    </row>
    <row r="125" spans="1:10" ht="15" customHeight="1" x14ac:dyDescent="0.3">
      <c r="A125" s="54"/>
      <c r="C125" s="37"/>
      <c r="D125" s="27"/>
      <c r="E125" s="23"/>
      <c r="F125" s="38"/>
      <c r="G125" s="38"/>
      <c r="H125" s="515" t="str">
        <f>$K$1</f>
        <v>Рекорд края</v>
      </c>
      <c r="I125" s="518">
        <f>Рекорды!D37</f>
        <v>16.55</v>
      </c>
    </row>
    <row r="126" spans="1:10" ht="15" customHeight="1" x14ac:dyDescent="0.3">
      <c r="A126" s="54"/>
      <c r="C126" s="37"/>
      <c r="D126" s="27"/>
      <c r="E126" s="23"/>
      <c r="F126" s="38"/>
      <c r="G126" s="38"/>
      <c r="H126" s="515" t="str">
        <f>$K$2</f>
        <v>Рекорд края 16-17 лет</v>
      </c>
      <c r="I126" s="518">
        <f>Рекорды!B37</f>
        <v>17.52</v>
      </c>
    </row>
    <row r="127" spans="1:10" ht="15" customHeight="1" x14ac:dyDescent="0.3">
      <c r="A127" s="54"/>
      <c r="C127" s="37"/>
      <c r="D127" s="27"/>
      <c r="E127" s="23"/>
      <c r="F127" s="38"/>
      <c r="G127" s="38"/>
      <c r="H127" s="515" t="str">
        <f>$K$3</f>
        <v>Рекорд края 14-15 лет</v>
      </c>
      <c r="I127" s="518">
        <f>Рекорды!D105</f>
        <v>17.59</v>
      </c>
    </row>
    <row r="128" spans="1:10" ht="15" customHeight="1" x14ac:dyDescent="0.3">
      <c r="A128" s="54"/>
      <c r="C128" s="37"/>
      <c r="D128" s="27"/>
      <c r="E128" s="23"/>
      <c r="F128" s="38"/>
      <c r="G128" s="38"/>
      <c r="H128" s="515" t="str">
        <f>$K$4</f>
        <v>Рекорд края 13 лет и младше</v>
      </c>
      <c r="I128" s="518">
        <f>Рекорды!B105</f>
        <v>18.190000000000001</v>
      </c>
    </row>
    <row r="129" spans="1:10" ht="15" customHeight="1" x14ac:dyDescent="0.3">
      <c r="A129" s="54"/>
      <c r="C129" s="37"/>
      <c r="D129" s="27"/>
      <c r="E129" s="23"/>
      <c r="F129" s="38"/>
      <c r="G129" s="38"/>
      <c r="H129" s="524"/>
      <c r="I129" s="518"/>
      <c r="J129" s="103"/>
    </row>
    <row r="130" spans="1:10" ht="14.25" customHeight="1" x14ac:dyDescent="0.3">
      <c r="A130" s="54"/>
      <c r="C130" s="33" t="s">
        <v>95</v>
      </c>
      <c r="D130" s="27"/>
      <c r="E130" s="23"/>
      <c r="F130" s="38"/>
      <c r="G130" s="38"/>
      <c r="H130" s="523"/>
      <c r="I130" s="518"/>
      <c r="J130" s="103"/>
    </row>
    <row r="131" spans="1:10" ht="15" customHeight="1" x14ac:dyDescent="0.3">
      <c r="A131" s="103"/>
      <c r="C131" s="104"/>
      <c r="D131" s="103"/>
      <c r="E131" s="103"/>
      <c r="F131" s="103"/>
      <c r="G131" s="103"/>
      <c r="H131" s="515" t="str">
        <f>$K$1</f>
        <v>Рекорд края</v>
      </c>
      <c r="I131" s="518">
        <f>Рекорды!E37</f>
        <v>14.92</v>
      </c>
      <c r="J131" s="103"/>
    </row>
    <row r="132" spans="1:10" ht="15" customHeight="1" x14ac:dyDescent="0.3">
      <c r="A132" s="54"/>
      <c r="C132" s="37"/>
      <c r="D132" s="27"/>
      <c r="E132" s="23"/>
      <c r="F132" s="38"/>
      <c r="G132" s="38"/>
      <c r="H132" s="515" t="str">
        <f>$K$2</f>
        <v>Рекорд края 16-17 лет</v>
      </c>
      <c r="I132" s="518">
        <f>Рекорды!C37</f>
        <v>15.36</v>
      </c>
    </row>
    <row r="133" spans="1:10" ht="15" customHeight="1" x14ac:dyDescent="0.3">
      <c r="A133" s="54"/>
      <c r="C133" s="37"/>
      <c r="D133" s="27"/>
      <c r="E133" s="23"/>
      <c r="F133" s="38"/>
      <c r="G133" s="38"/>
      <c r="H133" s="515" t="str">
        <f>$K$3</f>
        <v>Рекорд края 14-15 лет</v>
      </c>
      <c r="I133" s="518">
        <f>Рекорды!E105</f>
        <v>15.71</v>
      </c>
    </row>
    <row r="134" spans="1:10" ht="15" customHeight="1" x14ac:dyDescent="0.3">
      <c r="A134" s="54"/>
      <c r="C134" s="37"/>
      <c r="D134" s="27"/>
      <c r="E134" s="23"/>
      <c r="F134" s="38"/>
      <c r="G134" s="38"/>
      <c r="H134" s="515" t="str">
        <f>$K$4</f>
        <v>Рекорд края 13 лет и младше</v>
      </c>
      <c r="I134" s="518">
        <f>Рекорды!C105</f>
        <v>16.649999999999999</v>
      </c>
    </row>
    <row r="135" spans="1:10" ht="15" customHeight="1" x14ac:dyDescent="0.3">
      <c r="A135" s="103"/>
      <c r="C135" s="104"/>
      <c r="D135" s="103"/>
      <c r="E135" s="103"/>
      <c r="F135" s="103"/>
      <c r="G135" s="103"/>
      <c r="H135" s="524"/>
      <c r="I135" s="518"/>
      <c r="J135" s="103"/>
    </row>
    <row r="136" spans="1:10" ht="14.25" customHeight="1" x14ac:dyDescent="0.3">
      <c r="A136" s="53"/>
      <c r="C136" s="33" t="s">
        <v>86</v>
      </c>
      <c r="D136" s="35"/>
      <c r="E136" s="36"/>
      <c r="F136" s="34"/>
      <c r="G136" s="34"/>
      <c r="H136" s="523"/>
      <c r="I136" s="518"/>
      <c r="J136" s="103"/>
    </row>
    <row r="137" spans="1:10" ht="15" customHeight="1" x14ac:dyDescent="0.3">
      <c r="A137" s="54"/>
      <c r="C137" s="37"/>
      <c r="D137" s="27"/>
      <c r="E137" s="23"/>
      <c r="F137" s="38"/>
      <c r="G137" s="38"/>
      <c r="H137" s="515" t="str">
        <f>$K$1</f>
        <v>Рекорд края</v>
      </c>
      <c r="I137" s="518">
        <f>Рекорды!D24</f>
        <v>36.68</v>
      </c>
    </row>
    <row r="138" spans="1:10" ht="15" customHeight="1" x14ac:dyDescent="0.3">
      <c r="A138" s="54"/>
      <c r="C138" s="37"/>
      <c r="D138" s="27"/>
      <c r="E138" s="23"/>
      <c r="F138" s="38"/>
      <c r="G138" s="38"/>
      <c r="H138" s="515" t="str">
        <f>$K$2</f>
        <v>Рекорд края 16-17 лет</v>
      </c>
      <c r="I138" s="518">
        <f>Рекорды!B24</f>
        <v>38.78</v>
      </c>
    </row>
    <row r="139" spans="1:10" ht="15" customHeight="1" x14ac:dyDescent="0.3">
      <c r="A139" s="54"/>
      <c r="C139" s="37"/>
      <c r="D139" s="27"/>
      <c r="E139" s="23"/>
      <c r="F139" s="38"/>
      <c r="G139" s="38"/>
      <c r="H139" s="515" t="str">
        <f>$K$3</f>
        <v>Рекорд края 14-15 лет</v>
      </c>
      <c r="I139" s="518">
        <f>Рекорды!D92</f>
        <v>40.01</v>
      </c>
    </row>
    <row r="140" spans="1:10" ht="15" customHeight="1" x14ac:dyDescent="0.3">
      <c r="A140" s="54"/>
      <c r="C140" s="37"/>
      <c r="D140" s="27"/>
      <c r="E140" s="23"/>
      <c r="F140" s="38"/>
      <c r="G140" s="38"/>
      <c r="H140" s="515" t="str">
        <f>$K$4</f>
        <v>Рекорд края 13 лет и младше</v>
      </c>
      <c r="I140" s="518">
        <f>Рекорды!B92</f>
        <v>41.41</v>
      </c>
    </row>
    <row r="141" spans="1:10" ht="15" customHeight="1" x14ac:dyDescent="0.3">
      <c r="A141" s="54"/>
      <c r="C141" s="37"/>
      <c r="D141" s="27"/>
      <c r="E141" s="23"/>
      <c r="F141" s="38"/>
      <c r="G141" s="38"/>
      <c r="H141" s="524"/>
      <c r="I141" s="518"/>
      <c r="J141" s="103"/>
    </row>
    <row r="142" spans="1:10" ht="14.25" customHeight="1" x14ac:dyDescent="0.3">
      <c r="A142" s="103"/>
      <c r="C142" s="33" t="s">
        <v>87</v>
      </c>
      <c r="D142" s="103"/>
      <c r="E142" s="103"/>
      <c r="F142" s="106"/>
      <c r="G142" s="106"/>
      <c r="H142" s="523"/>
      <c r="I142" s="520"/>
      <c r="J142" s="107"/>
    </row>
    <row r="143" spans="1:10" ht="15" customHeight="1" x14ac:dyDescent="0.3">
      <c r="A143" s="103"/>
      <c r="C143" s="37"/>
      <c r="D143" s="103"/>
      <c r="E143" s="103"/>
      <c r="F143" s="103"/>
      <c r="G143" s="103"/>
      <c r="H143" s="515" t="str">
        <f>$K$1</f>
        <v>Рекорд края</v>
      </c>
      <c r="I143" s="518">
        <f>Рекорды!E24</f>
        <v>33.19</v>
      </c>
      <c r="J143" s="103"/>
    </row>
    <row r="144" spans="1:10" ht="15" customHeight="1" x14ac:dyDescent="0.3">
      <c r="A144" s="54"/>
      <c r="C144" s="37"/>
      <c r="D144" s="27"/>
      <c r="E144" s="23"/>
      <c r="F144" s="38"/>
      <c r="G144" s="38"/>
      <c r="H144" s="515" t="str">
        <f>$K$2</f>
        <v>Рекорд края 16-17 лет</v>
      </c>
      <c r="I144" s="518">
        <f>Рекорды!C24</f>
        <v>34.04</v>
      </c>
    </row>
    <row r="145" spans="1:10" ht="15" customHeight="1" x14ac:dyDescent="0.3">
      <c r="A145" s="54"/>
      <c r="C145" s="37"/>
      <c r="D145" s="27"/>
      <c r="E145" s="23"/>
      <c r="F145" s="38"/>
      <c r="G145" s="38"/>
      <c r="H145" s="515" t="str">
        <f>$K$3</f>
        <v>Рекорд края 14-15 лет</v>
      </c>
      <c r="I145" s="518">
        <f>Рекорды!E92</f>
        <v>36.479999999999997</v>
      </c>
    </row>
    <row r="146" spans="1:10" ht="15" customHeight="1" x14ac:dyDescent="0.3">
      <c r="A146" s="54"/>
      <c r="C146" s="37"/>
      <c r="D146" s="27"/>
      <c r="E146" s="23"/>
      <c r="F146" s="38"/>
      <c r="G146" s="38"/>
      <c r="H146" s="515" t="str">
        <f>$K$4</f>
        <v>Рекорд края 13 лет и младше</v>
      </c>
      <c r="I146" s="518">
        <f>Рекорды!C92</f>
        <v>39.1</v>
      </c>
    </row>
    <row r="147" spans="1:10" ht="15" customHeight="1" x14ac:dyDescent="0.3">
      <c r="A147" s="103"/>
      <c r="C147" s="37"/>
      <c r="D147" s="103"/>
      <c r="E147" s="103"/>
      <c r="F147" s="103"/>
      <c r="G147" s="103"/>
      <c r="H147" s="524"/>
      <c r="I147" s="518"/>
      <c r="J147" s="103"/>
    </row>
    <row r="148" spans="1:10" ht="14.25" customHeight="1" x14ac:dyDescent="0.3">
      <c r="A148" s="53"/>
      <c r="C148" s="33" t="s">
        <v>88</v>
      </c>
      <c r="D148" s="35"/>
      <c r="E148" s="36"/>
      <c r="F148" s="34"/>
      <c r="G148" s="34"/>
      <c r="H148" s="523"/>
      <c r="I148" s="518"/>
      <c r="J148" s="103"/>
    </row>
    <row r="149" spans="1:10" ht="15" customHeight="1" x14ac:dyDescent="0.3">
      <c r="A149" s="54"/>
      <c r="C149" s="37"/>
      <c r="D149" s="27"/>
      <c r="E149" s="23"/>
      <c r="F149" s="38"/>
      <c r="G149" s="38"/>
      <c r="H149" s="515" t="str">
        <f>$K$1</f>
        <v>Рекорд края</v>
      </c>
      <c r="I149" s="518">
        <f>Рекорды!D27</f>
        <v>302.88</v>
      </c>
    </row>
    <row r="150" spans="1:10" ht="15" customHeight="1" x14ac:dyDescent="0.3">
      <c r="A150" s="54"/>
      <c r="C150" s="37"/>
      <c r="D150" s="27"/>
      <c r="E150" s="23"/>
      <c r="F150" s="38"/>
      <c r="G150" s="38"/>
      <c r="H150" s="515" t="str">
        <f>$K$2</f>
        <v>Рекорд края 16-17 лет</v>
      </c>
      <c r="I150" s="518">
        <f>Рекорды!B27</f>
        <v>313.58</v>
      </c>
    </row>
    <row r="151" spans="1:10" ht="15" customHeight="1" x14ac:dyDescent="0.3">
      <c r="A151" s="54"/>
      <c r="C151" s="37"/>
      <c r="D151" s="27"/>
      <c r="E151" s="23"/>
      <c r="F151" s="38"/>
      <c r="G151" s="38"/>
      <c r="H151" s="515" t="str">
        <f>$K$3</f>
        <v>Рекорд края 14-15 лет</v>
      </c>
      <c r="I151" s="518">
        <f>Рекорды!D95</f>
        <v>323.57</v>
      </c>
    </row>
    <row r="152" spans="1:10" ht="15" customHeight="1" x14ac:dyDescent="0.3">
      <c r="A152" s="54"/>
      <c r="C152" s="37"/>
      <c r="D152" s="27"/>
      <c r="E152" s="23"/>
      <c r="F152" s="38"/>
      <c r="G152" s="38"/>
      <c r="H152" s="515" t="str">
        <f>$K$4</f>
        <v>Рекорд края 13 лет и младше</v>
      </c>
      <c r="I152" s="518">
        <f>Рекорды!B95</f>
        <v>339.88</v>
      </c>
    </row>
    <row r="153" spans="1:10" ht="15" customHeight="1" x14ac:dyDescent="0.3">
      <c r="A153" s="54"/>
      <c r="C153" s="37"/>
      <c r="D153" s="27"/>
      <c r="E153" s="23"/>
      <c r="F153" s="38"/>
      <c r="G153" s="38"/>
      <c r="H153" s="524"/>
      <c r="I153" s="518"/>
      <c r="J153" s="103"/>
    </row>
    <row r="154" spans="1:10" ht="14.25" customHeight="1" x14ac:dyDescent="0.3">
      <c r="A154" s="103"/>
      <c r="C154" s="33" t="s">
        <v>89</v>
      </c>
      <c r="D154" s="103"/>
      <c r="E154" s="103"/>
      <c r="F154" s="103"/>
      <c r="G154" s="103"/>
      <c r="H154" s="523"/>
      <c r="I154" s="520"/>
      <c r="J154" s="103"/>
    </row>
    <row r="155" spans="1:10" ht="15" customHeight="1" x14ac:dyDescent="0.3">
      <c r="A155" s="103"/>
      <c r="C155" s="104"/>
      <c r="D155" s="103"/>
      <c r="E155" s="103"/>
      <c r="F155" s="103"/>
      <c r="G155" s="103"/>
      <c r="H155" s="515" t="str">
        <f>$K$1</f>
        <v>Рекорд края</v>
      </c>
      <c r="I155" s="518">
        <f>Рекорды!E27</f>
        <v>247.22</v>
      </c>
      <c r="J155" s="103"/>
    </row>
    <row r="156" spans="1:10" ht="15" customHeight="1" x14ac:dyDescent="0.3">
      <c r="A156" s="54"/>
      <c r="C156" s="37"/>
      <c r="D156" s="27"/>
      <c r="E156" s="23"/>
      <c r="F156" s="38"/>
      <c r="G156" s="38"/>
      <c r="H156" s="515" t="str">
        <f>$K$2</f>
        <v>Рекорд края 16-17 лет</v>
      </c>
      <c r="I156" s="518">
        <f>Рекорды!C27</f>
        <v>254.92</v>
      </c>
    </row>
    <row r="157" spans="1:10" ht="15" customHeight="1" x14ac:dyDescent="0.3">
      <c r="A157" s="54"/>
      <c r="C157" s="37"/>
      <c r="D157" s="27"/>
      <c r="E157" s="23"/>
      <c r="F157" s="38"/>
      <c r="G157" s="38"/>
      <c r="H157" s="515" t="str">
        <f>$K$3</f>
        <v>Рекорд края 14-15 лет</v>
      </c>
      <c r="I157" s="518">
        <f>Рекорды!E95</f>
        <v>304.49</v>
      </c>
    </row>
    <row r="158" spans="1:10" ht="15" customHeight="1" x14ac:dyDescent="0.3">
      <c r="A158" s="54"/>
      <c r="C158" s="37"/>
      <c r="D158" s="27"/>
      <c r="E158" s="23"/>
      <c r="F158" s="38"/>
      <c r="G158" s="38"/>
      <c r="H158" s="515" t="str">
        <f>$K$4</f>
        <v>Рекорд края 13 лет и младше</v>
      </c>
      <c r="I158" s="518">
        <f>Рекорды!C95</f>
        <v>338.06</v>
      </c>
    </row>
    <row r="159" spans="1:10" ht="15" customHeight="1" x14ac:dyDescent="0.3">
      <c r="A159" s="103"/>
      <c r="C159" s="104"/>
      <c r="D159" s="103"/>
      <c r="E159" s="103"/>
      <c r="F159" s="103"/>
      <c r="G159" s="103"/>
      <c r="H159" s="524"/>
      <c r="I159" s="518"/>
      <c r="J159" s="103"/>
    </row>
    <row r="160" spans="1:10" ht="14.25" customHeight="1" x14ac:dyDescent="0.3">
      <c r="A160" s="53"/>
      <c r="C160" s="33" t="s">
        <v>90</v>
      </c>
      <c r="D160" s="35"/>
      <c r="E160" s="36"/>
      <c r="F160" s="34"/>
      <c r="G160" s="34"/>
      <c r="H160" s="523"/>
      <c r="I160" s="518"/>
      <c r="J160" s="103"/>
    </row>
    <row r="161" spans="1:10" ht="15" customHeight="1" x14ac:dyDescent="0.3">
      <c r="A161" s="54"/>
      <c r="C161" s="37"/>
      <c r="D161" s="27"/>
      <c r="E161" s="23"/>
      <c r="F161" s="38"/>
      <c r="G161" s="38"/>
      <c r="H161" s="515" t="str">
        <f>$K$1</f>
        <v>Рекорд края</v>
      </c>
      <c r="I161" s="518">
        <f>Рекорды!D30</f>
        <v>631.66999999999996</v>
      </c>
    </row>
    <row r="162" spans="1:10" ht="15" customHeight="1" x14ac:dyDescent="0.3">
      <c r="A162" s="54"/>
      <c r="C162" s="37"/>
      <c r="D162" s="27"/>
      <c r="E162" s="23"/>
      <c r="F162" s="38"/>
      <c r="G162" s="38"/>
      <c r="H162" s="515" t="str">
        <f>$K$2</f>
        <v>Рекорд края 16-17 лет</v>
      </c>
      <c r="I162" s="518">
        <f>Рекорды!B30</f>
        <v>649.94000000000005</v>
      </c>
    </row>
    <row r="163" spans="1:10" ht="15" customHeight="1" x14ac:dyDescent="0.3">
      <c r="A163" s="54"/>
      <c r="C163" s="37"/>
      <c r="D163" s="27"/>
      <c r="E163" s="23"/>
      <c r="F163" s="38"/>
      <c r="G163" s="38"/>
      <c r="H163" s="515" t="str">
        <f>$K$3</f>
        <v>Рекорд края 14-15 лет</v>
      </c>
      <c r="I163" s="518">
        <f>Рекорды!D98</f>
        <v>733.18</v>
      </c>
    </row>
    <row r="164" spans="1:10" ht="15" customHeight="1" x14ac:dyDescent="0.3">
      <c r="A164" s="54"/>
      <c r="C164" s="37"/>
      <c r="D164" s="27"/>
      <c r="E164" s="23"/>
      <c r="F164" s="38"/>
      <c r="G164" s="38"/>
      <c r="H164" s="515" t="str">
        <f>$K$4</f>
        <v>Рекорд края 13 лет и младше</v>
      </c>
      <c r="I164" s="518">
        <f>Рекорды!B98</f>
        <v>746.47</v>
      </c>
    </row>
    <row r="165" spans="1:10" ht="15" customHeight="1" x14ac:dyDescent="0.3">
      <c r="A165" s="54"/>
      <c r="C165" s="37"/>
      <c r="D165" s="27"/>
      <c r="E165" s="23"/>
      <c r="F165" s="38"/>
      <c r="G165" s="38"/>
      <c r="H165" s="524"/>
      <c r="I165" s="518"/>
      <c r="J165" s="103"/>
    </row>
    <row r="166" spans="1:10" ht="14.25" customHeight="1" x14ac:dyDescent="0.3">
      <c r="A166" s="103"/>
      <c r="C166" s="33" t="s">
        <v>91</v>
      </c>
      <c r="D166" s="103"/>
      <c r="E166" s="103"/>
      <c r="F166" s="103"/>
      <c r="G166" s="103"/>
      <c r="H166" s="523"/>
      <c r="I166" s="520"/>
      <c r="J166" s="103"/>
    </row>
    <row r="167" spans="1:10" ht="15" customHeight="1" x14ac:dyDescent="0.3">
      <c r="A167" s="103"/>
      <c r="C167" s="37"/>
      <c r="D167" s="103"/>
      <c r="E167" s="103"/>
      <c r="F167" s="103"/>
      <c r="G167" s="103"/>
      <c r="H167" s="515" t="str">
        <f>$K$1</f>
        <v>Рекорд края</v>
      </c>
      <c r="I167" s="518">
        <f>Рекорды!E30</f>
        <v>601.66</v>
      </c>
      <c r="J167" s="103"/>
    </row>
    <row r="168" spans="1:10" ht="15" customHeight="1" x14ac:dyDescent="0.3">
      <c r="A168" s="54"/>
      <c r="C168" s="37"/>
      <c r="D168" s="27"/>
      <c r="E168" s="23"/>
      <c r="F168" s="38"/>
      <c r="G168" s="38"/>
      <c r="H168" s="515" t="str">
        <f>$K$2</f>
        <v>Рекорд края 16-17 лет</v>
      </c>
      <c r="I168" s="518">
        <f>Рекорды!C30</f>
        <v>617.28</v>
      </c>
    </row>
    <row r="169" spans="1:10" ht="15" customHeight="1" x14ac:dyDescent="0.3">
      <c r="A169" s="54"/>
      <c r="C169" s="37"/>
      <c r="D169" s="27"/>
      <c r="E169" s="23"/>
      <c r="F169" s="38"/>
      <c r="G169" s="38"/>
      <c r="H169" s="515" t="str">
        <f>$K$3</f>
        <v>Рекорд края 14-15 лет</v>
      </c>
      <c r="I169" s="518">
        <f>Рекорды!E98</f>
        <v>640.4</v>
      </c>
    </row>
    <row r="170" spans="1:10" ht="15" customHeight="1" x14ac:dyDescent="0.3">
      <c r="A170" s="54"/>
      <c r="C170" s="37"/>
      <c r="D170" s="27"/>
      <c r="E170" s="23"/>
      <c r="F170" s="38"/>
      <c r="G170" s="38"/>
      <c r="H170" s="515" t="str">
        <f>$K$4</f>
        <v>Рекорд края 13 лет и младше</v>
      </c>
      <c r="I170" s="518">
        <f>Рекорды!C98</f>
        <v>738.1</v>
      </c>
    </row>
    <row r="171" spans="1:10" ht="15" customHeight="1" x14ac:dyDescent="0.3">
      <c r="A171" s="103"/>
      <c r="C171" s="104"/>
      <c r="D171" s="103"/>
      <c r="E171" s="103"/>
      <c r="F171" s="103"/>
      <c r="G171" s="103"/>
      <c r="H171" s="524"/>
      <c r="I171" s="517"/>
      <c r="J171" s="103"/>
    </row>
    <row r="172" spans="1:10" ht="14.25" customHeight="1" x14ac:dyDescent="0.3">
      <c r="A172" s="53"/>
      <c r="C172" s="33" t="s">
        <v>92</v>
      </c>
      <c r="D172" s="35"/>
      <c r="E172" s="36"/>
      <c r="F172" s="34"/>
      <c r="G172" s="34"/>
      <c r="H172" s="523"/>
      <c r="I172" s="518"/>
      <c r="J172" s="103"/>
    </row>
    <row r="173" spans="1:10" ht="15.75" customHeight="1" x14ac:dyDescent="0.3">
      <c r="A173" s="54"/>
      <c r="C173" s="37"/>
      <c r="D173" s="27"/>
      <c r="E173" s="23"/>
      <c r="F173" s="38"/>
      <c r="G173" s="38"/>
      <c r="H173" s="515" t="str">
        <f>$K$1</f>
        <v>Рекорд края</v>
      </c>
      <c r="I173" s="518">
        <f>Рекорды!D34</f>
        <v>8.1</v>
      </c>
    </row>
    <row r="174" spans="1:10" ht="15" customHeight="1" x14ac:dyDescent="0.3">
      <c r="A174" s="54"/>
      <c r="C174" s="37"/>
      <c r="D174" s="27"/>
      <c r="E174" s="23"/>
      <c r="F174" s="38"/>
      <c r="G174" s="38"/>
      <c r="H174" s="515" t="str">
        <f>$K$2</f>
        <v>Рекорд края 16-17 лет</v>
      </c>
      <c r="I174" s="518">
        <f>Рекорды!B34</f>
        <v>8.36</v>
      </c>
    </row>
    <row r="175" spans="1:10" ht="15" customHeight="1" x14ac:dyDescent="0.3">
      <c r="A175" s="54"/>
      <c r="C175" s="37"/>
      <c r="D175" s="27"/>
      <c r="E175" s="23"/>
      <c r="F175" s="38"/>
      <c r="G175" s="38"/>
      <c r="H175" s="515" t="str">
        <f>$K$3</f>
        <v>Рекорд края 14-15 лет</v>
      </c>
      <c r="I175" s="518">
        <f>Рекорды!D102</f>
        <v>8.81</v>
      </c>
    </row>
    <row r="176" spans="1:10" ht="15" customHeight="1" x14ac:dyDescent="0.3">
      <c r="A176" s="54"/>
      <c r="C176" s="37"/>
      <c r="D176" s="27"/>
      <c r="E176" s="23"/>
      <c r="F176" s="38"/>
      <c r="G176" s="38"/>
      <c r="H176" s="515" t="str">
        <f>$K$4</f>
        <v>Рекорд края 13 лет и младше</v>
      </c>
      <c r="I176" s="518">
        <f>Рекорды!B102</f>
        <v>8.81</v>
      </c>
    </row>
    <row r="177" spans="1:10" ht="15" customHeight="1" x14ac:dyDescent="0.3">
      <c r="A177" s="54"/>
      <c r="C177" s="37"/>
      <c r="D177" s="27"/>
      <c r="E177" s="23"/>
      <c r="F177" s="38"/>
      <c r="G177" s="38"/>
      <c r="H177" s="524"/>
      <c r="I177" s="518"/>
      <c r="J177" s="103"/>
    </row>
    <row r="178" spans="1:10" ht="14.25" customHeight="1" x14ac:dyDescent="0.3">
      <c r="A178" s="54"/>
      <c r="C178" s="33" t="s">
        <v>93</v>
      </c>
      <c r="D178" s="27"/>
      <c r="E178" s="23"/>
      <c r="F178" s="38"/>
      <c r="G178" s="38"/>
      <c r="H178" s="523"/>
      <c r="I178" s="518"/>
      <c r="J178" s="103"/>
    </row>
    <row r="179" spans="1:10" ht="15" customHeight="1" x14ac:dyDescent="0.3">
      <c r="A179" s="103"/>
      <c r="C179" s="104"/>
      <c r="D179" s="103"/>
      <c r="E179" s="103"/>
      <c r="F179" s="103"/>
      <c r="G179" s="103"/>
      <c r="H179" s="515" t="str">
        <f>$K$1</f>
        <v>Рекорд края</v>
      </c>
      <c r="I179" s="518">
        <f>Рекорды!E34</f>
        <v>7.14</v>
      </c>
      <c r="J179" s="103"/>
    </row>
    <row r="180" spans="1:10" ht="15" customHeight="1" x14ac:dyDescent="0.3">
      <c r="A180" s="54"/>
      <c r="C180" s="37"/>
      <c r="D180" s="27"/>
      <c r="E180" s="23"/>
      <c r="F180" s="38"/>
      <c r="G180" s="38"/>
      <c r="H180" s="515" t="str">
        <f>$K$2</f>
        <v>Рекорд края 16-17 лет</v>
      </c>
      <c r="I180" s="518">
        <f>Рекорды!C34</f>
        <v>7.31</v>
      </c>
    </row>
    <row r="181" spans="1:10" ht="15" customHeight="1" x14ac:dyDescent="0.3">
      <c r="A181" s="54"/>
      <c r="C181" s="37"/>
      <c r="D181" s="27"/>
      <c r="E181" s="23"/>
      <c r="F181" s="38"/>
      <c r="G181" s="38"/>
      <c r="H181" s="515" t="str">
        <f>$K$3</f>
        <v>Рекорд края 14-15 лет</v>
      </c>
      <c r="I181" s="518">
        <f>Рекорды!E102</f>
        <v>7.7</v>
      </c>
    </row>
    <row r="182" spans="1:10" ht="15" customHeight="1" x14ac:dyDescent="0.3">
      <c r="A182" s="54"/>
      <c r="C182" s="37"/>
      <c r="D182" s="27"/>
      <c r="E182" s="23"/>
      <c r="F182" s="38"/>
      <c r="G182" s="38"/>
      <c r="H182" s="515" t="str">
        <f>$K$4</f>
        <v>Рекорд края 13 лет и младше</v>
      </c>
      <c r="I182" s="518">
        <f>Рекорды!C102</f>
        <v>8.11</v>
      </c>
    </row>
    <row r="183" spans="1:10" ht="15" customHeight="1" x14ac:dyDescent="0.3">
      <c r="A183" s="103"/>
      <c r="C183" s="104"/>
      <c r="D183" s="103"/>
      <c r="E183" s="103"/>
      <c r="F183" s="103"/>
      <c r="G183" s="103"/>
      <c r="H183" s="524"/>
      <c r="I183" s="518"/>
      <c r="J183" s="103"/>
    </row>
    <row r="184" spans="1:10" ht="14.25" customHeight="1" x14ac:dyDescent="0.3">
      <c r="A184" s="103"/>
      <c r="C184" s="105" t="s">
        <v>102</v>
      </c>
      <c r="D184" s="103"/>
      <c r="E184" s="103"/>
      <c r="F184" s="103"/>
      <c r="G184" s="103"/>
      <c r="H184" s="523"/>
      <c r="I184" s="517"/>
      <c r="J184" s="103"/>
    </row>
    <row r="185" spans="1:10" ht="15" customHeight="1" x14ac:dyDescent="0.3">
      <c r="A185" s="103"/>
      <c r="C185" s="104"/>
      <c r="D185" s="103"/>
      <c r="E185" s="103"/>
      <c r="F185" s="103"/>
      <c r="G185" s="103"/>
      <c r="H185" s="515" t="str">
        <f>$K$1</f>
        <v>Рекорд края</v>
      </c>
      <c r="I185" s="517">
        <f>Рекорды!D51</f>
        <v>113.61</v>
      </c>
    </row>
    <row r="186" spans="1:10" ht="15" customHeight="1" x14ac:dyDescent="0.3">
      <c r="A186" s="54"/>
      <c r="C186" s="37"/>
      <c r="D186" s="27"/>
      <c r="E186" s="23"/>
      <c r="F186" s="38"/>
      <c r="G186" s="38"/>
      <c r="H186" s="515" t="str">
        <f>$K$1</f>
        <v>Рекорд края</v>
      </c>
      <c r="I186" s="518">
        <f>Рекорды!D5</f>
        <v>17.940000000000001</v>
      </c>
    </row>
    <row r="187" spans="1:10" ht="15" customHeight="1" x14ac:dyDescent="0.3">
      <c r="A187" s="103"/>
      <c r="C187" s="104"/>
      <c r="D187" s="103"/>
      <c r="E187" s="103"/>
      <c r="F187" s="103"/>
      <c r="G187" s="103"/>
      <c r="H187" s="515" t="str">
        <f>$K$2</f>
        <v>Рекорд края 16-17 лет</v>
      </c>
      <c r="I187" s="517">
        <f>Рекорды!B51</f>
        <v>120.15</v>
      </c>
    </row>
    <row r="188" spans="1:10" ht="15" customHeight="1" x14ac:dyDescent="0.3">
      <c r="A188" s="54"/>
      <c r="C188" s="37"/>
      <c r="D188" s="27"/>
      <c r="E188" s="23"/>
      <c r="F188" s="38"/>
      <c r="G188" s="38"/>
      <c r="H188" s="515" t="str">
        <f>$K$2</f>
        <v>Рекорд края 16-17 лет</v>
      </c>
      <c r="I188" s="518">
        <f>Рекорды!B5</f>
        <v>18.920000000000002</v>
      </c>
    </row>
    <row r="189" spans="1:10" ht="15" customHeight="1" x14ac:dyDescent="0.3">
      <c r="A189" s="54"/>
      <c r="C189" s="37"/>
      <c r="D189" s="27"/>
      <c r="E189" s="23"/>
      <c r="F189" s="38"/>
      <c r="G189" s="38"/>
      <c r="H189" s="515" t="str">
        <f>$K$3</f>
        <v>Рекорд края 14-15 лет</v>
      </c>
      <c r="I189" s="517">
        <f>Рекорды!D119</f>
        <v>124.17</v>
      </c>
    </row>
    <row r="190" spans="1:10" ht="15" customHeight="1" x14ac:dyDescent="0.3">
      <c r="A190" s="54"/>
      <c r="C190" s="37"/>
      <c r="D190" s="27"/>
      <c r="E190" s="23"/>
      <c r="F190" s="38"/>
      <c r="G190" s="38"/>
      <c r="H190" s="515" t="str">
        <f>$K$3</f>
        <v>Рекорд края 14-15 лет</v>
      </c>
      <c r="I190" s="518">
        <f>Рекорды!D73</f>
        <v>19.11</v>
      </c>
    </row>
    <row r="191" spans="1:10" ht="15" customHeight="1" x14ac:dyDescent="0.3">
      <c r="A191" s="54"/>
      <c r="C191" s="37"/>
      <c r="D191" s="27"/>
      <c r="E191" s="23"/>
      <c r="F191" s="38"/>
      <c r="G191" s="38"/>
      <c r="H191" s="515" t="str">
        <f>$K$4</f>
        <v>Рекорд края 13 лет и младше</v>
      </c>
      <c r="I191" s="518">
        <f>Рекорды!B119</f>
        <v>125.14</v>
      </c>
    </row>
    <row r="192" spans="1:10" ht="15" customHeight="1" x14ac:dyDescent="0.3">
      <c r="A192" s="54"/>
      <c r="C192" s="37"/>
      <c r="D192" s="27"/>
      <c r="E192" s="23"/>
      <c r="F192" s="38"/>
      <c r="G192" s="38"/>
      <c r="H192" s="515" t="str">
        <f>$K$4</f>
        <v>Рекорд края 13 лет и младше</v>
      </c>
      <c r="I192" s="518">
        <f>Рекорды!B73</f>
        <v>19.850000000000001</v>
      </c>
    </row>
    <row r="193" spans="1:10" ht="12.75" customHeight="1" x14ac:dyDescent="0.3">
      <c r="A193" s="114"/>
      <c r="C193" s="114"/>
      <c r="D193" s="114"/>
      <c r="E193" s="114"/>
      <c r="F193" s="114"/>
      <c r="G193" s="114"/>
      <c r="H193" s="524"/>
      <c r="I193" s="519"/>
      <c r="J193" s="27"/>
    </row>
    <row r="194" spans="1:10" ht="14.25" customHeight="1" x14ac:dyDescent="0.3">
      <c r="A194" s="103"/>
      <c r="C194" s="105" t="s">
        <v>103</v>
      </c>
      <c r="D194" s="103"/>
      <c r="E194" s="103"/>
      <c r="F194" s="103"/>
      <c r="G194" s="103"/>
      <c r="H194" s="514"/>
      <c r="I194" s="517"/>
      <c r="J194" s="103"/>
    </row>
    <row r="195" spans="1:10" ht="15" customHeight="1" x14ac:dyDescent="0.3">
      <c r="A195" s="103"/>
      <c r="C195" s="104"/>
      <c r="D195" s="103"/>
      <c r="E195" s="103"/>
      <c r="F195" s="103"/>
      <c r="G195" s="103"/>
      <c r="H195" s="515" t="str">
        <f>$K$1</f>
        <v>Рекорд края</v>
      </c>
      <c r="I195" s="517">
        <f>Рекорды!E51</f>
        <v>106.26</v>
      </c>
      <c r="J195" s="103"/>
    </row>
    <row r="196" spans="1:10" ht="15" customHeight="1" x14ac:dyDescent="0.3">
      <c r="A196" s="54"/>
      <c r="C196" s="37"/>
      <c r="D196" s="27"/>
      <c r="E196" s="23"/>
      <c r="F196" s="38"/>
      <c r="G196" s="38"/>
      <c r="H196" s="515" t="str">
        <f>$K$1</f>
        <v>Рекорд края</v>
      </c>
      <c r="I196" s="518">
        <f>Рекорды!E5</f>
        <v>15.92</v>
      </c>
      <c r="J196" s="103"/>
    </row>
    <row r="197" spans="1:10" ht="15" customHeight="1" x14ac:dyDescent="0.3">
      <c r="A197" s="103"/>
      <c r="C197" s="104"/>
      <c r="D197" s="103"/>
      <c r="E197" s="103"/>
      <c r="F197" s="103"/>
      <c r="G197" s="103"/>
      <c r="H197" s="515" t="str">
        <f>$K$2</f>
        <v>Рекорд края 16-17 лет</v>
      </c>
      <c r="I197" s="517">
        <f>Рекорды!C51</f>
        <v>109.24</v>
      </c>
      <c r="J197" s="103"/>
    </row>
    <row r="198" spans="1:10" ht="15" customHeight="1" x14ac:dyDescent="0.3">
      <c r="A198" s="54"/>
      <c r="C198" s="37"/>
      <c r="D198" s="27"/>
      <c r="E198" s="23"/>
      <c r="F198" s="38"/>
      <c r="G198" s="38"/>
      <c r="H198" s="515" t="str">
        <f>$K$2</f>
        <v>Рекорд края 16-17 лет</v>
      </c>
      <c r="I198" s="518">
        <f>Рекорды!C5</f>
        <v>15.92</v>
      </c>
    </row>
    <row r="199" spans="1:10" ht="15" customHeight="1" x14ac:dyDescent="0.3">
      <c r="A199" s="54"/>
      <c r="C199" s="37"/>
      <c r="D199" s="27"/>
      <c r="E199" s="23"/>
      <c r="F199" s="38"/>
      <c r="G199" s="38"/>
      <c r="H199" s="515" t="str">
        <f>$K$3</f>
        <v>Рекорд края 14-15 лет</v>
      </c>
      <c r="I199" s="517">
        <f>Рекорды!E119</f>
        <v>112.19</v>
      </c>
    </row>
    <row r="200" spans="1:10" ht="15" customHeight="1" x14ac:dyDescent="0.3">
      <c r="A200" s="54"/>
      <c r="C200" s="37"/>
      <c r="D200" s="27"/>
      <c r="E200" s="23"/>
      <c r="F200" s="38"/>
      <c r="G200" s="38"/>
      <c r="H200" s="515" t="str">
        <f>$K$3</f>
        <v>Рекорд края 14-15 лет</v>
      </c>
      <c r="I200" s="518">
        <f>Рекорды!E73</f>
        <v>17.5</v>
      </c>
    </row>
    <row r="201" spans="1:10" ht="15" customHeight="1" x14ac:dyDescent="0.3">
      <c r="A201" s="54"/>
      <c r="C201" s="37"/>
      <c r="D201" s="27"/>
      <c r="E201" s="23"/>
      <c r="F201" s="38"/>
      <c r="G201" s="38"/>
      <c r="H201" s="515" t="str">
        <f>$K$4</f>
        <v>Рекорд края 13 лет и младше</v>
      </c>
      <c r="I201" s="518">
        <f>Рекорды!C119</f>
        <v>129.03</v>
      </c>
    </row>
    <row r="202" spans="1:10" ht="15" customHeight="1" x14ac:dyDescent="0.3">
      <c r="A202" s="54"/>
      <c r="C202" s="37"/>
      <c r="D202" s="27"/>
      <c r="E202" s="23"/>
      <c r="F202" s="38"/>
      <c r="G202" s="38"/>
      <c r="H202" s="515" t="str">
        <f>$K$4</f>
        <v>Рекорд края 13 лет и младше</v>
      </c>
      <c r="I202" s="518">
        <f>Рекорды!C73</f>
        <v>17.7</v>
      </c>
    </row>
    <row r="203" spans="1:10" ht="15" customHeight="1" x14ac:dyDescent="0.3">
      <c r="A203" s="103"/>
      <c r="C203" s="104"/>
      <c r="D203" s="103"/>
      <c r="E203" s="103"/>
      <c r="F203" s="103"/>
      <c r="G203" s="103"/>
      <c r="H203" s="514"/>
      <c r="I203" s="517"/>
      <c r="J203" s="103"/>
    </row>
    <row r="204" spans="1:10" ht="14.25" customHeight="1" x14ac:dyDescent="0.3">
      <c r="A204" s="103"/>
      <c r="C204" s="105" t="s">
        <v>104</v>
      </c>
      <c r="D204" s="103"/>
      <c r="E204" s="103"/>
      <c r="F204" s="103"/>
      <c r="G204" s="103"/>
      <c r="H204" s="514"/>
      <c r="I204" s="517"/>
      <c r="J204" s="103"/>
    </row>
    <row r="205" spans="1:10" ht="15" customHeight="1" x14ac:dyDescent="0.3">
      <c r="A205" s="103"/>
      <c r="C205" s="104"/>
      <c r="D205" s="103"/>
      <c r="E205" s="103"/>
      <c r="F205" s="103"/>
      <c r="G205" s="103"/>
      <c r="H205" s="515" t="str">
        <f>$K$1</f>
        <v>Рекорд края</v>
      </c>
      <c r="I205" s="517">
        <f>Рекорды!D57</f>
        <v>237.96</v>
      </c>
    </row>
    <row r="206" spans="1:10" ht="15" customHeight="1" x14ac:dyDescent="0.3">
      <c r="A206" s="54"/>
      <c r="C206" s="37"/>
      <c r="D206" s="27"/>
      <c r="E206" s="23"/>
      <c r="F206" s="38"/>
      <c r="G206" s="38"/>
      <c r="H206" s="515" t="str">
        <f>$K$1</f>
        <v>Рекорд края</v>
      </c>
      <c r="I206" s="518">
        <f>Рекорды!D8</f>
        <v>39.200000000000003</v>
      </c>
    </row>
    <row r="207" spans="1:10" ht="15" customHeight="1" x14ac:dyDescent="0.3">
      <c r="A207" s="103"/>
      <c r="C207" s="104"/>
      <c r="D207" s="103"/>
      <c r="E207" s="103"/>
      <c r="F207" s="103"/>
      <c r="G207" s="103"/>
      <c r="H207" s="515" t="str">
        <f>$K$2</f>
        <v>Рекорд края 16-17 лет</v>
      </c>
      <c r="I207" s="517">
        <f>Рекорды!B57</f>
        <v>249.04</v>
      </c>
    </row>
    <row r="208" spans="1:10" ht="15" customHeight="1" x14ac:dyDescent="0.3">
      <c r="A208" s="54"/>
      <c r="C208" s="37"/>
      <c r="D208" s="27"/>
      <c r="E208" s="23"/>
      <c r="F208" s="38"/>
      <c r="G208" s="38"/>
      <c r="H208" s="515" t="str">
        <f>$K$2</f>
        <v>Рекорд края 16-17 лет</v>
      </c>
      <c r="I208" s="518">
        <f>Рекорды!B8</f>
        <v>41.2</v>
      </c>
    </row>
    <row r="209" spans="1:10" ht="15" customHeight="1" x14ac:dyDescent="0.3">
      <c r="A209" s="54"/>
      <c r="C209" s="37"/>
      <c r="D209" s="27"/>
      <c r="E209" s="23"/>
      <c r="F209" s="38"/>
      <c r="G209" s="38"/>
      <c r="H209" s="515" t="str">
        <f>$K$3</f>
        <v>Рекорд края 14-15 лет</v>
      </c>
      <c r="I209" s="517">
        <f>Рекорды!D125</f>
        <v>259.7</v>
      </c>
    </row>
    <row r="210" spans="1:10" ht="15" customHeight="1" x14ac:dyDescent="0.3">
      <c r="A210" s="54"/>
      <c r="C210" s="37"/>
      <c r="D210" s="27"/>
      <c r="E210" s="23"/>
      <c r="F210" s="38"/>
      <c r="G210" s="38"/>
      <c r="H210" s="515" t="str">
        <f>$K$3</f>
        <v>Рекорд края 14-15 лет</v>
      </c>
      <c r="I210" s="518">
        <f>Рекорды!D76</f>
        <v>41.48</v>
      </c>
    </row>
    <row r="211" spans="1:10" ht="15" customHeight="1" x14ac:dyDescent="0.3">
      <c r="A211" s="54"/>
      <c r="C211" s="37"/>
      <c r="D211" s="27"/>
      <c r="E211" s="23"/>
      <c r="F211" s="38"/>
      <c r="G211" s="38"/>
      <c r="H211" s="515" t="str">
        <f>$K$4</f>
        <v>Рекорд края 13 лет и младше</v>
      </c>
      <c r="I211" s="518">
        <f>Рекорды!B125</f>
        <v>308.02999999999997</v>
      </c>
    </row>
    <row r="212" spans="1:10" ht="15" customHeight="1" x14ac:dyDescent="0.3">
      <c r="A212" s="54"/>
      <c r="C212" s="37"/>
      <c r="D212" s="27"/>
      <c r="E212" s="23"/>
      <c r="F212" s="38"/>
      <c r="G212" s="38"/>
      <c r="H212" s="515" t="str">
        <f>$K$4</f>
        <v>Рекорд края 13 лет и младше</v>
      </c>
      <c r="I212" s="518">
        <f>Рекорды!B76</f>
        <v>43.88</v>
      </c>
    </row>
    <row r="213" spans="1:10" ht="15" customHeight="1" x14ac:dyDescent="0.3">
      <c r="A213" s="54"/>
      <c r="C213" s="37"/>
      <c r="D213" s="27"/>
      <c r="E213" s="23"/>
      <c r="F213" s="38"/>
      <c r="G213" s="38"/>
      <c r="H213" s="524"/>
      <c r="I213" s="518"/>
      <c r="J213" s="27"/>
    </row>
    <row r="214" spans="1:10" ht="14.25" customHeight="1" x14ac:dyDescent="0.3">
      <c r="A214" s="103"/>
      <c r="C214" s="105" t="s">
        <v>105</v>
      </c>
      <c r="D214" s="103"/>
      <c r="E214" s="103"/>
      <c r="F214" s="103"/>
      <c r="G214" s="103"/>
      <c r="H214" s="523"/>
      <c r="I214" s="517"/>
      <c r="J214" s="103"/>
    </row>
    <row r="215" spans="1:10" ht="15" customHeight="1" x14ac:dyDescent="0.3">
      <c r="A215" s="103"/>
      <c r="C215" s="104"/>
      <c r="D215" s="103"/>
      <c r="E215" s="103"/>
      <c r="F215" s="103"/>
      <c r="G215" s="103"/>
      <c r="H215" s="515" t="str">
        <f>$K$1</f>
        <v>Рекорд края</v>
      </c>
      <c r="I215" s="517">
        <f>Рекорды!E57</f>
        <v>221.4</v>
      </c>
      <c r="J215" s="103"/>
    </row>
    <row r="216" spans="1:10" ht="15" customHeight="1" x14ac:dyDescent="0.3">
      <c r="A216" s="54"/>
      <c r="C216" s="37"/>
      <c r="D216" s="27"/>
      <c r="E216" s="23"/>
      <c r="F216" s="38"/>
      <c r="G216" s="38"/>
      <c r="H216" s="515" t="str">
        <f>$K$1</f>
        <v>Рекорд края</v>
      </c>
      <c r="I216" s="518">
        <f>Рекорды!E8</f>
        <v>35.56</v>
      </c>
      <c r="J216" s="103"/>
    </row>
    <row r="217" spans="1:10" ht="15" customHeight="1" x14ac:dyDescent="0.3">
      <c r="A217" s="103"/>
      <c r="C217" s="104"/>
      <c r="D217" s="103"/>
      <c r="E217" s="103"/>
      <c r="F217" s="103"/>
      <c r="G217" s="103"/>
      <c r="H217" s="515" t="str">
        <f>$K$2</f>
        <v>Рекорд края 16-17 лет</v>
      </c>
      <c r="I217" s="517">
        <f>Рекорды!C57</f>
        <v>232.02</v>
      </c>
      <c r="J217" s="103"/>
    </row>
    <row r="218" spans="1:10" ht="15" customHeight="1" x14ac:dyDescent="0.3">
      <c r="A218" s="54"/>
      <c r="C218" s="37"/>
      <c r="D218" s="27"/>
      <c r="E218" s="23"/>
      <c r="F218" s="38"/>
      <c r="G218" s="38"/>
      <c r="H218" s="515" t="str">
        <f>$K$2</f>
        <v>Рекорд края 16-17 лет</v>
      </c>
      <c r="I218" s="518">
        <f>Рекорды!C8</f>
        <v>36.24</v>
      </c>
    </row>
    <row r="219" spans="1:10" ht="15" customHeight="1" x14ac:dyDescent="0.3">
      <c r="A219" s="54"/>
      <c r="C219" s="37"/>
      <c r="D219" s="27"/>
      <c r="E219" s="23"/>
      <c r="F219" s="38"/>
      <c r="G219" s="38"/>
      <c r="H219" s="515" t="str">
        <f>$K$3</f>
        <v>Рекорд края 14-15 лет</v>
      </c>
      <c r="I219" s="517">
        <f>Рекорды!E125</f>
        <v>245.79</v>
      </c>
    </row>
    <row r="220" spans="1:10" ht="15" customHeight="1" x14ac:dyDescent="0.3">
      <c r="A220" s="54"/>
      <c r="C220" s="37"/>
      <c r="D220" s="27"/>
      <c r="E220" s="23"/>
      <c r="F220" s="38"/>
      <c r="G220" s="38"/>
      <c r="H220" s="515" t="str">
        <f>$K$3</f>
        <v>Рекорд края 14-15 лет</v>
      </c>
      <c r="I220" s="518">
        <f>Рекорды!E76</f>
        <v>37.69</v>
      </c>
    </row>
    <row r="221" spans="1:10" ht="15" customHeight="1" x14ac:dyDescent="0.3">
      <c r="A221" s="54"/>
      <c r="C221" s="37"/>
      <c r="D221" s="27"/>
      <c r="E221" s="23"/>
      <c r="F221" s="38"/>
      <c r="G221" s="38"/>
      <c r="H221" s="515" t="str">
        <f>$K$4</f>
        <v>Рекорд края 13 лет и младше</v>
      </c>
      <c r="I221" s="518">
        <f>Рекорды!C125</f>
        <v>315.31</v>
      </c>
    </row>
    <row r="222" spans="1:10" ht="15" customHeight="1" x14ac:dyDescent="0.3">
      <c r="A222" s="54"/>
      <c r="C222" s="37"/>
      <c r="D222" s="27"/>
      <c r="E222" s="23"/>
      <c r="F222" s="38"/>
      <c r="G222" s="38"/>
      <c r="H222" s="515" t="str">
        <f>$K$4</f>
        <v>Рекорд края 13 лет и младше</v>
      </c>
      <c r="I222" s="518">
        <f>Рекорды!C76</f>
        <v>40.549999999999997</v>
      </c>
    </row>
    <row r="223" spans="1:10" ht="15" customHeight="1" x14ac:dyDescent="0.3">
      <c r="A223" s="103"/>
      <c r="C223" s="104"/>
      <c r="D223" s="103"/>
      <c r="E223" s="103"/>
      <c r="F223" s="103"/>
      <c r="G223" s="103"/>
      <c r="H223" s="515"/>
      <c r="I223" s="517"/>
      <c r="J223" s="103"/>
    </row>
    <row r="224" spans="1:10" ht="13.5" customHeight="1" x14ac:dyDescent="0.3">
      <c r="A224" s="103"/>
      <c r="C224" s="105" t="s">
        <v>106</v>
      </c>
      <c r="D224" s="103"/>
      <c r="E224" s="103"/>
      <c r="F224" s="103"/>
      <c r="G224" s="103"/>
      <c r="H224" s="514"/>
      <c r="I224" s="517"/>
      <c r="J224" s="103"/>
    </row>
    <row r="225" spans="1:10" ht="15" customHeight="1" x14ac:dyDescent="0.3">
      <c r="A225" s="103"/>
      <c r="C225" s="104"/>
      <c r="D225" s="103"/>
      <c r="E225" s="103"/>
      <c r="F225" s="103"/>
      <c r="G225" s="103"/>
      <c r="H225" s="515" t="str">
        <f>$K$1</f>
        <v>Рекорд края</v>
      </c>
      <c r="I225" s="517">
        <f>Рекорды!D63</f>
        <v>607.39</v>
      </c>
    </row>
    <row r="226" spans="1:10" ht="15" customHeight="1" x14ac:dyDescent="0.3">
      <c r="A226" s="54"/>
      <c r="C226" s="37"/>
      <c r="D226" s="27"/>
      <c r="E226" s="23"/>
      <c r="F226" s="38"/>
      <c r="G226" s="38"/>
      <c r="H226" s="515" t="str">
        <f>$K$1</f>
        <v>Рекорд края</v>
      </c>
      <c r="I226" s="518">
        <f>Рекорды!D11</f>
        <v>128.51</v>
      </c>
    </row>
    <row r="227" spans="1:10" ht="15" customHeight="1" x14ac:dyDescent="0.3">
      <c r="A227" s="103"/>
      <c r="C227" s="104"/>
      <c r="D227" s="103"/>
      <c r="E227" s="103"/>
      <c r="F227" s="103"/>
      <c r="G227" s="103"/>
      <c r="H227" s="515" t="str">
        <f>$K$2</f>
        <v>Рекорд края 16-17 лет</v>
      </c>
      <c r="I227" s="517">
        <f>Рекорды!B63</f>
        <v>626.87</v>
      </c>
    </row>
    <row r="228" spans="1:10" ht="15" customHeight="1" x14ac:dyDescent="0.3">
      <c r="A228" s="54"/>
      <c r="C228" s="37"/>
      <c r="D228" s="27"/>
      <c r="E228" s="23"/>
      <c r="F228" s="38"/>
      <c r="G228" s="38"/>
      <c r="H228" s="515" t="str">
        <f>$K$2</f>
        <v>Рекорд края 16-17 лет</v>
      </c>
      <c r="I228" s="518">
        <f>Рекорды!B11</f>
        <v>132.52000000000001</v>
      </c>
    </row>
    <row r="229" spans="1:10" ht="15" customHeight="1" x14ac:dyDescent="0.3">
      <c r="A229" s="54"/>
      <c r="C229" s="37"/>
      <c r="D229" s="27"/>
      <c r="E229" s="23"/>
      <c r="F229" s="38"/>
      <c r="G229" s="38"/>
      <c r="H229" s="515" t="str">
        <f>$K$3</f>
        <v>Рекорд края 14-15 лет</v>
      </c>
      <c r="I229" s="517">
        <f>Рекорды!D131</f>
        <v>651.66</v>
      </c>
    </row>
    <row r="230" spans="1:10" ht="15" customHeight="1" x14ac:dyDescent="0.3">
      <c r="A230" s="54"/>
      <c r="C230" s="37"/>
      <c r="D230" s="27"/>
      <c r="E230" s="23"/>
      <c r="F230" s="38"/>
      <c r="G230" s="38"/>
      <c r="H230" s="515" t="str">
        <f>$K$3</f>
        <v>Рекорд края 14-15 лет</v>
      </c>
      <c r="I230" s="518">
        <f>Рекорды!D79</f>
        <v>137.02000000000001</v>
      </c>
    </row>
    <row r="231" spans="1:10" ht="15" customHeight="1" x14ac:dyDescent="0.3">
      <c r="A231" s="54"/>
      <c r="C231" s="37"/>
      <c r="D231" s="27"/>
      <c r="E231" s="23"/>
      <c r="F231" s="38"/>
      <c r="G231" s="38"/>
      <c r="H231" s="515" t="str">
        <f>$K$4</f>
        <v>Рекорд края 13 лет и младше</v>
      </c>
      <c r="I231" s="518">
        <f>Рекорды!B131</f>
        <v>709.13</v>
      </c>
    </row>
    <row r="232" spans="1:10" ht="15" customHeight="1" x14ac:dyDescent="0.3">
      <c r="A232" s="54"/>
      <c r="C232" s="37"/>
      <c r="D232" s="27"/>
      <c r="E232" s="23"/>
      <c r="F232" s="38"/>
      <c r="G232" s="38"/>
      <c r="H232" s="515" t="str">
        <f>$K$4</f>
        <v>Рекорд края 13 лет и младше</v>
      </c>
      <c r="I232" s="518">
        <f>Рекорды!B79</f>
        <v>139.87</v>
      </c>
    </row>
    <row r="233" spans="1:10" ht="15" customHeight="1" x14ac:dyDescent="0.3">
      <c r="A233" s="103"/>
      <c r="C233" s="104"/>
      <c r="D233" s="103"/>
      <c r="E233" s="103"/>
      <c r="F233" s="103"/>
      <c r="G233" s="103"/>
      <c r="H233" s="515"/>
      <c r="I233" s="517"/>
      <c r="J233" s="103"/>
    </row>
    <row r="234" spans="1:10" ht="14.25" customHeight="1" x14ac:dyDescent="0.3">
      <c r="A234" s="103"/>
      <c r="C234" s="105" t="s">
        <v>107</v>
      </c>
      <c r="D234" s="103"/>
      <c r="E234" s="103"/>
      <c r="F234" s="103"/>
      <c r="G234" s="103"/>
      <c r="H234" s="515"/>
      <c r="I234" s="517"/>
      <c r="J234" s="103"/>
    </row>
    <row r="235" spans="1:10" ht="15" customHeight="1" x14ac:dyDescent="0.3">
      <c r="A235" s="103"/>
      <c r="C235" s="104"/>
      <c r="D235" s="103"/>
      <c r="E235" s="103"/>
      <c r="F235" s="103"/>
      <c r="G235" s="103"/>
      <c r="H235" s="515" t="str">
        <f>$K$1</f>
        <v>Рекорд края</v>
      </c>
      <c r="I235" s="517">
        <f>Рекорды!E63</f>
        <v>528.86</v>
      </c>
      <c r="J235" s="103"/>
    </row>
    <row r="236" spans="1:10" ht="15" customHeight="1" x14ac:dyDescent="0.3">
      <c r="A236" s="54"/>
      <c r="C236" s="37"/>
      <c r="D236" s="27"/>
      <c r="E236" s="23"/>
      <c r="F236" s="38"/>
      <c r="G236" s="38"/>
      <c r="H236" s="515" t="str">
        <f>$K$1</f>
        <v>Рекорд края</v>
      </c>
      <c r="I236" s="518">
        <f>Рекорды!E11</f>
        <v>121.33</v>
      </c>
      <c r="J236" s="103"/>
    </row>
    <row r="237" spans="1:10" ht="15" customHeight="1" x14ac:dyDescent="0.3">
      <c r="A237" s="103"/>
      <c r="C237" s="104"/>
      <c r="D237" s="103"/>
      <c r="E237" s="103"/>
      <c r="F237" s="103"/>
      <c r="G237" s="103"/>
      <c r="H237" s="515" t="str">
        <f>$K$2</f>
        <v>Рекорд края 16-17 лет</v>
      </c>
      <c r="I237" s="517">
        <f>Рекорды!C63</f>
        <v>554.49</v>
      </c>
      <c r="J237" s="103"/>
    </row>
    <row r="238" spans="1:10" ht="15" customHeight="1" x14ac:dyDescent="0.3">
      <c r="A238" s="54"/>
      <c r="C238" s="37"/>
      <c r="D238" s="27"/>
      <c r="E238" s="23"/>
      <c r="F238" s="38"/>
      <c r="G238" s="38"/>
      <c r="H238" s="515" t="str">
        <f>$K$2</f>
        <v>Рекорд края 16-17 лет</v>
      </c>
      <c r="I238" s="518">
        <f>Рекорды!C11</f>
        <v>121.67</v>
      </c>
    </row>
    <row r="239" spans="1:10" ht="15" customHeight="1" x14ac:dyDescent="0.3">
      <c r="A239" s="54"/>
      <c r="C239" s="37"/>
      <c r="D239" s="27"/>
      <c r="E239" s="23"/>
      <c r="F239" s="38"/>
      <c r="G239" s="38"/>
      <c r="H239" s="515" t="str">
        <f>$K$3</f>
        <v>Рекорд края 14-15 лет</v>
      </c>
      <c r="I239" s="517">
        <f>Рекорды!E131</f>
        <v>630</v>
      </c>
    </row>
    <row r="240" spans="1:10" ht="15" customHeight="1" x14ac:dyDescent="0.3">
      <c r="A240" s="54"/>
      <c r="C240" s="37"/>
      <c r="D240" s="27"/>
      <c r="E240" s="23"/>
      <c r="F240" s="38"/>
      <c r="G240" s="38"/>
      <c r="H240" s="515" t="str">
        <f>$K$3</f>
        <v>Рекорд края 14-15 лет</v>
      </c>
      <c r="I240" s="518">
        <f>Рекорды!E79</f>
        <v>125.51</v>
      </c>
    </row>
    <row r="241" spans="1:11" ht="15" customHeight="1" x14ac:dyDescent="0.3">
      <c r="A241" s="54"/>
      <c r="C241" s="37"/>
      <c r="D241" s="27"/>
      <c r="E241" s="23"/>
      <c r="F241" s="38"/>
      <c r="G241" s="38"/>
      <c r="H241" s="515" t="str">
        <f>$K$4</f>
        <v>Рекорд края 13 лет и младше</v>
      </c>
      <c r="I241" s="518">
        <f>Рекорды!C131</f>
        <v>723.45</v>
      </c>
    </row>
    <row r="242" spans="1:11" ht="15" customHeight="1" x14ac:dyDescent="0.3">
      <c r="A242" s="54"/>
      <c r="C242" s="37"/>
      <c r="D242" s="27"/>
      <c r="E242" s="23"/>
      <c r="F242" s="38"/>
      <c r="G242" s="38"/>
      <c r="H242" s="515" t="str">
        <f>$K$4</f>
        <v>Рекорд края 13 лет и младше</v>
      </c>
      <c r="I242" s="518">
        <f>Рекорды!C79</f>
        <v>133.16999999999999</v>
      </c>
    </row>
    <row r="243" spans="1:11" ht="15" customHeight="1" x14ac:dyDescent="0.3">
      <c r="A243" s="103"/>
      <c r="C243" s="104"/>
      <c r="D243" s="103"/>
      <c r="E243" s="103"/>
      <c r="F243" s="103"/>
      <c r="G243" s="103"/>
      <c r="H243" s="514"/>
      <c r="I243" s="517"/>
      <c r="J243" s="103"/>
    </row>
    <row r="244" spans="1:11" ht="15" customHeight="1" x14ac:dyDescent="0.3">
      <c r="A244" s="103"/>
      <c r="C244" s="104"/>
      <c r="D244" s="103"/>
      <c r="E244" s="103"/>
      <c r="F244" s="103"/>
      <c r="G244" s="103"/>
      <c r="H244" s="514"/>
      <c r="I244" s="517"/>
      <c r="J244" s="103"/>
    </row>
    <row r="245" spans="1:11" ht="15" customHeight="1" x14ac:dyDescent="0.3">
      <c r="A245" s="103"/>
      <c r="C245" s="104"/>
      <c r="D245" s="103"/>
      <c r="E245" s="103"/>
      <c r="F245" s="103"/>
      <c r="G245" s="103"/>
      <c r="H245" s="514"/>
      <c r="I245" s="517"/>
      <c r="J245" s="103"/>
    </row>
    <row r="246" spans="1:11" ht="15" customHeight="1" x14ac:dyDescent="0.3">
      <c r="A246" s="103"/>
      <c r="C246" s="104"/>
      <c r="D246" s="103"/>
      <c r="E246" s="103"/>
      <c r="F246" s="103"/>
      <c r="G246" s="103"/>
      <c r="H246" s="514"/>
      <c r="I246" s="517"/>
      <c r="J246" s="103"/>
    </row>
    <row r="247" spans="1:11" ht="14.25" customHeight="1" x14ac:dyDescent="0.3">
      <c r="A247" s="103"/>
      <c r="C247" s="118" t="s">
        <v>108</v>
      </c>
      <c r="D247" s="103"/>
      <c r="E247" s="103"/>
      <c r="F247" s="103"/>
      <c r="G247" s="103"/>
      <c r="H247" s="514"/>
      <c r="I247" s="517"/>
      <c r="J247" s="103"/>
    </row>
    <row r="248" spans="1:11" ht="15" customHeight="1" x14ac:dyDescent="0.3">
      <c r="A248" s="54"/>
      <c r="C248" s="37"/>
      <c r="D248" s="27"/>
      <c r="E248" s="23"/>
      <c r="F248" s="38"/>
      <c r="G248" s="38"/>
      <c r="H248" s="515" t="s">
        <v>323</v>
      </c>
      <c r="I248" s="518"/>
      <c r="J248" s="103"/>
    </row>
    <row r="249" spans="1:11" ht="15" customHeight="1" x14ac:dyDescent="0.3">
      <c r="A249" s="54"/>
      <c r="C249" s="37"/>
      <c r="D249" s="27"/>
      <c r="E249" s="23"/>
      <c r="F249" s="38"/>
      <c r="G249" s="38"/>
      <c r="H249" s="524"/>
      <c r="I249" s="521"/>
      <c r="J249" s="27"/>
      <c r="K249" s="344"/>
    </row>
    <row r="250" spans="1:11" ht="15" customHeight="1" x14ac:dyDescent="0.3">
      <c r="A250" s="54"/>
      <c r="C250" s="37"/>
      <c r="D250" s="27"/>
      <c r="E250" s="23"/>
      <c r="F250" s="38"/>
      <c r="G250" s="38"/>
      <c r="H250" s="524"/>
      <c r="I250" s="521"/>
      <c r="J250" s="27"/>
      <c r="K250" s="344"/>
    </row>
    <row r="251" spans="1:11" ht="15" customHeight="1" x14ac:dyDescent="0.3">
      <c r="A251" s="54"/>
      <c r="C251" s="37"/>
      <c r="D251" s="27"/>
      <c r="E251" s="23"/>
      <c r="F251" s="38"/>
      <c r="G251" s="38"/>
      <c r="H251" s="524"/>
      <c r="I251" s="521"/>
      <c r="J251" s="27"/>
      <c r="K251" s="344"/>
    </row>
    <row r="252" spans="1:11" ht="15" customHeight="1" x14ac:dyDescent="0.3">
      <c r="A252" s="54"/>
      <c r="C252" s="37"/>
      <c r="D252" s="27"/>
      <c r="E252" s="23"/>
      <c r="F252" s="38"/>
      <c r="G252" s="38"/>
      <c r="H252" s="524"/>
      <c r="I252" s="521"/>
      <c r="J252" s="27"/>
      <c r="K252" s="344"/>
    </row>
    <row r="253" spans="1:11" ht="15" customHeight="1" x14ac:dyDescent="0.3">
      <c r="A253" s="54"/>
      <c r="C253" s="37"/>
      <c r="D253" s="27"/>
      <c r="E253" s="23"/>
      <c r="F253" s="38"/>
      <c r="G253" s="38"/>
      <c r="H253" s="524"/>
      <c r="I253" s="521"/>
      <c r="J253" s="27"/>
      <c r="K253" s="344"/>
    </row>
    <row r="254" spans="1:11" ht="15" customHeight="1" x14ac:dyDescent="0.3">
      <c r="A254" s="54"/>
      <c r="C254" s="37"/>
      <c r="D254" s="27"/>
      <c r="E254" s="23"/>
      <c r="F254" s="38"/>
      <c r="G254" s="38"/>
      <c r="H254" s="524"/>
      <c r="I254" s="521"/>
      <c r="J254" s="27"/>
      <c r="K254" s="344"/>
    </row>
    <row r="255" spans="1:11" ht="15" customHeight="1" x14ac:dyDescent="0.3">
      <c r="A255" s="54"/>
      <c r="C255" s="37"/>
      <c r="D255" s="27"/>
      <c r="E255" s="23"/>
      <c r="F255" s="38"/>
      <c r="G255" s="38"/>
      <c r="H255" s="524"/>
      <c r="I255" s="521"/>
      <c r="J255" s="27"/>
      <c r="K255" s="344"/>
    </row>
    <row r="256" spans="1:11" ht="15" customHeight="1" x14ac:dyDescent="0.3">
      <c r="A256" s="54"/>
      <c r="C256" s="37"/>
      <c r="D256" s="27"/>
      <c r="E256" s="23"/>
      <c r="F256" s="38"/>
      <c r="G256" s="38"/>
      <c r="H256" s="524"/>
      <c r="I256" s="521"/>
      <c r="J256" s="27"/>
      <c r="K256" s="344"/>
    </row>
    <row r="257" spans="1:11" ht="15" customHeight="1" x14ac:dyDescent="0.3">
      <c r="A257" s="54"/>
      <c r="C257" s="37"/>
      <c r="D257" s="27"/>
      <c r="E257" s="23"/>
      <c r="F257" s="38"/>
      <c r="G257" s="38"/>
      <c r="H257" s="524"/>
      <c r="I257" s="521"/>
      <c r="J257" s="27"/>
      <c r="K257" s="344"/>
    </row>
    <row r="258" spans="1:11" ht="14.25" customHeight="1" x14ac:dyDescent="0.3">
      <c r="A258" s="103"/>
      <c r="C258" s="118"/>
      <c r="D258" s="103"/>
      <c r="E258" s="103"/>
      <c r="F258" s="103"/>
      <c r="G258" s="103"/>
      <c r="H258" s="514"/>
      <c r="I258" s="517"/>
      <c r="J258" s="103"/>
    </row>
    <row r="259" spans="1:11" ht="14.25" customHeight="1" x14ac:dyDescent="0.3">
      <c r="A259" s="103"/>
      <c r="C259" s="118" t="s">
        <v>282</v>
      </c>
      <c r="D259" s="103"/>
      <c r="E259" s="103"/>
      <c r="F259" s="103"/>
      <c r="G259" s="103"/>
      <c r="H259" s="514"/>
      <c r="I259" s="517"/>
      <c r="J259" s="103"/>
    </row>
    <row r="260" spans="1:11" ht="14.25" customHeight="1" x14ac:dyDescent="0.3">
      <c r="A260" s="103"/>
      <c r="C260" s="118" t="s">
        <v>283</v>
      </c>
      <c r="D260" s="103"/>
      <c r="E260" s="103"/>
      <c r="F260" s="103"/>
      <c r="G260" s="103"/>
      <c r="H260" s="514"/>
      <c r="I260" s="517"/>
      <c r="J260" s="103"/>
    </row>
    <row r="262" spans="1:11" ht="14.25" customHeight="1" x14ac:dyDescent="0.3">
      <c r="A262" s="103"/>
      <c r="C262" s="118" t="s">
        <v>321</v>
      </c>
      <c r="D262" s="103"/>
      <c r="E262" s="103"/>
      <c r="F262" s="103"/>
      <c r="G262" s="103"/>
      <c r="H262" s="514"/>
      <c r="I262" s="517"/>
      <c r="J262" s="103"/>
    </row>
    <row r="263" spans="1:11" ht="14.25" customHeight="1" x14ac:dyDescent="0.3">
      <c r="A263" s="103"/>
      <c r="C263" s="118" t="s">
        <v>322</v>
      </c>
      <c r="D263" s="103"/>
      <c r="E263" s="103"/>
      <c r="F263" s="103"/>
      <c r="G263" s="103"/>
      <c r="H263" s="514"/>
      <c r="I263" s="517"/>
      <c r="J263" s="103"/>
    </row>
    <row r="265" spans="1:11" x14ac:dyDescent="0.3">
      <c r="C265" s="118" t="s">
        <v>315</v>
      </c>
    </row>
    <row r="266" spans="1:11" x14ac:dyDescent="0.3">
      <c r="C266" s="118" t="s">
        <v>307</v>
      </c>
    </row>
    <row r="267" spans="1:11" x14ac:dyDescent="0.3">
      <c r="C267" s="118"/>
    </row>
    <row r="268" spans="1:11" x14ac:dyDescent="0.3">
      <c r="C268" s="118" t="s">
        <v>314</v>
      </c>
    </row>
    <row r="269" spans="1:11" x14ac:dyDescent="0.3">
      <c r="C269" s="118" t="s">
        <v>308</v>
      </c>
    </row>
    <row r="270" spans="1:11" x14ac:dyDescent="0.3">
      <c r="C270" s="118"/>
    </row>
    <row r="271" spans="1:11" x14ac:dyDescent="0.3">
      <c r="C271" s="118" t="s">
        <v>316</v>
      </c>
    </row>
    <row r="272" spans="1:11" x14ac:dyDescent="0.3">
      <c r="C272" s="118" t="s">
        <v>310</v>
      </c>
    </row>
    <row r="273" spans="3:3" x14ac:dyDescent="0.3">
      <c r="C273" s="118"/>
    </row>
    <row r="274" spans="3:3" x14ac:dyDescent="0.3">
      <c r="C274" s="118" t="s">
        <v>317</v>
      </c>
    </row>
    <row r="275" spans="3:3" x14ac:dyDescent="0.3">
      <c r="C275" s="118" t="s">
        <v>309</v>
      </c>
    </row>
    <row r="276" spans="3:3" x14ac:dyDescent="0.3">
      <c r="C276" s="118"/>
    </row>
    <row r="277" spans="3:3" x14ac:dyDescent="0.3">
      <c r="C277" s="118" t="s">
        <v>319</v>
      </c>
    </row>
    <row r="278" spans="3:3" x14ac:dyDescent="0.3">
      <c r="C278" s="118" t="s">
        <v>312</v>
      </c>
    </row>
    <row r="279" spans="3:3" x14ac:dyDescent="0.3">
      <c r="C279" s="118"/>
    </row>
    <row r="280" spans="3:3" x14ac:dyDescent="0.3">
      <c r="C280" s="118" t="s">
        <v>318</v>
      </c>
    </row>
    <row r="281" spans="3:3" x14ac:dyDescent="0.3">
      <c r="C281" s="118" t="s">
        <v>311</v>
      </c>
    </row>
    <row r="282" spans="3:3" x14ac:dyDescent="0.3">
      <c r="C282" s="118"/>
    </row>
    <row r="283" spans="3:3" x14ac:dyDescent="0.3">
      <c r="C283" s="118" t="s">
        <v>320</v>
      </c>
    </row>
    <row r="284" spans="3:3" x14ac:dyDescent="0.3">
      <c r="C284" s="118" t="s">
        <v>313</v>
      </c>
    </row>
    <row r="285" spans="3:3" x14ac:dyDescent="0.3">
      <c r="C285" s="118"/>
    </row>
    <row r="286" spans="3:3" x14ac:dyDescent="0.3">
      <c r="C286" s="118" t="s">
        <v>295</v>
      </c>
    </row>
    <row r="287" spans="3:3" x14ac:dyDescent="0.3">
      <c r="C287" s="118" t="s">
        <v>281</v>
      </c>
    </row>
    <row r="288" spans="3:3" x14ac:dyDescent="0.3">
      <c r="C288" s="118"/>
    </row>
    <row r="289" spans="3:3" x14ac:dyDescent="0.3">
      <c r="C289" s="118" t="s">
        <v>296</v>
      </c>
    </row>
    <row r="290" spans="3:3" x14ac:dyDescent="0.3">
      <c r="C290" s="118" t="s">
        <v>284</v>
      </c>
    </row>
    <row r="291" spans="3:3" x14ac:dyDescent="0.3">
      <c r="C291" s="118"/>
    </row>
    <row r="292" spans="3:3" x14ac:dyDescent="0.3">
      <c r="C292" s="118" t="s">
        <v>297</v>
      </c>
    </row>
    <row r="293" spans="3:3" x14ac:dyDescent="0.3">
      <c r="C293" s="118" t="s">
        <v>285</v>
      </c>
    </row>
    <row r="294" spans="3:3" x14ac:dyDescent="0.3">
      <c r="C294" s="118"/>
    </row>
    <row r="295" spans="3:3" x14ac:dyDescent="0.3">
      <c r="C295" s="118" t="s">
        <v>300</v>
      </c>
    </row>
    <row r="296" spans="3:3" x14ac:dyDescent="0.3">
      <c r="C296" s="118" t="s">
        <v>288</v>
      </c>
    </row>
    <row r="297" spans="3:3" x14ac:dyDescent="0.3">
      <c r="C297" s="118"/>
    </row>
    <row r="298" spans="3:3" x14ac:dyDescent="0.3">
      <c r="C298" s="118" t="s">
        <v>298</v>
      </c>
    </row>
    <row r="299" spans="3:3" x14ac:dyDescent="0.3">
      <c r="C299" s="118" t="s">
        <v>286</v>
      </c>
    </row>
    <row r="300" spans="3:3" x14ac:dyDescent="0.3">
      <c r="C300" s="118"/>
    </row>
    <row r="301" spans="3:3" x14ac:dyDescent="0.3">
      <c r="C301" s="118" t="s">
        <v>299</v>
      </c>
    </row>
    <row r="302" spans="3:3" x14ac:dyDescent="0.3">
      <c r="C302" s="118" t="s">
        <v>287</v>
      </c>
    </row>
    <row r="303" spans="3:3" x14ac:dyDescent="0.3">
      <c r="C303" s="118"/>
    </row>
    <row r="304" spans="3:3" x14ac:dyDescent="0.3">
      <c r="C304" s="118" t="s">
        <v>301</v>
      </c>
    </row>
    <row r="305" spans="3:3" x14ac:dyDescent="0.3">
      <c r="C305" s="118" t="s">
        <v>289</v>
      </c>
    </row>
    <row r="306" spans="3:3" x14ac:dyDescent="0.3">
      <c r="C306" s="118"/>
    </row>
    <row r="307" spans="3:3" x14ac:dyDescent="0.3">
      <c r="C307" s="118" t="s">
        <v>302</v>
      </c>
    </row>
    <row r="308" spans="3:3" x14ac:dyDescent="0.3">
      <c r="C308" s="118" t="s">
        <v>290</v>
      </c>
    </row>
    <row r="309" spans="3:3" x14ac:dyDescent="0.3">
      <c r="C309" s="118"/>
    </row>
    <row r="310" spans="3:3" x14ac:dyDescent="0.3">
      <c r="C310" s="118" t="s">
        <v>303</v>
      </c>
    </row>
    <row r="311" spans="3:3" x14ac:dyDescent="0.3">
      <c r="C311" s="118" t="s">
        <v>291</v>
      </c>
    </row>
    <row r="312" spans="3:3" x14ac:dyDescent="0.3">
      <c r="C312" s="118"/>
    </row>
    <row r="313" spans="3:3" x14ac:dyDescent="0.3">
      <c r="C313" s="118" t="s">
        <v>304</v>
      </c>
    </row>
    <row r="314" spans="3:3" x14ac:dyDescent="0.3">
      <c r="C314" s="118" t="s">
        <v>292</v>
      </c>
    </row>
    <row r="315" spans="3:3" x14ac:dyDescent="0.3">
      <c r="C315" s="118"/>
    </row>
    <row r="316" spans="3:3" x14ac:dyDescent="0.3">
      <c r="C316" s="118" t="s">
        <v>305</v>
      </c>
    </row>
    <row r="317" spans="3:3" x14ac:dyDescent="0.3">
      <c r="C317" s="118" t="s">
        <v>293</v>
      </c>
    </row>
    <row r="318" spans="3:3" x14ac:dyDescent="0.3">
      <c r="C318" s="118"/>
    </row>
    <row r="319" spans="3:3" x14ac:dyDescent="0.3">
      <c r="C319" s="118" t="s">
        <v>306</v>
      </c>
    </row>
    <row r="320" spans="3:3" x14ac:dyDescent="0.3">
      <c r="C320" s="118" t="s">
        <v>294</v>
      </c>
    </row>
  </sheetData>
  <sortState ref="A420:K433">
    <sortCondition ref="C420:C433"/>
  </sortState>
  <pageMargins left="0.7" right="0.7" top="0.75" bottom="0.75" header="0.3" footer="0.3"/>
  <pageSetup paperSize="9" orientation="portrait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1"/>
  <dimension ref="A1:E136"/>
  <sheetViews>
    <sheetView topLeftCell="A28" workbookViewId="0">
      <selection activeCell="A2" sqref="A2:A3"/>
    </sheetView>
  </sheetViews>
  <sheetFormatPr defaultRowHeight="14.4" x14ac:dyDescent="0.3"/>
  <cols>
    <col min="1" max="1" width="9.88671875" customWidth="1"/>
    <col min="2" max="2" width="22" customWidth="1"/>
    <col min="3" max="3" width="18.88671875" customWidth="1"/>
    <col min="4" max="4" width="22" customWidth="1"/>
    <col min="5" max="5" width="18.88671875" customWidth="1"/>
  </cols>
  <sheetData>
    <row r="1" spans="1:5" ht="16.5" customHeight="1" thickBot="1" x14ac:dyDescent="0.4">
      <c r="A1" s="1459" t="s">
        <v>622</v>
      </c>
      <c r="B1" s="1459"/>
      <c r="C1" s="1459"/>
      <c r="D1" s="1459"/>
      <c r="E1" s="1459"/>
    </row>
    <row r="2" spans="1:5" ht="12" customHeight="1" thickBot="1" x14ac:dyDescent="0.35">
      <c r="A2" s="1460" t="s">
        <v>109</v>
      </c>
      <c r="B2" s="1462" t="s">
        <v>110</v>
      </c>
      <c r="C2" s="1463"/>
      <c r="D2" s="1462" t="s">
        <v>111</v>
      </c>
      <c r="E2" s="1463"/>
    </row>
    <row r="3" spans="1:5" ht="12" customHeight="1" thickBot="1" x14ac:dyDescent="0.35">
      <c r="A3" s="1461"/>
      <c r="B3" s="477" t="s">
        <v>112</v>
      </c>
      <c r="C3" s="477" t="s">
        <v>113</v>
      </c>
      <c r="D3" s="478" t="s">
        <v>114</v>
      </c>
      <c r="E3" s="477" t="s">
        <v>115</v>
      </c>
    </row>
    <row r="4" spans="1:5" ht="15.75" customHeight="1" thickBot="1" x14ac:dyDescent="0.35">
      <c r="A4" s="1456" t="s">
        <v>43</v>
      </c>
      <c r="B4" s="1457"/>
      <c r="C4" s="1457"/>
      <c r="D4" s="1457"/>
      <c r="E4" s="1458"/>
    </row>
    <row r="5" spans="1:5" ht="12" customHeight="1" x14ac:dyDescent="0.3">
      <c r="A5" s="1464" t="s">
        <v>116</v>
      </c>
      <c r="B5" s="461">
        <v>18.920000000000002</v>
      </c>
      <c r="C5" s="444">
        <v>15.92</v>
      </c>
      <c r="D5" s="463">
        <v>17.940000000000001</v>
      </c>
      <c r="E5" s="444">
        <v>15.92</v>
      </c>
    </row>
    <row r="6" spans="1:5" ht="12" customHeight="1" x14ac:dyDescent="0.3">
      <c r="A6" s="1465"/>
      <c r="B6" s="479" t="s">
        <v>499</v>
      </c>
      <c r="C6" s="126" t="s">
        <v>468</v>
      </c>
      <c r="D6" s="442" t="s">
        <v>499</v>
      </c>
      <c r="E6" s="126" t="s">
        <v>468</v>
      </c>
    </row>
    <row r="7" spans="1:5" ht="12" customHeight="1" thickBot="1" x14ac:dyDescent="0.35">
      <c r="A7" s="1466"/>
      <c r="B7" s="129" t="s">
        <v>543</v>
      </c>
      <c r="C7" s="120" t="s">
        <v>201</v>
      </c>
      <c r="D7" s="132" t="s">
        <v>545</v>
      </c>
      <c r="E7" s="120" t="s">
        <v>202</v>
      </c>
    </row>
    <row r="8" spans="1:5" ht="12" customHeight="1" x14ac:dyDescent="0.3">
      <c r="A8" s="1464" t="s">
        <v>117</v>
      </c>
      <c r="B8" s="438">
        <v>41.2</v>
      </c>
      <c r="C8" s="448">
        <v>36.24</v>
      </c>
      <c r="D8" s="454">
        <v>39.200000000000003</v>
      </c>
      <c r="E8" s="448">
        <v>35.56</v>
      </c>
    </row>
    <row r="9" spans="1:5" ht="12" customHeight="1" x14ac:dyDescent="0.3">
      <c r="A9" s="1465"/>
      <c r="B9" s="439" t="s">
        <v>461</v>
      </c>
      <c r="C9" s="125" t="s">
        <v>473</v>
      </c>
      <c r="D9" s="442" t="s">
        <v>466</v>
      </c>
      <c r="E9" s="125" t="s">
        <v>526</v>
      </c>
    </row>
    <row r="10" spans="1:5" ht="12" customHeight="1" thickBot="1" x14ac:dyDescent="0.35">
      <c r="A10" s="1466"/>
      <c r="B10" s="440" t="s">
        <v>203</v>
      </c>
      <c r="C10" s="123" t="s">
        <v>552</v>
      </c>
      <c r="D10" s="132" t="s">
        <v>544</v>
      </c>
      <c r="E10" s="123" t="s">
        <v>544</v>
      </c>
    </row>
    <row r="11" spans="1:5" ht="12" customHeight="1" x14ac:dyDescent="0.3">
      <c r="A11" s="1464" t="s">
        <v>118</v>
      </c>
      <c r="B11" s="441">
        <v>132.52000000000001</v>
      </c>
      <c r="C11" s="448">
        <v>121.67</v>
      </c>
      <c r="D11" s="454">
        <v>128.51</v>
      </c>
      <c r="E11" s="448">
        <v>121.33</v>
      </c>
    </row>
    <row r="12" spans="1:5" ht="12" customHeight="1" x14ac:dyDescent="0.3">
      <c r="A12" s="1465"/>
      <c r="B12" s="442" t="s">
        <v>528</v>
      </c>
      <c r="C12" s="125" t="s">
        <v>542</v>
      </c>
      <c r="D12" s="442" t="s">
        <v>466</v>
      </c>
      <c r="E12" s="125" t="s">
        <v>542</v>
      </c>
    </row>
    <row r="13" spans="1:5" ht="12" customHeight="1" thickBot="1" x14ac:dyDescent="0.35">
      <c r="A13" s="1466"/>
      <c r="B13" s="449" t="s">
        <v>204</v>
      </c>
      <c r="C13" s="132" t="s">
        <v>204</v>
      </c>
      <c r="D13" s="132" t="s">
        <v>545</v>
      </c>
      <c r="E13" s="132" t="s">
        <v>545</v>
      </c>
    </row>
    <row r="14" spans="1:5" ht="12" customHeight="1" x14ac:dyDescent="0.3">
      <c r="A14" s="1464" t="s">
        <v>119</v>
      </c>
      <c r="B14" s="467">
        <v>323.08999999999997</v>
      </c>
      <c r="C14" s="447">
        <v>305.86</v>
      </c>
      <c r="D14" s="463">
        <v>318.52</v>
      </c>
      <c r="E14" s="447">
        <v>305.45</v>
      </c>
    </row>
    <row r="15" spans="1:5" ht="12" customHeight="1" x14ac:dyDescent="0.3">
      <c r="A15" s="1465"/>
      <c r="B15" s="127" t="s">
        <v>528</v>
      </c>
      <c r="C15" s="125" t="s">
        <v>542</v>
      </c>
      <c r="D15" s="442" t="s">
        <v>540</v>
      </c>
      <c r="E15" s="125" t="s">
        <v>542</v>
      </c>
    </row>
    <row r="16" spans="1:5" ht="12" customHeight="1" thickBot="1" x14ac:dyDescent="0.35">
      <c r="A16" s="1466"/>
      <c r="B16" s="128" t="s">
        <v>205</v>
      </c>
      <c r="C16" s="123" t="s">
        <v>553</v>
      </c>
      <c r="D16" s="443" t="s">
        <v>206</v>
      </c>
      <c r="E16" s="123" t="s">
        <v>546</v>
      </c>
    </row>
    <row r="17" spans="1:5" ht="12" customHeight="1" x14ac:dyDescent="0.3">
      <c r="A17" s="1464" t="s">
        <v>120</v>
      </c>
      <c r="B17" s="467">
        <v>709.46</v>
      </c>
      <c r="C17" s="444">
        <v>644.39</v>
      </c>
      <c r="D17" s="463">
        <v>705.36</v>
      </c>
      <c r="E17" s="447">
        <v>639.77</v>
      </c>
    </row>
    <row r="18" spans="1:5" ht="12" customHeight="1" x14ac:dyDescent="0.3">
      <c r="A18" s="1465"/>
      <c r="B18" s="127" t="s">
        <v>522</v>
      </c>
      <c r="C18" s="126" t="s">
        <v>532</v>
      </c>
      <c r="D18" s="442" t="s">
        <v>540</v>
      </c>
      <c r="E18" s="125" t="s">
        <v>539</v>
      </c>
    </row>
    <row r="19" spans="1:5" ht="12" customHeight="1" thickBot="1" x14ac:dyDescent="0.35">
      <c r="A19" s="1466"/>
      <c r="B19" s="128" t="s">
        <v>207</v>
      </c>
      <c r="C19" s="120" t="s">
        <v>208</v>
      </c>
      <c r="D19" s="443" t="s">
        <v>209</v>
      </c>
      <c r="E19" s="123" t="s">
        <v>210</v>
      </c>
    </row>
    <row r="20" spans="1:5" ht="12" customHeight="1" x14ac:dyDescent="0.3">
      <c r="A20" s="1464" t="s">
        <v>121</v>
      </c>
      <c r="B20" s="466">
        <v>1357.87</v>
      </c>
      <c r="C20" s="458">
        <v>1331.73</v>
      </c>
      <c r="D20" s="459">
        <v>1337.4</v>
      </c>
      <c r="E20" s="460">
        <v>1249.71</v>
      </c>
    </row>
    <row r="21" spans="1:5" ht="12" customHeight="1" x14ac:dyDescent="0.3">
      <c r="A21" s="1465"/>
      <c r="B21" s="442" t="s">
        <v>541</v>
      </c>
      <c r="C21" s="126" t="s">
        <v>554</v>
      </c>
      <c r="D21" s="442" t="s">
        <v>540</v>
      </c>
      <c r="E21" s="125" t="s">
        <v>539</v>
      </c>
    </row>
    <row r="22" spans="1:5" ht="12" customHeight="1" thickBot="1" x14ac:dyDescent="0.35">
      <c r="A22" s="1466"/>
      <c r="B22" s="443" t="s">
        <v>211</v>
      </c>
      <c r="C22" s="120" t="s">
        <v>555</v>
      </c>
      <c r="D22" s="443" t="s">
        <v>212</v>
      </c>
      <c r="E22" s="123" t="s">
        <v>213</v>
      </c>
    </row>
    <row r="23" spans="1:5" ht="15.75" customHeight="1" thickBot="1" x14ac:dyDescent="0.35">
      <c r="A23" s="1456" t="s">
        <v>44</v>
      </c>
      <c r="B23" s="1457"/>
      <c r="C23" s="1457"/>
      <c r="D23" s="1457"/>
      <c r="E23" s="1458"/>
    </row>
    <row r="24" spans="1:5" ht="12" customHeight="1" x14ac:dyDescent="0.3">
      <c r="A24" s="1464" t="s">
        <v>117</v>
      </c>
      <c r="B24" s="438">
        <v>38.78</v>
      </c>
      <c r="C24" s="444">
        <v>34.04</v>
      </c>
      <c r="D24" s="454">
        <v>36.68</v>
      </c>
      <c r="E24" s="447">
        <v>33.19</v>
      </c>
    </row>
    <row r="25" spans="1:5" ht="12" customHeight="1" x14ac:dyDescent="0.3">
      <c r="A25" s="1465"/>
      <c r="B25" s="439" t="s">
        <v>499</v>
      </c>
      <c r="C25" s="126" t="s">
        <v>470</v>
      </c>
      <c r="D25" s="442" t="s">
        <v>499</v>
      </c>
      <c r="E25" s="125" t="s">
        <v>527</v>
      </c>
    </row>
    <row r="26" spans="1:5" ht="12" customHeight="1" thickBot="1" x14ac:dyDescent="0.35">
      <c r="A26" s="1466"/>
      <c r="B26" s="468" t="s">
        <v>538</v>
      </c>
      <c r="C26" s="469" t="s">
        <v>214</v>
      </c>
      <c r="D26" s="132" t="s">
        <v>545</v>
      </c>
      <c r="E26" s="123" t="s">
        <v>545</v>
      </c>
    </row>
    <row r="27" spans="1:5" ht="12" customHeight="1" x14ac:dyDescent="0.3">
      <c r="A27" s="1464" t="s">
        <v>119</v>
      </c>
      <c r="B27" s="467">
        <v>313.58</v>
      </c>
      <c r="C27" s="447">
        <v>254.92</v>
      </c>
      <c r="D27" s="463">
        <v>302.88</v>
      </c>
      <c r="E27" s="447">
        <v>247.22</v>
      </c>
    </row>
    <row r="28" spans="1:5" ht="12" customHeight="1" x14ac:dyDescent="0.3">
      <c r="A28" s="1465"/>
      <c r="B28" s="127" t="s">
        <v>461</v>
      </c>
      <c r="C28" s="125" t="s">
        <v>507</v>
      </c>
      <c r="D28" s="442" t="s">
        <v>461</v>
      </c>
      <c r="E28" s="125" t="s">
        <v>527</v>
      </c>
    </row>
    <row r="29" spans="1:5" ht="12" customHeight="1" thickBot="1" x14ac:dyDescent="0.35">
      <c r="A29" s="1466"/>
      <c r="B29" s="471" t="s">
        <v>215</v>
      </c>
      <c r="C29" s="470" t="s">
        <v>216</v>
      </c>
      <c r="D29" s="446" t="s">
        <v>217</v>
      </c>
      <c r="E29" s="123" t="s">
        <v>547</v>
      </c>
    </row>
    <row r="30" spans="1:5" ht="12" customHeight="1" x14ac:dyDescent="0.3">
      <c r="A30" s="1464" t="s">
        <v>120</v>
      </c>
      <c r="B30" s="457">
        <v>649.94000000000005</v>
      </c>
      <c r="C30" s="460">
        <v>617.28</v>
      </c>
      <c r="D30" s="459">
        <v>631.66999999999996</v>
      </c>
      <c r="E30" s="460">
        <v>601.66</v>
      </c>
    </row>
    <row r="31" spans="1:5" ht="12" customHeight="1" x14ac:dyDescent="0.3">
      <c r="A31" s="1465"/>
      <c r="B31" s="439" t="s">
        <v>461</v>
      </c>
      <c r="C31" s="125" t="s">
        <v>470</v>
      </c>
      <c r="D31" s="442" t="s">
        <v>459</v>
      </c>
      <c r="E31" s="125" t="s">
        <v>470</v>
      </c>
    </row>
    <row r="32" spans="1:5" ht="12" customHeight="1" thickBot="1" x14ac:dyDescent="0.35">
      <c r="A32" s="1466"/>
      <c r="B32" s="440" t="s">
        <v>218</v>
      </c>
      <c r="C32" s="123" t="s">
        <v>219</v>
      </c>
      <c r="D32" s="443" t="s">
        <v>220</v>
      </c>
      <c r="E32" s="123" t="s">
        <v>221</v>
      </c>
    </row>
    <row r="33" spans="1:5" ht="15.75" customHeight="1" thickBot="1" x14ac:dyDescent="0.35">
      <c r="A33" s="1456" t="s">
        <v>42</v>
      </c>
      <c r="B33" s="1457"/>
      <c r="C33" s="1457"/>
      <c r="D33" s="1457"/>
      <c r="E33" s="1458"/>
    </row>
    <row r="34" spans="1:5" ht="12" customHeight="1" x14ac:dyDescent="0.3">
      <c r="A34" s="1464" t="s">
        <v>122</v>
      </c>
      <c r="B34" s="438">
        <v>8.36</v>
      </c>
      <c r="C34" s="444">
        <v>7.31</v>
      </c>
      <c r="D34" s="444">
        <v>8.1</v>
      </c>
      <c r="E34" s="444">
        <v>7.14</v>
      </c>
    </row>
    <row r="35" spans="1:5" ht="12" customHeight="1" x14ac:dyDescent="0.3">
      <c r="A35" s="1465"/>
      <c r="B35" s="439" t="s">
        <v>463</v>
      </c>
      <c r="C35" s="126" t="s">
        <v>531</v>
      </c>
      <c r="D35" s="126" t="s">
        <v>459</v>
      </c>
      <c r="E35" s="126" t="s">
        <v>526</v>
      </c>
    </row>
    <row r="36" spans="1:5" ht="12" customHeight="1" thickBot="1" x14ac:dyDescent="0.35">
      <c r="A36" s="1466"/>
      <c r="B36" s="120" t="s">
        <v>558</v>
      </c>
      <c r="C36" s="120" t="s">
        <v>501</v>
      </c>
      <c r="D36" s="120" t="s">
        <v>558</v>
      </c>
      <c r="E36" s="120" t="s">
        <v>548</v>
      </c>
    </row>
    <row r="37" spans="1:5" ht="12" customHeight="1" x14ac:dyDescent="0.3">
      <c r="A37" s="1464" t="s">
        <v>116</v>
      </c>
      <c r="B37" s="441">
        <v>17.52</v>
      </c>
      <c r="C37" s="448">
        <v>15.36</v>
      </c>
      <c r="D37" s="448">
        <v>16.55</v>
      </c>
      <c r="E37" s="445">
        <v>14.92</v>
      </c>
    </row>
    <row r="38" spans="1:5" ht="12" customHeight="1" x14ac:dyDescent="0.3">
      <c r="A38" s="1465"/>
      <c r="B38" s="442" t="s">
        <v>474</v>
      </c>
      <c r="C38" s="125" t="s">
        <v>531</v>
      </c>
      <c r="D38" s="125" t="s">
        <v>499</v>
      </c>
      <c r="E38" s="126" t="s">
        <v>532</v>
      </c>
    </row>
    <row r="39" spans="1:5" ht="12" customHeight="1" thickBot="1" x14ac:dyDescent="0.35">
      <c r="A39" s="1466"/>
      <c r="B39" s="443" t="s">
        <v>560</v>
      </c>
      <c r="C39" s="123" t="s">
        <v>222</v>
      </c>
      <c r="D39" s="123" t="s">
        <v>546</v>
      </c>
      <c r="E39" s="120" t="s">
        <v>537</v>
      </c>
    </row>
    <row r="40" spans="1:5" ht="15.75" customHeight="1" thickBot="1" x14ac:dyDescent="0.35">
      <c r="A40" s="1456" t="s">
        <v>123</v>
      </c>
      <c r="B40" s="1457"/>
      <c r="C40" s="1457"/>
      <c r="D40" s="1457"/>
      <c r="E40" s="1458"/>
    </row>
    <row r="41" spans="1:5" ht="12" customHeight="1" x14ac:dyDescent="0.3">
      <c r="A41" s="1464" t="s">
        <v>116</v>
      </c>
      <c r="B41" s="441">
        <v>21.92</v>
      </c>
      <c r="C41" s="447">
        <v>20.02</v>
      </c>
      <c r="D41" s="447">
        <v>21.46</v>
      </c>
      <c r="E41" s="447">
        <v>18.77</v>
      </c>
    </row>
    <row r="42" spans="1:5" ht="12" customHeight="1" x14ac:dyDescent="0.3">
      <c r="A42" s="1465"/>
      <c r="B42" s="442" t="s">
        <v>561</v>
      </c>
      <c r="C42" s="125" t="s">
        <v>531</v>
      </c>
      <c r="D42" s="125" t="s">
        <v>462</v>
      </c>
      <c r="E42" s="125" t="s">
        <v>536</v>
      </c>
    </row>
    <row r="43" spans="1:5" ht="12" customHeight="1" thickBot="1" x14ac:dyDescent="0.35">
      <c r="A43" s="1466"/>
      <c r="B43" s="443" t="s">
        <v>562</v>
      </c>
      <c r="C43" s="123" t="s">
        <v>556</v>
      </c>
      <c r="D43" s="132" t="s">
        <v>545</v>
      </c>
      <c r="E43" s="123" t="s">
        <v>223</v>
      </c>
    </row>
    <row r="44" spans="1:5" ht="12" customHeight="1" x14ac:dyDescent="0.3">
      <c r="A44" s="1464" t="s">
        <v>117</v>
      </c>
      <c r="B44" s="441">
        <v>47.91</v>
      </c>
      <c r="C44" s="448">
        <v>43.77</v>
      </c>
      <c r="D44" s="448">
        <v>47.58</v>
      </c>
      <c r="E44" s="448">
        <v>42.7</v>
      </c>
    </row>
    <row r="45" spans="1:5" ht="12" customHeight="1" x14ac:dyDescent="0.3">
      <c r="A45" s="1465"/>
      <c r="B45" s="442" t="s">
        <v>561</v>
      </c>
      <c r="C45" s="125" t="s">
        <v>486</v>
      </c>
      <c r="D45" s="125" t="s">
        <v>462</v>
      </c>
      <c r="E45" s="125" t="s">
        <v>535</v>
      </c>
    </row>
    <row r="46" spans="1:5" ht="12" customHeight="1" thickBot="1" x14ac:dyDescent="0.35">
      <c r="A46" s="1466"/>
      <c r="B46" s="443" t="s">
        <v>563</v>
      </c>
      <c r="C46" s="123" t="s">
        <v>224</v>
      </c>
      <c r="D46" s="132" t="s">
        <v>544</v>
      </c>
      <c r="E46" s="123" t="s">
        <v>225</v>
      </c>
    </row>
    <row r="47" spans="1:5" ht="12" customHeight="1" x14ac:dyDescent="0.3">
      <c r="A47" s="1464" t="s">
        <v>118</v>
      </c>
      <c r="B47" s="441">
        <v>149.49</v>
      </c>
      <c r="C47" s="448">
        <v>138.86000000000001</v>
      </c>
      <c r="D47" s="448">
        <v>146.62</v>
      </c>
      <c r="E47" s="448">
        <v>136.33000000000001</v>
      </c>
    </row>
    <row r="48" spans="1:5" ht="12" customHeight="1" x14ac:dyDescent="0.3">
      <c r="A48" s="1465"/>
      <c r="B48" s="442" t="s">
        <v>561</v>
      </c>
      <c r="C48" s="125" t="s">
        <v>534</v>
      </c>
      <c r="D48" s="125" t="s">
        <v>487</v>
      </c>
      <c r="E48" s="125" t="s">
        <v>533</v>
      </c>
    </row>
    <row r="49" spans="1:5" ht="12" customHeight="1" thickBot="1" x14ac:dyDescent="0.35">
      <c r="A49" s="1466"/>
      <c r="B49" s="443" t="s">
        <v>564</v>
      </c>
      <c r="C49" s="123" t="s">
        <v>226</v>
      </c>
      <c r="D49" s="132" t="s">
        <v>545</v>
      </c>
      <c r="E49" s="123" t="s">
        <v>227</v>
      </c>
    </row>
    <row r="50" spans="1:5" ht="15.75" customHeight="1" thickBot="1" x14ac:dyDescent="0.35">
      <c r="A50" s="1456" t="s">
        <v>124</v>
      </c>
      <c r="B50" s="1457"/>
      <c r="C50" s="1457"/>
      <c r="D50" s="1457"/>
      <c r="E50" s="1458"/>
    </row>
    <row r="51" spans="1:5" ht="10.5" customHeight="1" x14ac:dyDescent="0.3">
      <c r="A51" s="1464" t="s">
        <v>125</v>
      </c>
      <c r="B51" s="444">
        <v>120.15</v>
      </c>
      <c r="C51" s="444">
        <v>109.24</v>
      </c>
      <c r="D51" s="453">
        <v>113.61</v>
      </c>
      <c r="E51" s="444">
        <v>106.26</v>
      </c>
    </row>
    <row r="52" spans="1:5" ht="10.5" customHeight="1" x14ac:dyDescent="0.3">
      <c r="A52" s="1465"/>
      <c r="B52" s="119" t="s">
        <v>484</v>
      </c>
      <c r="C52" s="119" t="s">
        <v>468</v>
      </c>
      <c r="D52" s="451" t="s">
        <v>459</v>
      </c>
      <c r="E52" s="464" t="s">
        <v>526</v>
      </c>
    </row>
    <row r="53" spans="1:5" ht="10.5" customHeight="1" x14ac:dyDescent="0.3">
      <c r="A53" s="1465"/>
      <c r="B53" s="119" t="s">
        <v>483</v>
      </c>
      <c r="C53" s="119" t="s">
        <v>507</v>
      </c>
      <c r="D53" s="451" t="s">
        <v>463</v>
      </c>
      <c r="E53" s="465" t="s">
        <v>485</v>
      </c>
    </row>
    <row r="54" spans="1:5" ht="10.5" customHeight="1" x14ac:dyDescent="0.3">
      <c r="A54" s="1465"/>
      <c r="B54" s="119" t="s">
        <v>464</v>
      </c>
      <c r="C54" s="119" t="s">
        <v>473</v>
      </c>
      <c r="D54" s="451" t="s">
        <v>464</v>
      </c>
      <c r="E54" s="464" t="s">
        <v>527</v>
      </c>
    </row>
    <row r="55" spans="1:5" ht="10.5" customHeight="1" x14ac:dyDescent="0.3">
      <c r="A55" s="1465"/>
      <c r="B55" s="119" t="s">
        <v>465</v>
      </c>
      <c r="C55" s="119" t="s">
        <v>531</v>
      </c>
      <c r="D55" s="451" t="s">
        <v>462</v>
      </c>
      <c r="E55" s="464" t="s">
        <v>549</v>
      </c>
    </row>
    <row r="56" spans="1:5" ht="10.5" customHeight="1" thickBot="1" x14ac:dyDescent="0.35">
      <c r="A56" s="1466"/>
      <c r="B56" s="120" t="s">
        <v>565</v>
      </c>
      <c r="C56" s="120" t="s">
        <v>530</v>
      </c>
      <c r="D56" s="440" t="s">
        <v>559</v>
      </c>
      <c r="E56" s="450" t="s">
        <v>550</v>
      </c>
    </row>
    <row r="57" spans="1:5" ht="10.5" customHeight="1" x14ac:dyDescent="0.3">
      <c r="A57" s="1464" t="s">
        <v>126</v>
      </c>
      <c r="B57" s="448">
        <v>249.04</v>
      </c>
      <c r="C57" s="448">
        <v>232.02</v>
      </c>
      <c r="D57" s="454">
        <v>237.96</v>
      </c>
      <c r="E57" s="448">
        <v>221.4</v>
      </c>
    </row>
    <row r="58" spans="1:5" ht="10.5" customHeight="1" x14ac:dyDescent="0.3">
      <c r="A58" s="1465"/>
      <c r="B58" s="122" t="s">
        <v>465</v>
      </c>
      <c r="C58" s="121" t="s">
        <v>473</v>
      </c>
      <c r="D58" s="452" t="s">
        <v>466</v>
      </c>
      <c r="E58" s="122" t="s">
        <v>507</v>
      </c>
    </row>
    <row r="59" spans="1:5" ht="10.5" customHeight="1" x14ac:dyDescent="0.3">
      <c r="A59" s="1465"/>
      <c r="B59" s="122" t="s">
        <v>463</v>
      </c>
      <c r="C59" s="122" t="s">
        <v>529</v>
      </c>
      <c r="D59" s="452" t="s">
        <v>514</v>
      </c>
      <c r="E59" s="122" t="s">
        <v>527</v>
      </c>
    </row>
    <row r="60" spans="1:5" ht="10.5" customHeight="1" x14ac:dyDescent="0.3">
      <c r="A60" s="1465"/>
      <c r="B60" s="122" t="s">
        <v>474</v>
      </c>
      <c r="C60" s="122" t="s">
        <v>477</v>
      </c>
      <c r="D60" s="452" t="s">
        <v>499</v>
      </c>
      <c r="E60" s="122" t="s">
        <v>473</v>
      </c>
    </row>
    <row r="61" spans="1:5" ht="10.5" customHeight="1" x14ac:dyDescent="0.3">
      <c r="A61" s="1465"/>
      <c r="B61" s="122" t="s">
        <v>484</v>
      </c>
      <c r="C61" s="122" t="s">
        <v>507</v>
      </c>
      <c r="D61" s="452" t="s">
        <v>459</v>
      </c>
      <c r="E61" s="122" t="s">
        <v>551</v>
      </c>
    </row>
    <row r="62" spans="1:5" ht="10.5" customHeight="1" thickBot="1" x14ac:dyDescent="0.35">
      <c r="A62" s="1466"/>
      <c r="B62" s="132" t="s">
        <v>566</v>
      </c>
      <c r="C62" s="132" t="s">
        <v>204</v>
      </c>
      <c r="D62" s="132" t="s">
        <v>546</v>
      </c>
      <c r="E62" s="132" t="s">
        <v>546</v>
      </c>
    </row>
    <row r="63" spans="1:5" ht="10.5" customHeight="1" x14ac:dyDescent="0.3">
      <c r="A63" s="1464" t="s">
        <v>127</v>
      </c>
      <c r="B63" s="447">
        <v>626.87</v>
      </c>
      <c r="C63" s="447">
        <v>554.49</v>
      </c>
      <c r="D63" s="463">
        <v>607.39</v>
      </c>
      <c r="E63" s="447">
        <v>528.86</v>
      </c>
    </row>
    <row r="64" spans="1:5" ht="10.5" customHeight="1" x14ac:dyDescent="0.3">
      <c r="A64" s="1465"/>
      <c r="B64" s="122" t="s">
        <v>463</v>
      </c>
      <c r="C64" s="121" t="s">
        <v>473</v>
      </c>
      <c r="D64" s="452" t="s">
        <v>466</v>
      </c>
      <c r="E64" s="122" t="s">
        <v>473</v>
      </c>
    </row>
    <row r="65" spans="1:5" ht="10.5" customHeight="1" x14ac:dyDescent="0.3">
      <c r="A65" s="1465"/>
      <c r="B65" s="122" t="s">
        <v>464</v>
      </c>
      <c r="C65" s="122" t="s">
        <v>478</v>
      </c>
      <c r="D65" s="452" t="s">
        <v>459</v>
      </c>
      <c r="E65" s="122" t="s">
        <v>507</v>
      </c>
    </row>
    <row r="66" spans="1:5" ht="10.5" customHeight="1" x14ac:dyDescent="0.3">
      <c r="A66" s="1465"/>
      <c r="B66" s="122" t="s">
        <v>465</v>
      </c>
      <c r="C66" s="122" t="s">
        <v>498</v>
      </c>
      <c r="D66" s="452" t="s">
        <v>514</v>
      </c>
      <c r="E66" s="122" t="s">
        <v>527</v>
      </c>
    </row>
    <row r="67" spans="1:5" ht="10.5" customHeight="1" x14ac:dyDescent="0.3">
      <c r="A67" s="1465"/>
      <c r="B67" s="122" t="s">
        <v>484</v>
      </c>
      <c r="C67" s="122" t="s">
        <v>507</v>
      </c>
      <c r="D67" s="452" t="s">
        <v>461</v>
      </c>
      <c r="E67" s="122" t="s">
        <v>526</v>
      </c>
    </row>
    <row r="68" spans="1:5" ht="10.5" customHeight="1" thickBot="1" x14ac:dyDescent="0.35">
      <c r="A68" s="1466"/>
      <c r="B68" s="123" t="s">
        <v>567</v>
      </c>
      <c r="C68" s="123" t="s">
        <v>228</v>
      </c>
      <c r="D68" s="123" t="s">
        <v>547</v>
      </c>
      <c r="E68" s="123" t="s">
        <v>547</v>
      </c>
    </row>
    <row r="69" spans="1:5" ht="16.5" customHeight="1" thickBot="1" x14ac:dyDescent="0.4">
      <c r="A69" s="1459" t="s">
        <v>525</v>
      </c>
      <c r="B69" s="1459"/>
      <c r="C69" s="1459"/>
      <c r="D69" s="1459"/>
      <c r="E69" s="1459"/>
    </row>
    <row r="70" spans="1:5" ht="12" customHeight="1" thickBot="1" x14ac:dyDescent="0.35">
      <c r="A70" s="1460" t="s">
        <v>109</v>
      </c>
      <c r="B70" s="1467" t="s">
        <v>128</v>
      </c>
      <c r="C70" s="1468"/>
      <c r="D70" s="1467" t="s">
        <v>129</v>
      </c>
      <c r="E70" s="1468"/>
    </row>
    <row r="71" spans="1:5" ht="12" customHeight="1" thickBot="1" x14ac:dyDescent="0.35">
      <c r="A71" s="1461"/>
      <c r="B71" s="124" t="s">
        <v>130</v>
      </c>
      <c r="C71" s="475" t="s">
        <v>131</v>
      </c>
      <c r="D71" s="475" t="s">
        <v>112</v>
      </c>
      <c r="E71" s="476" t="s">
        <v>113</v>
      </c>
    </row>
    <row r="72" spans="1:5" ht="15.75" customHeight="1" thickBot="1" x14ac:dyDescent="0.35">
      <c r="A72" s="1456" t="s">
        <v>43</v>
      </c>
      <c r="B72" s="1457"/>
      <c r="C72" s="1457"/>
      <c r="D72" s="1457"/>
      <c r="E72" s="1458"/>
    </row>
    <row r="73" spans="1:5" ht="12" customHeight="1" x14ac:dyDescent="0.3">
      <c r="A73" s="1464" t="s">
        <v>116</v>
      </c>
      <c r="B73" s="441">
        <v>19.850000000000001</v>
      </c>
      <c r="C73" s="444">
        <v>17.7</v>
      </c>
      <c r="D73" s="454">
        <v>19.11</v>
      </c>
      <c r="E73" s="447">
        <v>17.5</v>
      </c>
    </row>
    <row r="74" spans="1:5" ht="12" customHeight="1" x14ac:dyDescent="0.3">
      <c r="A74" s="1465"/>
      <c r="B74" s="442" t="s">
        <v>465</v>
      </c>
      <c r="C74" s="126" t="s">
        <v>497</v>
      </c>
      <c r="D74" s="442" t="s">
        <v>465</v>
      </c>
      <c r="E74" s="125" t="s">
        <v>498</v>
      </c>
    </row>
    <row r="75" spans="1:5" ht="12" customHeight="1" thickBot="1" x14ac:dyDescent="0.35">
      <c r="A75" s="1466"/>
      <c r="B75" s="443" t="s">
        <v>229</v>
      </c>
      <c r="C75" s="456" t="s">
        <v>230</v>
      </c>
      <c r="D75" s="123" t="s">
        <v>568</v>
      </c>
      <c r="E75" s="123" t="s">
        <v>231</v>
      </c>
    </row>
    <row r="76" spans="1:5" ht="12" customHeight="1" x14ac:dyDescent="0.3">
      <c r="A76" s="1464" t="s">
        <v>117</v>
      </c>
      <c r="B76" s="441">
        <v>43.88</v>
      </c>
      <c r="C76" s="445">
        <v>40.549999999999997</v>
      </c>
      <c r="D76" s="454">
        <v>41.48</v>
      </c>
      <c r="E76" s="445">
        <v>37.69</v>
      </c>
    </row>
    <row r="77" spans="1:5" ht="12" customHeight="1" x14ac:dyDescent="0.3">
      <c r="A77" s="1465"/>
      <c r="B77" s="442" t="s">
        <v>465</v>
      </c>
      <c r="C77" s="126" t="s">
        <v>497</v>
      </c>
      <c r="D77" s="442" t="s">
        <v>465</v>
      </c>
      <c r="E77" s="126" t="s">
        <v>473</v>
      </c>
    </row>
    <row r="78" spans="1:5" ht="12" customHeight="1" thickBot="1" x14ac:dyDescent="0.35">
      <c r="A78" s="1466"/>
      <c r="B78" s="443" t="s">
        <v>232</v>
      </c>
      <c r="C78" s="120" t="s">
        <v>233</v>
      </c>
      <c r="D78" s="123" t="s">
        <v>569</v>
      </c>
      <c r="E78" s="120" t="s">
        <v>524</v>
      </c>
    </row>
    <row r="79" spans="1:5" ht="12" customHeight="1" x14ac:dyDescent="0.3">
      <c r="A79" s="1464" t="s">
        <v>118</v>
      </c>
      <c r="B79" s="441">
        <v>139.87</v>
      </c>
      <c r="C79" s="445">
        <v>133.16999999999999</v>
      </c>
      <c r="D79" s="453">
        <v>137.02000000000001</v>
      </c>
      <c r="E79" s="448">
        <v>125.51</v>
      </c>
    </row>
    <row r="80" spans="1:5" ht="12" customHeight="1" x14ac:dyDescent="0.3">
      <c r="A80" s="1465"/>
      <c r="B80" s="442" t="s">
        <v>466</v>
      </c>
      <c r="C80" s="126" t="s">
        <v>473</v>
      </c>
      <c r="D80" s="439" t="s">
        <v>466</v>
      </c>
      <c r="E80" s="125" t="s">
        <v>473</v>
      </c>
    </row>
    <row r="81" spans="1:5" ht="12" customHeight="1" thickBot="1" x14ac:dyDescent="0.35">
      <c r="A81" s="1466"/>
      <c r="B81" s="443" t="s">
        <v>234</v>
      </c>
      <c r="C81" s="120" t="s">
        <v>235</v>
      </c>
      <c r="D81" s="440" t="s">
        <v>523</v>
      </c>
      <c r="E81" s="123" t="s">
        <v>236</v>
      </c>
    </row>
    <row r="82" spans="1:5" ht="12" customHeight="1" x14ac:dyDescent="0.3">
      <c r="A82" s="1464" t="s">
        <v>119</v>
      </c>
      <c r="B82" s="441">
        <v>339.29</v>
      </c>
      <c r="C82" s="445">
        <v>327.27</v>
      </c>
      <c r="D82" s="453">
        <v>331.09</v>
      </c>
      <c r="E82" s="448">
        <v>310.17</v>
      </c>
    </row>
    <row r="83" spans="1:5" ht="12" customHeight="1" x14ac:dyDescent="0.3">
      <c r="A83" s="1465"/>
      <c r="B83" s="442" t="s">
        <v>466</v>
      </c>
      <c r="C83" s="126" t="s">
        <v>473</v>
      </c>
      <c r="D83" s="439" t="s">
        <v>522</v>
      </c>
      <c r="E83" s="125" t="s">
        <v>470</v>
      </c>
    </row>
    <row r="84" spans="1:5" ht="12" customHeight="1" thickBot="1" x14ac:dyDescent="0.35">
      <c r="A84" s="1466"/>
      <c r="B84" s="443" t="s">
        <v>521</v>
      </c>
      <c r="C84" s="120" t="s">
        <v>520</v>
      </c>
      <c r="D84" s="455" t="s">
        <v>519</v>
      </c>
      <c r="E84" s="123" t="s">
        <v>518</v>
      </c>
    </row>
    <row r="85" spans="1:5" ht="12" customHeight="1" x14ac:dyDescent="0.3">
      <c r="A85" s="1464" t="s">
        <v>120</v>
      </c>
      <c r="B85" s="438">
        <v>746.47</v>
      </c>
      <c r="C85" s="445">
        <v>723.47</v>
      </c>
      <c r="D85" s="454">
        <v>715.49</v>
      </c>
      <c r="E85" s="445">
        <v>649.41999999999996</v>
      </c>
    </row>
    <row r="86" spans="1:5" ht="12" customHeight="1" x14ac:dyDescent="0.3">
      <c r="A86" s="1465"/>
      <c r="B86" s="439" t="s">
        <v>514</v>
      </c>
      <c r="C86" s="126" t="s">
        <v>470</v>
      </c>
      <c r="D86" s="442" t="s">
        <v>514</v>
      </c>
      <c r="E86" s="126" t="s">
        <v>470</v>
      </c>
    </row>
    <row r="87" spans="1:5" ht="12" customHeight="1" thickBot="1" x14ac:dyDescent="0.35">
      <c r="A87" s="1466"/>
      <c r="B87" s="440" t="s">
        <v>517</v>
      </c>
      <c r="C87" s="120" t="s">
        <v>516</v>
      </c>
      <c r="D87" s="443" t="s">
        <v>237</v>
      </c>
      <c r="E87" s="120" t="s">
        <v>515</v>
      </c>
    </row>
    <row r="88" spans="1:5" ht="12" customHeight="1" x14ac:dyDescent="0.3">
      <c r="A88" s="1464" t="s">
        <v>121</v>
      </c>
      <c r="B88" s="438">
        <v>1506.32</v>
      </c>
      <c r="C88" s="445">
        <v>1433.92</v>
      </c>
      <c r="D88" s="454">
        <v>1407.7</v>
      </c>
      <c r="E88" s="445">
        <v>1351.37</v>
      </c>
    </row>
    <row r="89" spans="1:5" ht="12" customHeight="1" x14ac:dyDescent="0.3">
      <c r="A89" s="1465"/>
      <c r="B89" s="439" t="s">
        <v>514</v>
      </c>
      <c r="C89" s="126" t="s">
        <v>470</v>
      </c>
      <c r="D89" s="442" t="s">
        <v>514</v>
      </c>
      <c r="E89" s="126" t="s">
        <v>513</v>
      </c>
    </row>
    <row r="90" spans="1:5" ht="12" customHeight="1" thickBot="1" x14ac:dyDescent="0.35">
      <c r="A90" s="1466"/>
      <c r="B90" s="440" t="s">
        <v>512</v>
      </c>
      <c r="C90" s="120" t="s">
        <v>511</v>
      </c>
      <c r="D90" s="443" t="s">
        <v>238</v>
      </c>
      <c r="E90" s="120" t="s">
        <v>510</v>
      </c>
    </row>
    <row r="91" spans="1:5" ht="15.75" customHeight="1" thickBot="1" x14ac:dyDescent="0.35">
      <c r="A91" s="1456" t="s">
        <v>44</v>
      </c>
      <c r="B91" s="1457"/>
      <c r="C91" s="1457"/>
      <c r="D91" s="1457"/>
      <c r="E91" s="1458"/>
    </row>
    <row r="92" spans="1:5" ht="12" customHeight="1" x14ac:dyDescent="0.3">
      <c r="A92" s="1464" t="s">
        <v>117</v>
      </c>
      <c r="B92" s="441">
        <v>41.41</v>
      </c>
      <c r="C92" s="444">
        <v>39.1</v>
      </c>
      <c r="D92" s="454">
        <v>40.01</v>
      </c>
      <c r="E92" s="447">
        <v>36.479999999999997</v>
      </c>
    </row>
    <row r="93" spans="1:5" ht="12" customHeight="1" x14ac:dyDescent="0.3">
      <c r="A93" s="1465"/>
      <c r="B93" s="442" t="s">
        <v>502</v>
      </c>
      <c r="C93" s="126" t="s">
        <v>478</v>
      </c>
      <c r="D93" s="442" t="s">
        <v>502</v>
      </c>
      <c r="E93" s="125" t="s">
        <v>557</v>
      </c>
    </row>
    <row r="94" spans="1:5" ht="12" customHeight="1" thickBot="1" x14ac:dyDescent="0.35">
      <c r="A94" s="1466"/>
      <c r="B94" s="449" t="s">
        <v>239</v>
      </c>
      <c r="C94" s="456" t="s">
        <v>506</v>
      </c>
      <c r="D94" s="123" t="s">
        <v>568</v>
      </c>
      <c r="E94" s="123" t="s">
        <v>568</v>
      </c>
    </row>
    <row r="95" spans="1:5" ht="12" customHeight="1" x14ac:dyDescent="0.3">
      <c r="A95" s="1464" t="s">
        <v>119</v>
      </c>
      <c r="B95" s="441">
        <v>339.88</v>
      </c>
      <c r="C95" s="445">
        <v>338.06</v>
      </c>
      <c r="D95" s="454">
        <v>323.57</v>
      </c>
      <c r="E95" s="448">
        <v>304.49</v>
      </c>
    </row>
    <row r="96" spans="1:5" ht="12" customHeight="1" x14ac:dyDescent="0.3">
      <c r="A96" s="1465"/>
      <c r="B96" s="442" t="s">
        <v>509</v>
      </c>
      <c r="C96" s="126" t="s">
        <v>507</v>
      </c>
      <c r="D96" s="442" t="s">
        <v>502</v>
      </c>
      <c r="E96" s="125" t="s">
        <v>507</v>
      </c>
    </row>
    <row r="97" spans="1:5" ht="12" customHeight="1" thickBot="1" x14ac:dyDescent="0.35">
      <c r="A97" s="1466"/>
      <c r="B97" s="443" t="s">
        <v>228</v>
      </c>
      <c r="C97" s="120" t="s">
        <v>240</v>
      </c>
      <c r="D97" s="123" t="s">
        <v>567</v>
      </c>
      <c r="E97" s="123" t="s">
        <v>241</v>
      </c>
    </row>
    <row r="98" spans="1:5" ht="12" customHeight="1" x14ac:dyDescent="0.3">
      <c r="A98" s="1464" t="s">
        <v>120</v>
      </c>
      <c r="B98" s="438">
        <v>746.47</v>
      </c>
      <c r="C98" s="445">
        <v>738.1</v>
      </c>
      <c r="D98" s="453">
        <v>733.18</v>
      </c>
      <c r="E98" s="445">
        <v>640.4</v>
      </c>
    </row>
    <row r="99" spans="1:5" ht="12" customHeight="1" x14ac:dyDescent="0.3">
      <c r="A99" s="1465"/>
      <c r="B99" s="439" t="s">
        <v>514</v>
      </c>
      <c r="C99" s="126" t="s">
        <v>470</v>
      </c>
      <c r="D99" s="439" t="s">
        <v>508</v>
      </c>
      <c r="E99" s="126" t="s">
        <v>507</v>
      </c>
    </row>
    <row r="100" spans="1:5" ht="12" customHeight="1" thickBot="1" x14ac:dyDescent="0.35">
      <c r="A100" s="1466"/>
      <c r="B100" s="440" t="s">
        <v>571</v>
      </c>
      <c r="C100" s="120" t="s">
        <v>505</v>
      </c>
      <c r="D100" s="440" t="s">
        <v>504</v>
      </c>
      <c r="E100" s="120" t="s">
        <v>503</v>
      </c>
    </row>
    <row r="101" spans="1:5" ht="15.75" customHeight="1" thickBot="1" x14ac:dyDescent="0.35">
      <c r="A101" s="1456" t="s">
        <v>42</v>
      </c>
      <c r="B101" s="1457"/>
      <c r="C101" s="1457"/>
      <c r="D101" s="1457"/>
      <c r="E101" s="1458"/>
    </row>
    <row r="102" spans="1:5" ht="12" customHeight="1" x14ac:dyDescent="0.3">
      <c r="A102" s="1464" t="s">
        <v>122</v>
      </c>
      <c r="B102" s="438">
        <v>8.81</v>
      </c>
      <c r="C102" s="444">
        <v>8.11</v>
      </c>
      <c r="D102" s="444">
        <v>8.81</v>
      </c>
      <c r="E102" s="444">
        <v>7.7</v>
      </c>
    </row>
    <row r="103" spans="1:5" ht="12" customHeight="1" x14ac:dyDescent="0.3">
      <c r="A103" s="1465"/>
      <c r="B103" s="439" t="s">
        <v>502</v>
      </c>
      <c r="C103" s="126" t="s">
        <v>498</v>
      </c>
      <c r="D103" s="126" t="s">
        <v>502</v>
      </c>
      <c r="E103" s="126" t="s">
        <v>473</v>
      </c>
    </row>
    <row r="104" spans="1:5" ht="12" customHeight="1" thickBot="1" x14ac:dyDescent="0.35">
      <c r="A104" s="1466"/>
      <c r="B104" s="440" t="s">
        <v>501</v>
      </c>
      <c r="C104" s="120" t="s">
        <v>501</v>
      </c>
      <c r="D104" s="120" t="s">
        <v>501</v>
      </c>
      <c r="E104" s="120" t="s">
        <v>500</v>
      </c>
    </row>
    <row r="105" spans="1:5" ht="12" customHeight="1" x14ac:dyDescent="0.3">
      <c r="A105" s="1464" t="s">
        <v>116</v>
      </c>
      <c r="B105" s="438">
        <v>18.190000000000001</v>
      </c>
      <c r="C105" s="445">
        <v>16.649999999999999</v>
      </c>
      <c r="D105" s="445">
        <v>17.59</v>
      </c>
      <c r="E105" s="448">
        <v>15.71</v>
      </c>
    </row>
    <row r="106" spans="1:5" ht="12" customHeight="1" x14ac:dyDescent="0.3">
      <c r="A106" s="1465"/>
      <c r="B106" s="474" t="s">
        <v>572</v>
      </c>
      <c r="C106" s="126" t="s">
        <v>498</v>
      </c>
      <c r="D106" s="472" t="s">
        <v>502</v>
      </c>
      <c r="E106" s="125" t="s">
        <v>497</v>
      </c>
    </row>
    <row r="107" spans="1:5" ht="12" customHeight="1" thickBot="1" x14ac:dyDescent="0.35">
      <c r="A107" s="1466"/>
      <c r="B107" s="440" t="s">
        <v>570</v>
      </c>
      <c r="C107" s="120" t="s">
        <v>496</v>
      </c>
      <c r="D107" s="473" t="s">
        <v>570</v>
      </c>
      <c r="E107" s="123" t="s">
        <v>204</v>
      </c>
    </row>
    <row r="108" spans="1:5" ht="15.75" customHeight="1" thickBot="1" x14ac:dyDescent="0.35">
      <c r="A108" s="1456" t="s">
        <v>123</v>
      </c>
      <c r="B108" s="1457"/>
      <c r="C108" s="1457"/>
      <c r="D108" s="1457"/>
      <c r="E108" s="1458"/>
    </row>
    <row r="109" spans="1:5" ht="12" customHeight="1" x14ac:dyDescent="0.3">
      <c r="A109" s="1464" t="s">
        <v>116</v>
      </c>
      <c r="B109" s="438">
        <v>23.8</v>
      </c>
      <c r="C109" s="444">
        <v>22</v>
      </c>
      <c r="D109" s="444">
        <v>23</v>
      </c>
      <c r="E109" s="444">
        <v>20.79</v>
      </c>
    </row>
    <row r="110" spans="1:5" ht="12" customHeight="1" x14ac:dyDescent="0.3">
      <c r="A110" s="1465"/>
      <c r="B110" s="439" t="s">
        <v>573</v>
      </c>
      <c r="C110" s="126" t="s">
        <v>488</v>
      </c>
      <c r="D110" s="126" t="s">
        <v>495</v>
      </c>
      <c r="E110" s="126" t="s">
        <v>468</v>
      </c>
    </row>
    <row r="111" spans="1:5" ht="12" customHeight="1" thickBot="1" x14ac:dyDescent="0.35">
      <c r="A111" s="1466"/>
      <c r="B111" s="440" t="s">
        <v>574</v>
      </c>
      <c r="C111" s="120" t="s">
        <v>494</v>
      </c>
      <c r="D111" s="120" t="s">
        <v>490</v>
      </c>
      <c r="E111" s="120" t="s">
        <v>493</v>
      </c>
    </row>
    <row r="112" spans="1:5" ht="12" customHeight="1" x14ac:dyDescent="0.3">
      <c r="A112" s="1464" t="s">
        <v>117</v>
      </c>
      <c r="B112" s="438">
        <v>53.01</v>
      </c>
      <c r="C112" s="445">
        <v>48.95</v>
      </c>
      <c r="D112" s="445">
        <v>50.68</v>
      </c>
      <c r="E112" s="445">
        <v>45.9</v>
      </c>
    </row>
    <row r="113" spans="1:5" ht="12" customHeight="1" x14ac:dyDescent="0.3">
      <c r="A113" s="1465"/>
      <c r="B113" s="439" t="s">
        <v>492</v>
      </c>
      <c r="C113" s="126" t="s">
        <v>488</v>
      </c>
      <c r="D113" s="126" t="s">
        <v>489</v>
      </c>
      <c r="E113" s="126" t="s">
        <v>486</v>
      </c>
    </row>
    <row r="114" spans="1:5" ht="12" customHeight="1" thickBot="1" x14ac:dyDescent="0.35">
      <c r="A114" s="1466"/>
      <c r="B114" s="440" t="s">
        <v>491</v>
      </c>
      <c r="C114" s="120" t="s">
        <v>243</v>
      </c>
      <c r="D114" s="120" t="s">
        <v>244</v>
      </c>
      <c r="E114" s="120" t="s">
        <v>490</v>
      </c>
    </row>
    <row r="115" spans="1:5" ht="12" customHeight="1" x14ac:dyDescent="0.3">
      <c r="A115" s="1464" t="s">
        <v>118</v>
      </c>
      <c r="B115" s="441">
        <v>158.33000000000001</v>
      </c>
      <c r="C115" s="445">
        <v>149.38999999999999</v>
      </c>
      <c r="D115" s="448">
        <v>154.19</v>
      </c>
      <c r="E115" s="448">
        <v>144.66999999999999</v>
      </c>
    </row>
    <row r="116" spans="1:5" ht="12" customHeight="1" x14ac:dyDescent="0.3">
      <c r="A116" s="1465"/>
      <c r="B116" s="442" t="s">
        <v>575</v>
      </c>
      <c r="C116" s="126" t="s">
        <v>488</v>
      </c>
      <c r="D116" s="125" t="s">
        <v>487</v>
      </c>
      <c r="E116" s="125" t="s">
        <v>486</v>
      </c>
    </row>
    <row r="117" spans="1:5" ht="12" customHeight="1" thickBot="1" x14ac:dyDescent="0.35">
      <c r="A117" s="1466"/>
      <c r="B117" s="443" t="s">
        <v>576</v>
      </c>
      <c r="C117" s="120" t="s">
        <v>245</v>
      </c>
      <c r="D117" s="123" t="s">
        <v>246</v>
      </c>
      <c r="E117" s="123" t="s">
        <v>242</v>
      </c>
    </row>
    <row r="118" spans="1:5" ht="15.75" customHeight="1" thickBot="1" x14ac:dyDescent="0.35">
      <c r="A118" s="1456" t="s">
        <v>124</v>
      </c>
      <c r="B118" s="1457"/>
      <c r="C118" s="1457"/>
      <c r="D118" s="1457"/>
      <c r="E118" s="1458"/>
    </row>
    <row r="119" spans="1:5" ht="10.5" customHeight="1" x14ac:dyDescent="0.3">
      <c r="A119" s="1464" t="s">
        <v>125</v>
      </c>
      <c r="B119" s="461">
        <v>125.14</v>
      </c>
      <c r="C119" s="444">
        <v>129.03</v>
      </c>
      <c r="D119" s="462">
        <v>124.17</v>
      </c>
      <c r="E119" s="444">
        <v>112.19</v>
      </c>
    </row>
    <row r="120" spans="1:5" ht="10.5" customHeight="1" x14ac:dyDescent="0.3">
      <c r="A120" s="1465"/>
      <c r="B120" s="130" t="s">
        <v>572</v>
      </c>
      <c r="C120" s="119" t="s">
        <v>485</v>
      </c>
      <c r="D120" s="451" t="s">
        <v>465</v>
      </c>
      <c r="E120" s="119" t="s">
        <v>471</v>
      </c>
    </row>
    <row r="121" spans="1:5" ht="10.5" customHeight="1" x14ac:dyDescent="0.3">
      <c r="A121" s="1465"/>
      <c r="B121" s="130" t="s">
        <v>577</v>
      </c>
      <c r="C121" s="119" t="s">
        <v>475</v>
      </c>
      <c r="D121" s="451" t="s">
        <v>464</v>
      </c>
      <c r="E121" s="119" t="s">
        <v>593</v>
      </c>
    </row>
    <row r="122" spans="1:5" ht="10.5" customHeight="1" x14ac:dyDescent="0.3">
      <c r="A122" s="1465"/>
      <c r="B122" s="130" t="s">
        <v>573</v>
      </c>
      <c r="C122" s="119" t="s">
        <v>591</v>
      </c>
      <c r="D122" s="451" t="s">
        <v>484</v>
      </c>
      <c r="E122" s="119" t="s">
        <v>476</v>
      </c>
    </row>
    <row r="123" spans="1:5" ht="10.5" customHeight="1" x14ac:dyDescent="0.3">
      <c r="A123" s="1465"/>
      <c r="B123" s="130" t="s">
        <v>578</v>
      </c>
      <c r="C123" s="119" t="s">
        <v>470</v>
      </c>
      <c r="D123" s="451" t="s">
        <v>483</v>
      </c>
      <c r="E123" s="119" t="s">
        <v>468</v>
      </c>
    </row>
    <row r="124" spans="1:5" ht="10.5" customHeight="1" thickBot="1" x14ac:dyDescent="0.35">
      <c r="A124" s="1466"/>
      <c r="B124" s="129" t="s">
        <v>565</v>
      </c>
      <c r="C124" s="120" t="s">
        <v>482</v>
      </c>
      <c r="D124" s="440" t="s">
        <v>481</v>
      </c>
      <c r="E124" s="120" t="s">
        <v>480</v>
      </c>
    </row>
    <row r="125" spans="1:5" ht="10.5" customHeight="1" x14ac:dyDescent="0.3">
      <c r="A125" s="1464" t="s">
        <v>126</v>
      </c>
      <c r="B125" s="466">
        <v>308.02999999999997</v>
      </c>
      <c r="C125" s="458">
        <v>315.31</v>
      </c>
      <c r="D125" s="459">
        <v>259.7</v>
      </c>
      <c r="E125" s="460">
        <v>245.79</v>
      </c>
    </row>
    <row r="126" spans="1:5" ht="10.5" customHeight="1" x14ac:dyDescent="0.3">
      <c r="A126" s="1465"/>
      <c r="B126" s="452" t="s">
        <v>573</v>
      </c>
      <c r="C126" s="119" t="s">
        <v>586</v>
      </c>
      <c r="D126" s="452" t="s">
        <v>474</v>
      </c>
      <c r="E126" s="122" t="s">
        <v>488</v>
      </c>
    </row>
    <row r="127" spans="1:5" ht="10.5" customHeight="1" x14ac:dyDescent="0.3">
      <c r="A127" s="1465"/>
      <c r="B127" s="452" t="s">
        <v>579</v>
      </c>
      <c r="C127" s="119" t="s">
        <v>587</v>
      </c>
      <c r="D127" s="452" t="s">
        <v>479</v>
      </c>
      <c r="E127" s="122" t="s">
        <v>554</v>
      </c>
    </row>
    <row r="128" spans="1:5" ht="10.5" customHeight="1" x14ac:dyDescent="0.3">
      <c r="A128" s="1465"/>
      <c r="B128" s="452" t="s">
        <v>580</v>
      </c>
      <c r="C128" s="119" t="s">
        <v>588</v>
      </c>
      <c r="D128" s="452" t="s">
        <v>469</v>
      </c>
      <c r="E128" s="122" t="s">
        <v>478</v>
      </c>
    </row>
    <row r="129" spans="1:5" ht="10.5" customHeight="1" x14ac:dyDescent="0.3">
      <c r="A129" s="1465"/>
      <c r="B129" s="452" t="s">
        <v>581</v>
      </c>
      <c r="C129" s="119" t="s">
        <v>470</v>
      </c>
      <c r="D129" s="452" t="s">
        <v>465</v>
      </c>
      <c r="E129" s="122" t="s">
        <v>592</v>
      </c>
    </row>
    <row r="130" spans="1:5" ht="10.5" customHeight="1" thickBot="1" x14ac:dyDescent="0.35">
      <c r="A130" s="1466"/>
      <c r="B130" s="449" t="s">
        <v>582</v>
      </c>
      <c r="C130" s="456" t="s">
        <v>247</v>
      </c>
      <c r="D130" s="449" t="s">
        <v>248</v>
      </c>
      <c r="E130" s="132" t="s">
        <v>248</v>
      </c>
    </row>
    <row r="131" spans="1:5" ht="10.5" customHeight="1" x14ac:dyDescent="0.3">
      <c r="A131" s="1464" t="s">
        <v>127</v>
      </c>
      <c r="B131" s="467">
        <v>709.13</v>
      </c>
      <c r="C131" s="444">
        <v>723.45</v>
      </c>
      <c r="D131" s="463">
        <v>651.66</v>
      </c>
      <c r="E131" s="444">
        <v>630</v>
      </c>
    </row>
    <row r="132" spans="1:5" ht="10.5" customHeight="1" x14ac:dyDescent="0.3">
      <c r="A132" s="1465"/>
      <c r="B132" s="131" t="s">
        <v>579</v>
      </c>
      <c r="C132" s="119" t="s">
        <v>589</v>
      </c>
      <c r="D132" s="452" t="s">
        <v>465</v>
      </c>
      <c r="E132" s="119" t="s">
        <v>476</v>
      </c>
    </row>
    <row r="133" spans="1:5" ht="10.5" customHeight="1" x14ac:dyDescent="0.3">
      <c r="A133" s="1465"/>
      <c r="B133" s="131" t="s">
        <v>583</v>
      </c>
      <c r="C133" s="119" t="s">
        <v>475</v>
      </c>
      <c r="D133" s="452" t="s">
        <v>474</v>
      </c>
      <c r="E133" s="119" t="s">
        <v>473</v>
      </c>
    </row>
    <row r="134" spans="1:5" ht="10.5" customHeight="1" x14ac:dyDescent="0.3">
      <c r="A134" s="1465"/>
      <c r="B134" s="131" t="s">
        <v>580</v>
      </c>
      <c r="C134" s="119" t="s">
        <v>590</v>
      </c>
      <c r="D134" s="452" t="s">
        <v>472</v>
      </c>
      <c r="E134" s="119" t="s">
        <v>471</v>
      </c>
    </row>
    <row r="135" spans="1:5" ht="10.5" customHeight="1" x14ac:dyDescent="0.3">
      <c r="A135" s="1465"/>
      <c r="B135" s="131" t="s">
        <v>584</v>
      </c>
      <c r="C135" s="119" t="s">
        <v>470</v>
      </c>
      <c r="D135" s="452" t="s">
        <v>469</v>
      </c>
      <c r="E135" s="119" t="s">
        <v>468</v>
      </c>
    </row>
    <row r="136" spans="1:5" ht="10.5" customHeight="1" thickBot="1" x14ac:dyDescent="0.35">
      <c r="A136" s="1466"/>
      <c r="B136" s="128" t="s">
        <v>585</v>
      </c>
      <c r="C136" s="120" t="s">
        <v>467</v>
      </c>
      <c r="D136" s="443" t="s">
        <v>239</v>
      </c>
      <c r="E136" s="120" t="s">
        <v>249</v>
      </c>
    </row>
  </sheetData>
  <mergeCells count="52">
    <mergeCell ref="A118:E118"/>
    <mergeCell ref="A119:A124"/>
    <mergeCell ref="A125:A130"/>
    <mergeCell ref="A131:A136"/>
    <mergeCell ref="A102:A104"/>
    <mergeCell ref="A105:A107"/>
    <mergeCell ref="A108:E108"/>
    <mergeCell ref="A109:A111"/>
    <mergeCell ref="A112:A114"/>
    <mergeCell ref="A115:A117"/>
    <mergeCell ref="A101:E101"/>
    <mergeCell ref="A72:E72"/>
    <mergeCell ref="A73:A75"/>
    <mergeCell ref="A76:A78"/>
    <mergeCell ref="A79:A81"/>
    <mergeCell ref="A82:A84"/>
    <mergeCell ref="A85:A87"/>
    <mergeCell ref="A88:A90"/>
    <mergeCell ref="A91:E91"/>
    <mergeCell ref="A92:A94"/>
    <mergeCell ref="A95:A97"/>
    <mergeCell ref="A98:A100"/>
    <mergeCell ref="A57:A62"/>
    <mergeCell ref="A63:A68"/>
    <mergeCell ref="A69:E69"/>
    <mergeCell ref="A70:A71"/>
    <mergeCell ref="B70:C70"/>
    <mergeCell ref="D70:E70"/>
    <mergeCell ref="A51:A56"/>
    <mergeCell ref="A24:A26"/>
    <mergeCell ref="A27:A29"/>
    <mergeCell ref="A30:A32"/>
    <mergeCell ref="A33:E33"/>
    <mergeCell ref="A34:A36"/>
    <mergeCell ref="A37:A39"/>
    <mergeCell ref="A40:E40"/>
    <mergeCell ref="A41:A43"/>
    <mergeCell ref="A44:A46"/>
    <mergeCell ref="A50:E50"/>
    <mergeCell ref="A47:A49"/>
    <mergeCell ref="A23:E23"/>
    <mergeCell ref="A1:E1"/>
    <mergeCell ref="A2:A3"/>
    <mergeCell ref="B2:C2"/>
    <mergeCell ref="D2:E2"/>
    <mergeCell ref="A4:E4"/>
    <mergeCell ref="A5:A7"/>
    <mergeCell ref="A8:A10"/>
    <mergeCell ref="A11:A13"/>
    <mergeCell ref="A14:A16"/>
    <mergeCell ref="A17:A19"/>
    <mergeCell ref="A20:A22"/>
  </mergeCells>
  <conditionalFormatting sqref="B73">
    <cfRule type="expression" dxfId="7" priority="5">
      <formula>IF(NOT(ISBLANK(B73)),IF(ISNUMBER(B73),IF(INT(B73/10000)&gt;23,TRUE,IF(INT(MOD(B73,10000)/100)&gt;59.99,TRUE,IF(MOD(B73,100)&gt;59.99,TRUE,FALSE))),TRUE))</formula>
    </cfRule>
  </conditionalFormatting>
  <conditionalFormatting sqref="B76 B79 B82 B92 B95 D105:E105 E95 D92:E92 D88 D85 E82 E79 D76 E73 D115:E115 D125:E125 D131 B63:E63 B57:E57 B44:E44 B47:C47 C41 E47 E41 B37:D37 B27:E27 C30:E30 D24:E24 D20:E20 D17:E17 B17 B20 B14 B11:E11 D14:E14 D8:E8 D5">
    <cfRule type="expression" dxfId="6" priority="4">
      <formula>IF(NOT(ISBLANK(B5)),IF(ISNUMBER(B5),IF(INT(B5/10000)&gt;23,TRUE,IF(INT(MOD(B5,10000)/100)&gt;59.99,TRUE,IF(MOD(B5,100)&gt;59.99,TRUE,FALSE))),TRUE))</formula>
    </cfRule>
  </conditionalFormatting>
  <conditionalFormatting sqref="E131">
    <cfRule type="expression" dxfId="5" priority="3">
      <formula>IF(NOT(ISBLANK(E131)),IF(ISNUMBER(E131),IF(INT(E131/10000)&gt;23,TRUE,IF(INT(MOD(E131,10000)/100)&gt;59.99,TRUE,IF(MOD(E131,100)&gt;59.99,TRUE,FALSE))),TRUE))</formula>
    </cfRule>
  </conditionalFormatting>
  <conditionalFormatting sqref="B131:C131 B125:C125 B119:E119 B112:E112 B115:C115 B109:E109 B102:E102 B105:C105 B98:E98 C95:D95 C92 E85 E88 B88:C88 B85:C85 C82:D82 C79:D79 C76 C73:D73 E76 B51:E51 D47 D41 B41 B34:E34 E37 B30 B24:C24 C20 C17 B8:C8 E5 B5:C5">
    <cfRule type="expression" dxfId="4" priority="2">
      <formula>IF(NOT(ISBLANK(B5)),IF(ISNUMBER(B5),IF(INT(B5/10000)&gt;23,TRUE,IF(INT(MOD(B5,10000)/100)&gt;59.99,TRUE,IF(MOD(B5,100)&gt;59.99,TRUE,FALSE))),TRUE))</formula>
    </cfRule>
  </conditionalFormatting>
  <conditionalFormatting sqref="C14">
    <cfRule type="expression" dxfId="3" priority="1">
      <formula>IF(NOT(ISBLANK(C14)),IF(ISNUMBER(C14),IF(INT(C14/10000)&gt;23,TRUE,IF(INT(MOD(C14,10000)/100)&gt;59.99,TRUE,IF(MOD(C14,100)&gt;59.99,TRUE,FALSE))),TRUE))</formula>
    </cfRule>
  </conditionalFormatting>
  <pageMargins left="0.52" right="0.32" top="0.32" bottom="0.37" header="0.3" footer="0.3"/>
  <pageSetup paperSize="9" orientation="portrait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5">
    <tabColor theme="9" tint="-0.249977111117893"/>
  </sheetPr>
  <dimension ref="A1:K526"/>
  <sheetViews>
    <sheetView topLeftCell="A457" zoomScale="96" zoomScaleNormal="96" workbookViewId="0">
      <selection activeCell="A426" sqref="A426"/>
    </sheetView>
  </sheetViews>
  <sheetFormatPr defaultColWidth="9.109375" defaultRowHeight="21" customHeight="1" x14ac:dyDescent="0.3"/>
  <cols>
    <col min="1" max="1" width="3" style="775" bestFit="1" customWidth="1"/>
    <col min="2" max="2" width="7.88671875" style="143" customWidth="1"/>
    <col min="3" max="3" width="34.109375" style="143" customWidth="1"/>
    <col min="4" max="4" width="3.88671875" style="556" customWidth="1"/>
    <col min="5" max="5" width="7.6640625" style="557" customWidth="1"/>
    <col min="6" max="6" width="14.88671875" style="145" customWidth="1"/>
    <col min="7" max="7" width="4.88671875" style="146" customWidth="1"/>
    <col min="8" max="8" width="2.88671875" style="774" customWidth="1"/>
    <col min="9" max="9" width="13.88671875" style="147" customWidth="1"/>
    <col min="10" max="10" width="6.88671875" style="148" customWidth="1"/>
    <col min="11" max="11" width="7.5546875" style="558" customWidth="1"/>
    <col min="12" max="22" width="1.33203125" style="143" customWidth="1"/>
    <col min="23" max="23" width="12.33203125" style="143" bestFit="1" customWidth="1"/>
    <col min="24" max="24" width="15.88671875" style="143" customWidth="1"/>
    <col min="25" max="16384" width="9.109375" style="143"/>
  </cols>
  <sheetData>
    <row r="1" spans="1:10" ht="21" customHeight="1" x14ac:dyDescent="0.3">
      <c r="A1" s="971"/>
      <c r="B1" s="554"/>
      <c r="C1" s="554" t="s">
        <v>1552</v>
      </c>
      <c r="D1" s="968"/>
      <c r="E1" s="555"/>
      <c r="F1" s="969"/>
      <c r="G1" s="970"/>
      <c r="H1" s="971"/>
      <c r="I1" s="972"/>
      <c r="J1" s="973"/>
    </row>
    <row r="2" spans="1:10" ht="21" customHeight="1" x14ac:dyDescent="0.3">
      <c r="A2" s="971"/>
      <c r="B2" s="554"/>
      <c r="C2" s="554"/>
      <c r="D2" s="968"/>
      <c r="E2" s="555"/>
      <c r="F2" s="969"/>
      <c r="G2" s="970"/>
      <c r="H2" s="971"/>
      <c r="I2" s="972"/>
      <c r="J2" s="973"/>
    </row>
    <row r="3" spans="1:10" ht="21" customHeight="1" x14ac:dyDescent="0.3">
      <c r="A3" s="971"/>
      <c r="B3" s="554"/>
      <c r="C3" s="554"/>
      <c r="D3" s="968"/>
      <c r="E3" s="555" t="s">
        <v>1238</v>
      </c>
      <c r="F3" s="969"/>
      <c r="G3" s="970"/>
      <c r="H3" s="971"/>
      <c r="I3" s="972"/>
      <c r="J3" s="973"/>
    </row>
    <row r="4" spans="1:10" ht="21" customHeight="1" x14ac:dyDescent="0.3">
      <c r="A4" s="971">
        <v>1</v>
      </c>
      <c r="B4" s="554"/>
      <c r="C4" s="554"/>
      <c r="D4" s="968"/>
      <c r="E4" s="555"/>
      <c r="F4" s="969"/>
      <c r="G4" s="970"/>
      <c r="H4" s="971">
        <v>1</v>
      </c>
      <c r="I4" s="972"/>
      <c r="J4" s="973"/>
    </row>
    <row r="5" spans="1:10" ht="21" customHeight="1" x14ac:dyDescent="0.3">
      <c r="A5" s="971">
        <v>2</v>
      </c>
      <c r="B5" s="554"/>
      <c r="C5" s="554"/>
      <c r="D5" s="968"/>
      <c r="E5" s="555"/>
      <c r="F5" s="969"/>
      <c r="G5" s="970"/>
      <c r="H5" s="971">
        <v>2</v>
      </c>
      <c r="I5" s="972"/>
      <c r="J5" s="973"/>
    </row>
    <row r="6" spans="1:10" ht="21" customHeight="1" x14ac:dyDescent="0.3">
      <c r="A6" s="971">
        <v>3</v>
      </c>
      <c r="B6" s="554" t="s">
        <v>25</v>
      </c>
      <c r="C6" s="554" t="s">
        <v>1425</v>
      </c>
      <c r="D6" s="968"/>
      <c r="E6" s="555">
        <v>2015</v>
      </c>
      <c r="F6" s="969" t="s">
        <v>1426</v>
      </c>
      <c r="G6" s="970"/>
      <c r="H6" s="971">
        <v>3</v>
      </c>
      <c r="I6" s="972"/>
      <c r="J6" s="973"/>
    </row>
    <row r="7" spans="1:10" ht="21" customHeight="1" x14ac:dyDescent="0.3">
      <c r="A7" s="971">
        <v>4</v>
      </c>
      <c r="B7" s="554" t="s">
        <v>25</v>
      </c>
      <c r="C7" s="554" t="s">
        <v>1428</v>
      </c>
      <c r="D7" s="968"/>
      <c r="E7" s="555">
        <v>2015</v>
      </c>
      <c r="F7" s="969" t="s">
        <v>1426</v>
      </c>
      <c r="G7" s="970"/>
      <c r="H7" s="971">
        <v>4</v>
      </c>
      <c r="I7" s="972"/>
      <c r="J7" s="973"/>
    </row>
    <row r="8" spans="1:10" ht="21" customHeight="1" x14ac:dyDescent="0.3">
      <c r="A8" s="971">
        <v>5</v>
      </c>
      <c r="B8" s="554"/>
      <c r="C8" s="554"/>
      <c r="D8" s="968"/>
      <c r="E8" s="555"/>
      <c r="F8" s="969"/>
      <c r="G8" s="970"/>
      <c r="H8" s="971">
        <v>5</v>
      </c>
      <c r="I8" s="972"/>
      <c r="J8" s="973"/>
    </row>
    <row r="9" spans="1:10" ht="21" customHeight="1" x14ac:dyDescent="0.3">
      <c r="A9" s="971">
        <v>6</v>
      </c>
      <c r="B9" s="554"/>
      <c r="C9" s="554"/>
      <c r="D9" s="968"/>
      <c r="E9" s="555"/>
      <c r="F9" s="969"/>
      <c r="G9" s="970"/>
      <c r="H9" s="971">
        <v>6</v>
      </c>
      <c r="I9" s="972"/>
      <c r="J9" s="973"/>
    </row>
    <row r="10" spans="1:10" ht="21" customHeight="1" x14ac:dyDescent="0.3">
      <c r="A10" s="971"/>
      <c r="B10" s="554"/>
      <c r="C10" s="554"/>
      <c r="D10" s="968"/>
      <c r="E10" s="555"/>
      <c r="F10" s="969"/>
      <c r="G10" s="970"/>
      <c r="H10" s="971"/>
      <c r="I10" s="972"/>
      <c r="J10" s="973"/>
    </row>
    <row r="11" spans="1:10" ht="21" customHeight="1" x14ac:dyDescent="0.3">
      <c r="A11" s="971"/>
      <c r="B11" s="554"/>
      <c r="C11" s="554" t="s">
        <v>1553</v>
      </c>
      <c r="D11" s="968"/>
      <c r="E11" s="555"/>
      <c r="F11" s="969"/>
      <c r="G11" s="970"/>
      <c r="H11" s="971"/>
      <c r="I11" s="972"/>
      <c r="J11" s="973"/>
    </row>
    <row r="12" spans="1:10" ht="21" customHeight="1" x14ac:dyDescent="0.3">
      <c r="A12" s="971"/>
      <c r="B12" s="554"/>
      <c r="C12" s="554"/>
      <c r="D12" s="968"/>
      <c r="E12" s="555" t="s">
        <v>1239</v>
      </c>
      <c r="F12" s="969"/>
      <c r="G12" s="970"/>
      <c r="H12" s="971"/>
      <c r="I12" s="972"/>
      <c r="J12" s="973"/>
    </row>
    <row r="13" spans="1:10" ht="21" customHeight="1" x14ac:dyDescent="0.3">
      <c r="A13" s="971">
        <v>1</v>
      </c>
      <c r="B13" s="554" t="s">
        <v>20</v>
      </c>
      <c r="C13" s="554" t="s">
        <v>1386</v>
      </c>
      <c r="D13" s="968"/>
      <c r="E13" s="555">
        <v>2014</v>
      </c>
      <c r="F13" s="969" t="s">
        <v>1426</v>
      </c>
      <c r="G13" s="970"/>
      <c r="H13" s="971">
        <v>1</v>
      </c>
      <c r="I13" s="972"/>
      <c r="J13" s="973"/>
    </row>
    <row r="14" spans="1:10" ht="21" customHeight="1" x14ac:dyDescent="0.3">
      <c r="A14" s="971">
        <v>2</v>
      </c>
      <c r="B14" s="554" t="s">
        <v>20</v>
      </c>
      <c r="C14" s="554" t="s">
        <v>1383</v>
      </c>
      <c r="D14" s="968"/>
      <c r="E14" s="555">
        <v>2014</v>
      </c>
      <c r="F14" s="969" t="s">
        <v>1443</v>
      </c>
      <c r="G14" s="970"/>
      <c r="H14" s="971">
        <v>2</v>
      </c>
      <c r="I14" s="972"/>
      <c r="J14" s="973"/>
    </row>
    <row r="15" spans="1:10" ht="21" customHeight="1" x14ac:dyDescent="0.3">
      <c r="A15" s="971">
        <v>3</v>
      </c>
      <c r="B15" s="554" t="s">
        <v>35</v>
      </c>
      <c r="C15" s="554" t="s">
        <v>1330</v>
      </c>
      <c r="D15" s="968"/>
      <c r="E15" s="555">
        <v>2014</v>
      </c>
      <c r="F15" s="969" t="s">
        <v>460</v>
      </c>
      <c r="G15" s="970"/>
      <c r="H15" s="971">
        <v>3</v>
      </c>
      <c r="I15" s="972"/>
      <c r="J15" s="973"/>
    </row>
    <row r="16" spans="1:10" ht="21" customHeight="1" x14ac:dyDescent="0.3">
      <c r="A16" s="971">
        <v>4</v>
      </c>
      <c r="B16" s="554" t="s">
        <v>24</v>
      </c>
      <c r="C16" s="554" t="s">
        <v>1329</v>
      </c>
      <c r="D16" s="968"/>
      <c r="E16" s="555">
        <v>2013</v>
      </c>
      <c r="F16" s="969" t="s">
        <v>1381</v>
      </c>
      <c r="G16" s="970"/>
      <c r="H16" s="971">
        <v>4</v>
      </c>
      <c r="I16" s="972"/>
      <c r="J16" s="973"/>
    </row>
    <row r="17" spans="1:10" ht="21" customHeight="1" x14ac:dyDescent="0.3">
      <c r="A17" s="971">
        <v>5</v>
      </c>
      <c r="B17" s="554" t="s">
        <v>35</v>
      </c>
      <c r="C17" s="554" t="s">
        <v>1385</v>
      </c>
      <c r="D17" s="968"/>
      <c r="E17" s="555">
        <v>2014</v>
      </c>
      <c r="F17" s="969" t="s">
        <v>1426</v>
      </c>
      <c r="G17" s="970"/>
      <c r="H17" s="971">
        <v>5</v>
      </c>
      <c r="I17" s="972"/>
      <c r="J17" s="973"/>
    </row>
    <row r="18" spans="1:10" ht="21" customHeight="1" x14ac:dyDescent="0.3">
      <c r="A18" s="971">
        <v>6</v>
      </c>
      <c r="B18" s="554" t="s">
        <v>35</v>
      </c>
      <c r="C18" s="554" t="s">
        <v>1384</v>
      </c>
      <c r="D18" s="968"/>
      <c r="E18" s="555">
        <v>2014</v>
      </c>
      <c r="F18" s="969" t="s">
        <v>1426</v>
      </c>
      <c r="G18" s="970"/>
      <c r="H18" s="971">
        <v>6</v>
      </c>
      <c r="I18" s="972"/>
      <c r="J18" s="973"/>
    </row>
    <row r="19" spans="1:10" ht="21" customHeight="1" x14ac:dyDescent="0.3">
      <c r="A19" s="971"/>
      <c r="B19" s="554"/>
      <c r="C19" s="554"/>
      <c r="D19" s="968"/>
      <c r="E19" s="555"/>
      <c r="F19" s="969"/>
      <c r="G19" s="970"/>
      <c r="H19" s="971"/>
      <c r="I19" s="972"/>
      <c r="J19" s="973"/>
    </row>
    <row r="20" spans="1:10" ht="21" customHeight="1" x14ac:dyDescent="0.3">
      <c r="A20" s="971"/>
      <c r="B20" s="554"/>
      <c r="C20" s="554" t="s">
        <v>1554</v>
      </c>
      <c r="D20" s="968"/>
      <c r="E20" s="555"/>
      <c r="F20" s="969"/>
      <c r="G20" s="970"/>
      <c r="H20" s="971"/>
      <c r="I20" s="972"/>
      <c r="J20" s="973"/>
    </row>
    <row r="21" spans="1:10" ht="21" customHeight="1" x14ac:dyDescent="0.3">
      <c r="A21" s="971"/>
      <c r="B21" s="554"/>
      <c r="C21" s="554"/>
      <c r="D21" s="968"/>
      <c r="E21" s="555" t="s">
        <v>1240</v>
      </c>
      <c r="F21" s="969"/>
      <c r="G21" s="970"/>
      <c r="H21" s="971"/>
      <c r="I21" s="972"/>
      <c r="J21" s="973"/>
    </row>
    <row r="22" spans="1:10" ht="21" customHeight="1" x14ac:dyDescent="0.3">
      <c r="A22" s="971">
        <v>1</v>
      </c>
      <c r="B22" s="554" t="s">
        <v>21</v>
      </c>
      <c r="C22" s="554" t="s">
        <v>1454</v>
      </c>
      <c r="D22" s="968"/>
      <c r="E22" s="555">
        <v>2012</v>
      </c>
      <c r="F22" s="969" t="s">
        <v>1426</v>
      </c>
      <c r="G22" s="970"/>
      <c r="H22" s="971">
        <v>1</v>
      </c>
      <c r="I22" s="972"/>
      <c r="J22" s="973"/>
    </row>
    <row r="23" spans="1:10" ht="21" customHeight="1" x14ac:dyDescent="0.3">
      <c r="A23" s="971">
        <v>2</v>
      </c>
      <c r="B23" s="554" t="s">
        <v>23</v>
      </c>
      <c r="C23" s="554" t="s">
        <v>1346</v>
      </c>
      <c r="D23" s="968"/>
      <c r="E23" s="555">
        <v>2011</v>
      </c>
      <c r="F23" s="969" t="s">
        <v>1443</v>
      </c>
      <c r="G23" s="970"/>
      <c r="H23" s="971">
        <v>2</v>
      </c>
      <c r="I23" s="972"/>
      <c r="J23" s="973"/>
    </row>
    <row r="24" spans="1:10" ht="21" customHeight="1" x14ac:dyDescent="0.3">
      <c r="A24" s="971">
        <v>3</v>
      </c>
      <c r="B24" s="554" t="s">
        <v>23</v>
      </c>
      <c r="C24" s="554" t="s">
        <v>1371</v>
      </c>
      <c r="D24" s="968"/>
      <c r="E24" s="555">
        <v>2011</v>
      </c>
      <c r="F24" s="969" t="s">
        <v>1426</v>
      </c>
      <c r="G24" s="970"/>
      <c r="H24" s="971">
        <v>3</v>
      </c>
      <c r="I24" s="972"/>
      <c r="J24" s="973"/>
    </row>
    <row r="25" spans="1:10" ht="21" customHeight="1" x14ac:dyDescent="0.3">
      <c r="A25" s="971">
        <v>4</v>
      </c>
      <c r="B25" s="554" t="s">
        <v>23</v>
      </c>
      <c r="C25" s="554" t="s">
        <v>1326</v>
      </c>
      <c r="D25" s="968"/>
      <c r="E25" s="555">
        <v>2011</v>
      </c>
      <c r="F25" s="969" t="s">
        <v>1426</v>
      </c>
      <c r="G25" s="970"/>
      <c r="H25" s="971">
        <v>4</v>
      </c>
      <c r="I25" s="972"/>
      <c r="J25" s="973"/>
    </row>
    <row r="26" spans="1:10" ht="21" customHeight="1" x14ac:dyDescent="0.3">
      <c r="A26" s="971">
        <v>5</v>
      </c>
      <c r="B26" s="554" t="s">
        <v>24</v>
      </c>
      <c r="C26" s="554" t="s">
        <v>1349</v>
      </c>
      <c r="D26" s="968"/>
      <c r="E26" s="555">
        <v>2012</v>
      </c>
      <c r="F26" s="969" t="s">
        <v>1426</v>
      </c>
      <c r="G26" s="970"/>
      <c r="H26" s="971">
        <v>5</v>
      </c>
      <c r="I26" s="972"/>
      <c r="J26" s="973"/>
    </row>
    <row r="27" spans="1:10" ht="21" customHeight="1" x14ac:dyDescent="0.3">
      <c r="A27" s="971">
        <v>6</v>
      </c>
      <c r="B27" s="554" t="s">
        <v>35</v>
      </c>
      <c r="C27" s="554" t="s">
        <v>1324</v>
      </c>
      <c r="D27" s="968"/>
      <c r="E27" s="555">
        <v>2011</v>
      </c>
      <c r="F27" s="969" t="s">
        <v>1443</v>
      </c>
      <c r="G27" s="970"/>
      <c r="H27" s="971">
        <v>6</v>
      </c>
      <c r="I27" s="972"/>
      <c r="J27" s="973"/>
    </row>
    <row r="28" spans="1:10" ht="21" customHeight="1" x14ac:dyDescent="0.3">
      <c r="A28" s="971"/>
      <c r="B28" s="554"/>
      <c r="C28" s="554"/>
      <c r="D28" s="968"/>
      <c r="E28" s="555"/>
      <c r="F28" s="969"/>
      <c r="G28" s="970"/>
      <c r="H28" s="971"/>
      <c r="I28" s="972"/>
      <c r="J28" s="973"/>
    </row>
    <row r="29" spans="1:10" ht="21" customHeight="1" x14ac:dyDescent="0.3">
      <c r="A29" s="971"/>
      <c r="B29" s="554"/>
      <c r="C29" s="554" t="s">
        <v>1555</v>
      </c>
      <c r="D29" s="968"/>
      <c r="E29" s="555"/>
      <c r="F29" s="969"/>
      <c r="G29" s="970"/>
      <c r="H29" s="971"/>
      <c r="I29" s="972"/>
      <c r="J29" s="973"/>
    </row>
    <row r="30" spans="1:10" ht="21" customHeight="1" x14ac:dyDescent="0.3">
      <c r="A30" s="971"/>
      <c r="B30" s="554"/>
      <c r="C30" s="554"/>
      <c r="D30" s="968"/>
      <c r="E30" s="555" t="s">
        <v>1241</v>
      </c>
      <c r="F30" s="969"/>
      <c r="G30" s="970"/>
      <c r="H30" s="971"/>
      <c r="I30" s="972"/>
      <c r="J30" s="973"/>
    </row>
    <row r="31" spans="1:10" ht="21" customHeight="1" x14ac:dyDescent="0.3">
      <c r="A31" s="971">
        <v>1</v>
      </c>
      <c r="B31" s="554"/>
      <c r="C31" s="554"/>
      <c r="D31" s="968"/>
      <c r="E31" s="555"/>
      <c r="F31" s="969"/>
      <c r="G31" s="970"/>
      <c r="H31" s="971">
        <v>1</v>
      </c>
      <c r="I31" s="972"/>
      <c r="J31" s="973"/>
    </row>
    <row r="32" spans="1:10" ht="21" customHeight="1" x14ac:dyDescent="0.3">
      <c r="A32" s="971">
        <v>2</v>
      </c>
      <c r="B32" s="554" t="s">
        <v>20</v>
      </c>
      <c r="C32" s="554" t="s">
        <v>1466</v>
      </c>
      <c r="D32" s="968"/>
      <c r="E32" s="555">
        <v>2009</v>
      </c>
      <c r="F32" s="969" t="s">
        <v>1450</v>
      </c>
      <c r="G32" s="970"/>
      <c r="H32" s="971">
        <v>2</v>
      </c>
      <c r="I32" s="972"/>
      <c r="J32" s="973"/>
    </row>
    <row r="33" spans="1:10" ht="21" customHeight="1" x14ac:dyDescent="0.3">
      <c r="A33" s="971">
        <v>3</v>
      </c>
      <c r="B33" s="554" t="s">
        <v>23</v>
      </c>
      <c r="C33" s="554" t="s">
        <v>1295</v>
      </c>
      <c r="D33" s="968"/>
      <c r="E33" s="555">
        <v>2009</v>
      </c>
      <c r="F33" s="969" t="s">
        <v>1381</v>
      </c>
      <c r="G33" s="970"/>
      <c r="H33" s="971">
        <v>3</v>
      </c>
      <c r="I33" s="972"/>
      <c r="J33" s="973"/>
    </row>
    <row r="34" spans="1:10" ht="21" customHeight="1" x14ac:dyDescent="0.3">
      <c r="A34" s="971">
        <v>4</v>
      </c>
      <c r="B34" s="554" t="s">
        <v>23</v>
      </c>
      <c r="C34" s="554" t="s">
        <v>1472</v>
      </c>
      <c r="D34" s="968"/>
      <c r="E34" s="555">
        <v>2010</v>
      </c>
      <c r="F34" s="969" t="s">
        <v>1250</v>
      </c>
      <c r="G34" s="970"/>
      <c r="H34" s="971">
        <v>4</v>
      </c>
      <c r="I34" s="972"/>
      <c r="J34" s="973"/>
    </row>
    <row r="35" spans="1:10" ht="21" customHeight="1" x14ac:dyDescent="0.3">
      <c r="A35" s="971">
        <v>5</v>
      </c>
      <c r="B35" s="554"/>
      <c r="C35" s="554"/>
      <c r="D35" s="968"/>
      <c r="E35" s="555"/>
      <c r="F35" s="969"/>
      <c r="G35" s="970"/>
      <c r="H35" s="971">
        <v>5</v>
      </c>
      <c r="I35" s="972"/>
      <c r="J35" s="973"/>
    </row>
    <row r="36" spans="1:10" ht="21" customHeight="1" x14ac:dyDescent="0.3">
      <c r="A36" s="971">
        <v>6</v>
      </c>
      <c r="B36" s="554"/>
      <c r="C36" s="554"/>
      <c r="D36" s="968"/>
      <c r="E36" s="555"/>
      <c r="F36" s="969"/>
      <c r="G36" s="970"/>
      <c r="H36" s="971">
        <v>6</v>
      </c>
      <c r="I36" s="972"/>
      <c r="J36" s="973"/>
    </row>
    <row r="37" spans="1:10" ht="21" customHeight="1" x14ac:dyDescent="0.3">
      <c r="A37" s="971"/>
      <c r="B37" s="554"/>
      <c r="C37" s="554"/>
      <c r="D37" s="968"/>
      <c r="E37" s="555"/>
      <c r="F37" s="969"/>
      <c r="G37" s="970"/>
      <c r="H37" s="971"/>
      <c r="I37" s="972"/>
      <c r="J37" s="973"/>
    </row>
    <row r="38" spans="1:10" ht="21" customHeight="1" x14ac:dyDescent="0.3">
      <c r="A38" s="971"/>
      <c r="B38" s="554"/>
      <c r="C38" s="554"/>
      <c r="D38" s="968"/>
      <c r="E38" s="555" t="s">
        <v>1242</v>
      </c>
      <c r="F38" s="969"/>
      <c r="G38" s="970"/>
      <c r="H38" s="971"/>
      <c r="I38" s="972"/>
      <c r="J38" s="973"/>
    </row>
    <row r="39" spans="1:10" ht="21" customHeight="1" x14ac:dyDescent="0.3">
      <c r="A39" s="971">
        <v>1</v>
      </c>
      <c r="B39" s="554" t="s">
        <v>35</v>
      </c>
      <c r="C39" s="554" t="s">
        <v>1316</v>
      </c>
      <c r="D39" s="968"/>
      <c r="E39" s="555">
        <v>2010</v>
      </c>
      <c r="F39" s="969" t="s">
        <v>1250</v>
      </c>
      <c r="G39" s="970"/>
      <c r="H39" s="971">
        <v>1</v>
      </c>
      <c r="I39" s="972"/>
      <c r="J39" s="973"/>
    </row>
    <row r="40" spans="1:10" ht="21" customHeight="1" x14ac:dyDescent="0.3">
      <c r="A40" s="971">
        <v>2</v>
      </c>
      <c r="B40" s="554" t="s">
        <v>6</v>
      </c>
      <c r="C40" s="554" t="s">
        <v>1291</v>
      </c>
      <c r="D40" s="968"/>
      <c r="E40" s="555">
        <v>2009</v>
      </c>
      <c r="F40" s="969" t="s">
        <v>1450</v>
      </c>
      <c r="G40" s="970"/>
      <c r="H40" s="971">
        <v>2</v>
      </c>
      <c r="I40" s="972"/>
      <c r="J40" s="973"/>
    </row>
    <row r="41" spans="1:10" ht="21" customHeight="1" x14ac:dyDescent="0.3">
      <c r="A41" s="971">
        <v>3</v>
      </c>
      <c r="B41" s="554" t="s">
        <v>6</v>
      </c>
      <c r="C41" s="554" t="s">
        <v>1296</v>
      </c>
      <c r="D41" s="968"/>
      <c r="E41" s="555">
        <v>2009</v>
      </c>
      <c r="F41" s="969" t="s">
        <v>1381</v>
      </c>
      <c r="G41" s="970"/>
      <c r="H41" s="971">
        <v>3</v>
      </c>
      <c r="I41" s="972"/>
      <c r="J41" s="973"/>
    </row>
    <row r="42" spans="1:10" ht="21" customHeight="1" x14ac:dyDescent="0.3">
      <c r="A42" s="971">
        <v>4</v>
      </c>
      <c r="B42" s="554" t="s">
        <v>6</v>
      </c>
      <c r="C42" s="554" t="s">
        <v>1399</v>
      </c>
      <c r="D42" s="968"/>
      <c r="E42" s="555">
        <v>2008</v>
      </c>
      <c r="F42" s="969" t="s">
        <v>1469</v>
      </c>
      <c r="G42" s="970"/>
      <c r="H42" s="971">
        <v>4</v>
      </c>
      <c r="I42" s="972"/>
      <c r="J42" s="973"/>
    </row>
    <row r="43" spans="1:10" ht="21" customHeight="1" x14ac:dyDescent="0.3">
      <c r="A43" s="971">
        <v>5</v>
      </c>
      <c r="B43" s="554" t="s">
        <v>6</v>
      </c>
      <c r="C43" s="554" t="s">
        <v>1400</v>
      </c>
      <c r="D43" s="968"/>
      <c r="E43" s="555">
        <v>2009</v>
      </c>
      <c r="F43" s="969" t="s">
        <v>460</v>
      </c>
      <c r="G43" s="970"/>
      <c r="H43" s="971">
        <v>5</v>
      </c>
      <c r="I43" s="972"/>
      <c r="J43" s="973"/>
    </row>
    <row r="44" spans="1:10" ht="21" customHeight="1" x14ac:dyDescent="0.3">
      <c r="A44" s="971">
        <v>6</v>
      </c>
      <c r="B44" s="554" t="s">
        <v>23</v>
      </c>
      <c r="C44" s="554" t="s">
        <v>1290</v>
      </c>
      <c r="D44" s="968"/>
      <c r="E44" s="555">
        <v>2010</v>
      </c>
      <c r="F44" s="969" t="s">
        <v>1450</v>
      </c>
      <c r="G44" s="970"/>
      <c r="H44" s="971">
        <v>6</v>
      </c>
      <c r="I44" s="972"/>
      <c r="J44" s="973"/>
    </row>
    <row r="45" spans="1:10" ht="21" customHeight="1" x14ac:dyDescent="0.3">
      <c r="A45" s="971"/>
      <c r="B45" s="554"/>
      <c r="C45" s="554"/>
      <c r="D45" s="968"/>
      <c r="E45" s="555"/>
      <c r="F45" s="969"/>
      <c r="G45" s="970"/>
      <c r="H45" s="971"/>
      <c r="I45" s="972"/>
      <c r="J45" s="973"/>
    </row>
    <row r="46" spans="1:10" ht="21" customHeight="1" x14ac:dyDescent="0.3">
      <c r="A46" s="971"/>
      <c r="B46" s="554" t="s">
        <v>1556</v>
      </c>
      <c r="C46" s="554"/>
      <c r="D46" s="968"/>
      <c r="E46" s="555"/>
      <c r="F46" s="969"/>
      <c r="G46" s="970"/>
      <c r="H46" s="971"/>
      <c r="I46" s="972"/>
      <c r="J46" s="973"/>
    </row>
    <row r="47" spans="1:10" ht="21" customHeight="1" x14ac:dyDescent="0.3">
      <c r="A47" s="971"/>
      <c r="B47" s="554"/>
      <c r="C47" s="554"/>
      <c r="D47" s="968"/>
      <c r="E47" s="555" t="s">
        <v>1243</v>
      </c>
      <c r="F47" s="969"/>
      <c r="G47" s="970"/>
      <c r="H47" s="971"/>
      <c r="I47" s="972"/>
      <c r="J47" s="973"/>
    </row>
    <row r="48" spans="1:10" ht="21" customHeight="1" x14ac:dyDescent="0.3">
      <c r="A48" s="971">
        <v>1</v>
      </c>
      <c r="B48" s="554" t="s">
        <v>25</v>
      </c>
      <c r="C48" s="554" t="s">
        <v>1396</v>
      </c>
      <c r="D48" s="968"/>
      <c r="E48" s="555">
        <v>2015</v>
      </c>
      <c r="F48" s="969" t="s">
        <v>1443</v>
      </c>
      <c r="G48" s="970"/>
      <c r="H48" s="971">
        <v>1</v>
      </c>
      <c r="I48" s="972"/>
      <c r="J48" s="973"/>
    </row>
    <row r="49" spans="1:10" ht="21" customHeight="1" x14ac:dyDescent="0.3">
      <c r="A49" s="971">
        <v>2</v>
      </c>
      <c r="B49" s="554" t="s">
        <v>25</v>
      </c>
      <c r="C49" s="554" t="s">
        <v>1480</v>
      </c>
      <c r="D49" s="968"/>
      <c r="E49" s="555">
        <v>2015</v>
      </c>
      <c r="F49" s="969" t="s">
        <v>1426</v>
      </c>
      <c r="G49" s="970"/>
      <c r="H49" s="971">
        <v>2</v>
      </c>
      <c r="I49" s="972"/>
      <c r="J49" s="973"/>
    </row>
    <row r="50" spans="1:10" ht="21" customHeight="1" x14ac:dyDescent="0.3">
      <c r="A50" s="971">
        <v>3</v>
      </c>
      <c r="B50" s="554" t="s">
        <v>25</v>
      </c>
      <c r="C50" s="554" t="s">
        <v>1481</v>
      </c>
      <c r="D50" s="968"/>
      <c r="E50" s="555">
        <v>2016</v>
      </c>
      <c r="F50" s="969" t="s">
        <v>1426</v>
      </c>
      <c r="G50" s="970"/>
      <c r="H50" s="971">
        <v>3</v>
      </c>
      <c r="I50" s="972"/>
      <c r="J50" s="973"/>
    </row>
    <row r="51" spans="1:10" ht="21" customHeight="1" x14ac:dyDescent="0.3">
      <c r="A51" s="971">
        <v>4</v>
      </c>
      <c r="B51" s="554" t="s">
        <v>25</v>
      </c>
      <c r="C51" s="554" t="s">
        <v>1485</v>
      </c>
      <c r="D51" s="968"/>
      <c r="E51" s="555">
        <v>2015</v>
      </c>
      <c r="F51" s="969" t="s">
        <v>1426</v>
      </c>
      <c r="G51" s="970"/>
      <c r="H51" s="971">
        <v>4</v>
      </c>
      <c r="I51" s="972"/>
      <c r="J51" s="973"/>
    </row>
    <row r="52" spans="1:10" ht="21" customHeight="1" x14ac:dyDescent="0.3">
      <c r="A52" s="971">
        <v>5</v>
      </c>
      <c r="B52" s="554" t="s">
        <v>25</v>
      </c>
      <c r="C52" s="554" t="s">
        <v>1487</v>
      </c>
      <c r="D52" s="968"/>
      <c r="E52" s="555">
        <v>2015</v>
      </c>
      <c r="F52" s="969" t="s">
        <v>1450</v>
      </c>
      <c r="G52" s="970"/>
      <c r="H52" s="971">
        <v>5</v>
      </c>
      <c r="I52" s="972"/>
      <c r="J52" s="973"/>
    </row>
    <row r="53" spans="1:10" ht="21" customHeight="1" x14ac:dyDescent="0.3">
      <c r="A53" s="971">
        <v>6</v>
      </c>
      <c r="B53" s="554"/>
      <c r="C53" s="554"/>
      <c r="D53" s="968"/>
      <c r="E53" s="555"/>
      <c r="F53" s="969"/>
      <c r="G53" s="970"/>
      <c r="H53" s="971">
        <v>6</v>
      </c>
      <c r="I53" s="972"/>
      <c r="J53" s="973"/>
    </row>
    <row r="54" spans="1:10" ht="21" customHeight="1" x14ac:dyDescent="0.3">
      <c r="A54" s="971"/>
      <c r="B54" s="554"/>
      <c r="C54" s="554"/>
      <c r="D54" s="968"/>
      <c r="E54" s="555"/>
      <c r="F54" s="969"/>
      <c r="G54" s="970"/>
      <c r="H54" s="971"/>
      <c r="I54" s="972"/>
      <c r="J54" s="973"/>
    </row>
    <row r="55" spans="1:10" ht="21" customHeight="1" x14ac:dyDescent="0.3">
      <c r="A55" s="971"/>
      <c r="B55" s="554"/>
      <c r="C55" s="554"/>
      <c r="D55" s="968"/>
      <c r="E55" s="555" t="s">
        <v>1244</v>
      </c>
      <c r="F55" s="969"/>
      <c r="G55" s="970"/>
      <c r="H55" s="971"/>
      <c r="I55" s="972"/>
      <c r="J55" s="973"/>
    </row>
    <row r="56" spans="1:10" ht="21" customHeight="1" x14ac:dyDescent="0.3">
      <c r="A56" s="971"/>
      <c r="B56" s="554"/>
      <c r="C56" s="554"/>
      <c r="D56" s="968"/>
      <c r="E56" s="555"/>
      <c r="F56" s="969"/>
      <c r="G56" s="970"/>
      <c r="H56" s="971"/>
      <c r="I56" s="972"/>
      <c r="J56" s="973"/>
    </row>
    <row r="57" spans="1:10" ht="21" customHeight="1" x14ac:dyDescent="0.3">
      <c r="A57" s="971">
        <v>1</v>
      </c>
      <c r="B57" s="554" t="s">
        <v>25</v>
      </c>
      <c r="C57" s="554" t="s">
        <v>1483</v>
      </c>
      <c r="D57" s="968"/>
      <c r="E57" s="555">
        <v>2015</v>
      </c>
      <c r="F57" s="969" t="s">
        <v>1426</v>
      </c>
      <c r="G57" s="970"/>
      <c r="H57" s="971">
        <v>1</v>
      </c>
      <c r="I57" s="972"/>
      <c r="J57" s="973"/>
    </row>
    <row r="58" spans="1:10" ht="21" customHeight="1" x14ac:dyDescent="0.3">
      <c r="A58" s="971">
        <v>2</v>
      </c>
      <c r="B58" s="554" t="s">
        <v>21</v>
      </c>
      <c r="C58" s="554" t="s">
        <v>1395</v>
      </c>
      <c r="D58" s="968"/>
      <c r="E58" s="555">
        <v>2015</v>
      </c>
      <c r="F58" s="969" t="s">
        <v>1443</v>
      </c>
      <c r="G58" s="970"/>
      <c r="H58" s="971">
        <v>2</v>
      </c>
      <c r="I58" s="972"/>
      <c r="J58" s="973"/>
    </row>
    <row r="59" spans="1:10" ht="21" customHeight="1" x14ac:dyDescent="0.3">
      <c r="A59" s="971">
        <v>3</v>
      </c>
      <c r="B59" s="554" t="s">
        <v>20</v>
      </c>
      <c r="C59" s="554" t="s">
        <v>1345</v>
      </c>
      <c r="D59" s="968"/>
      <c r="E59" s="555">
        <v>2015</v>
      </c>
      <c r="F59" s="969" t="s">
        <v>1443</v>
      </c>
      <c r="G59" s="970"/>
      <c r="H59" s="971">
        <v>3</v>
      </c>
      <c r="I59" s="972"/>
      <c r="J59" s="973"/>
    </row>
    <row r="60" spans="1:10" ht="21" customHeight="1" x14ac:dyDescent="0.3">
      <c r="A60" s="971">
        <v>4</v>
      </c>
      <c r="B60" s="554" t="s">
        <v>20</v>
      </c>
      <c r="C60" s="554" t="s">
        <v>1343</v>
      </c>
      <c r="D60" s="968"/>
      <c r="E60" s="555">
        <v>2015</v>
      </c>
      <c r="F60" s="969" t="s">
        <v>1443</v>
      </c>
      <c r="G60" s="970"/>
      <c r="H60" s="971">
        <v>4</v>
      </c>
      <c r="I60" s="972"/>
      <c r="J60" s="973"/>
    </row>
    <row r="61" spans="1:10" ht="21" customHeight="1" x14ac:dyDescent="0.3">
      <c r="A61" s="971">
        <v>5</v>
      </c>
      <c r="B61" s="554" t="s">
        <v>20</v>
      </c>
      <c r="C61" s="554" t="s">
        <v>1491</v>
      </c>
      <c r="D61" s="968"/>
      <c r="E61" s="555">
        <v>2015</v>
      </c>
      <c r="F61" s="969" t="s">
        <v>1433</v>
      </c>
      <c r="G61" s="970"/>
      <c r="H61" s="971">
        <v>5</v>
      </c>
      <c r="I61" s="972"/>
      <c r="J61" s="973"/>
    </row>
    <row r="62" spans="1:10" ht="21" customHeight="1" x14ac:dyDescent="0.3">
      <c r="A62" s="971">
        <v>6</v>
      </c>
      <c r="B62" s="554" t="s">
        <v>25</v>
      </c>
      <c r="C62" s="554" t="s">
        <v>1488</v>
      </c>
      <c r="D62" s="968"/>
      <c r="E62" s="555">
        <v>2016</v>
      </c>
      <c r="F62" s="969" t="s">
        <v>1426</v>
      </c>
      <c r="G62" s="970"/>
      <c r="H62" s="971">
        <v>6</v>
      </c>
      <c r="I62" s="972"/>
      <c r="J62" s="973"/>
    </row>
    <row r="63" spans="1:10" ht="21" customHeight="1" x14ac:dyDescent="0.3">
      <c r="A63" s="971"/>
      <c r="B63" s="554"/>
      <c r="C63" s="554"/>
      <c r="D63" s="968"/>
      <c r="E63" s="555"/>
      <c r="F63" s="969"/>
      <c r="G63" s="970"/>
      <c r="H63" s="971"/>
      <c r="I63" s="972"/>
      <c r="J63" s="973"/>
    </row>
    <row r="64" spans="1:10" ht="21" customHeight="1" x14ac:dyDescent="0.3">
      <c r="A64" s="971"/>
      <c r="B64" s="554"/>
      <c r="C64" s="554" t="s">
        <v>1557</v>
      </c>
      <c r="D64" s="968"/>
      <c r="E64" s="555"/>
      <c r="F64" s="969"/>
      <c r="G64" s="970"/>
      <c r="H64" s="971"/>
      <c r="I64" s="972"/>
      <c r="J64" s="973"/>
    </row>
    <row r="65" spans="1:10" ht="21" customHeight="1" x14ac:dyDescent="0.3">
      <c r="A65" s="971"/>
      <c r="B65" s="554"/>
      <c r="C65" s="554"/>
      <c r="D65" s="968"/>
      <c r="E65" s="555" t="s">
        <v>1245</v>
      </c>
      <c r="F65" s="969"/>
      <c r="G65" s="970"/>
      <c r="H65" s="971"/>
      <c r="I65" s="972"/>
      <c r="J65" s="973"/>
    </row>
    <row r="66" spans="1:10" ht="21" customHeight="1" x14ac:dyDescent="0.3">
      <c r="A66" s="971"/>
      <c r="B66" s="554"/>
      <c r="C66" s="554"/>
      <c r="D66" s="968"/>
      <c r="E66" s="555"/>
      <c r="F66" s="969"/>
      <c r="G66" s="970"/>
      <c r="H66" s="971"/>
      <c r="I66" s="972"/>
      <c r="J66" s="973"/>
    </row>
    <row r="67" spans="1:10" ht="21" customHeight="1" x14ac:dyDescent="0.3">
      <c r="A67" s="971">
        <v>1</v>
      </c>
      <c r="B67" s="554" t="s">
        <v>21</v>
      </c>
      <c r="C67" s="554" t="s">
        <v>1335</v>
      </c>
      <c r="D67" s="968"/>
      <c r="E67" s="555">
        <v>2013</v>
      </c>
      <c r="F67" s="969" t="s">
        <v>1443</v>
      </c>
      <c r="G67" s="970"/>
      <c r="H67" s="971">
        <v>1</v>
      </c>
      <c r="I67" s="972"/>
      <c r="J67" s="973"/>
    </row>
    <row r="68" spans="1:10" ht="21" customHeight="1" x14ac:dyDescent="0.3">
      <c r="A68" s="971">
        <v>2</v>
      </c>
      <c r="B68" s="554" t="s">
        <v>25</v>
      </c>
      <c r="C68" s="554" t="s">
        <v>1391</v>
      </c>
      <c r="D68" s="968"/>
      <c r="E68" s="555">
        <v>2014</v>
      </c>
      <c r="F68" s="969" t="s">
        <v>460</v>
      </c>
      <c r="G68" s="970"/>
      <c r="H68" s="971">
        <v>2</v>
      </c>
      <c r="I68" s="972"/>
      <c r="J68" s="973"/>
    </row>
    <row r="69" spans="1:10" ht="21" customHeight="1" x14ac:dyDescent="0.3">
      <c r="A69" s="971">
        <v>3</v>
      </c>
      <c r="B69" s="554" t="s">
        <v>21</v>
      </c>
      <c r="C69" s="554" t="s">
        <v>1390</v>
      </c>
      <c r="D69" s="968"/>
      <c r="E69" s="555">
        <v>2014</v>
      </c>
      <c r="F69" s="969" t="s">
        <v>1426</v>
      </c>
      <c r="G69" s="970"/>
      <c r="H69" s="971">
        <v>3</v>
      </c>
      <c r="I69" s="972"/>
      <c r="J69" s="973"/>
    </row>
    <row r="70" spans="1:10" ht="21" customHeight="1" x14ac:dyDescent="0.3">
      <c r="A70" s="971">
        <v>4</v>
      </c>
      <c r="B70" s="554" t="s">
        <v>25</v>
      </c>
      <c r="C70" s="554" t="s">
        <v>1364</v>
      </c>
      <c r="D70" s="968"/>
      <c r="E70" s="555">
        <v>2014</v>
      </c>
      <c r="F70" s="969" t="s">
        <v>460</v>
      </c>
      <c r="G70" s="970"/>
      <c r="H70" s="971">
        <v>4</v>
      </c>
      <c r="I70" s="972"/>
      <c r="J70" s="973"/>
    </row>
    <row r="71" spans="1:10" ht="21" customHeight="1" x14ac:dyDescent="0.3">
      <c r="A71" s="971">
        <v>5</v>
      </c>
      <c r="B71" s="554" t="s">
        <v>25</v>
      </c>
      <c r="C71" s="554" t="s">
        <v>1501</v>
      </c>
      <c r="D71" s="968"/>
      <c r="E71" s="555">
        <v>2013</v>
      </c>
      <c r="F71" s="969" t="s">
        <v>1450</v>
      </c>
      <c r="G71" s="970"/>
      <c r="H71" s="971">
        <v>5</v>
      </c>
      <c r="I71" s="972"/>
      <c r="J71" s="973"/>
    </row>
    <row r="72" spans="1:10" ht="21" customHeight="1" x14ac:dyDescent="0.3">
      <c r="A72" s="971">
        <v>6</v>
      </c>
      <c r="B72" s="554"/>
      <c r="C72" s="554"/>
      <c r="D72" s="968"/>
      <c r="E72" s="555"/>
      <c r="F72" s="969"/>
      <c r="G72" s="970"/>
      <c r="H72" s="971">
        <v>6</v>
      </c>
      <c r="I72" s="972"/>
      <c r="J72" s="973"/>
    </row>
    <row r="73" spans="1:10" ht="41.4" customHeight="1" x14ac:dyDescent="0.3">
      <c r="A73" s="971"/>
      <c r="B73" s="554"/>
      <c r="C73" s="554"/>
      <c r="D73" s="968"/>
      <c r="E73" s="555"/>
      <c r="F73" s="969"/>
      <c r="G73" s="970"/>
      <c r="H73" s="971"/>
      <c r="I73" s="972"/>
      <c r="J73" s="973"/>
    </row>
    <row r="74" spans="1:10" ht="21" customHeight="1" x14ac:dyDescent="0.3">
      <c r="A74" s="971"/>
      <c r="B74" s="554"/>
      <c r="C74" s="554"/>
      <c r="D74" s="968"/>
      <c r="E74" s="555" t="s">
        <v>1246</v>
      </c>
      <c r="F74" s="969"/>
      <c r="G74" s="970"/>
      <c r="H74" s="971"/>
      <c r="I74" s="972"/>
      <c r="J74" s="973"/>
    </row>
    <row r="75" spans="1:10" ht="21" customHeight="1" x14ac:dyDescent="0.3">
      <c r="A75" s="971"/>
      <c r="B75" s="554"/>
      <c r="C75" s="554"/>
      <c r="D75" s="968"/>
      <c r="E75" s="555"/>
      <c r="F75" s="969"/>
      <c r="G75" s="970"/>
      <c r="H75" s="971"/>
      <c r="I75" s="972"/>
      <c r="J75" s="973"/>
    </row>
    <row r="76" spans="1:10" ht="21" customHeight="1" x14ac:dyDescent="0.3">
      <c r="A76" s="971">
        <v>1</v>
      </c>
      <c r="B76" s="554" t="s">
        <v>21</v>
      </c>
      <c r="C76" s="554" t="s">
        <v>1504</v>
      </c>
      <c r="D76" s="968"/>
      <c r="E76" s="555">
        <v>2014</v>
      </c>
      <c r="F76" s="969" t="s">
        <v>1426</v>
      </c>
      <c r="G76" s="970"/>
      <c r="H76" s="971">
        <v>1</v>
      </c>
      <c r="I76" s="972"/>
      <c r="J76" s="973"/>
    </row>
    <row r="77" spans="1:10" ht="21" customHeight="1" x14ac:dyDescent="0.3">
      <c r="A77" s="971">
        <v>2</v>
      </c>
      <c r="B77" s="554" t="s">
        <v>21</v>
      </c>
      <c r="C77" s="554" t="s">
        <v>1392</v>
      </c>
      <c r="D77" s="968"/>
      <c r="E77" s="555">
        <v>2014</v>
      </c>
      <c r="F77" s="969" t="s">
        <v>460</v>
      </c>
      <c r="G77" s="970"/>
      <c r="H77" s="971">
        <v>2</v>
      </c>
      <c r="I77" s="972"/>
      <c r="J77" s="973"/>
    </row>
    <row r="78" spans="1:10" ht="21" customHeight="1" x14ac:dyDescent="0.3">
      <c r="A78" s="971">
        <v>3</v>
      </c>
      <c r="B78" s="554" t="s">
        <v>20</v>
      </c>
      <c r="C78" s="554" t="s">
        <v>1414</v>
      </c>
      <c r="D78" s="968"/>
      <c r="E78" s="555">
        <v>2013</v>
      </c>
      <c r="F78" s="969" t="s">
        <v>1381</v>
      </c>
      <c r="G78" s="970"/>
      <c r="H78" s="971">
        <v>3</v>
      </c>
      <c r="I78" s="972"/>
      <c r="J78" s="973"/>
    </row>
    <row r="79" spans="1:10" ht="21" customHeight="1" x14ac:dyDescent="0.3">
      <c r="A79" s="971">
        <v>4</v>
      </c>
      <c r="B79" s="554" t="s">
        <v>35</v>
      </c>
      <c r="C79" s="554" t="s">
        <v>1339</v>
      </c>
      <c r="D79" s="968"/>
      <c r="E79" s="555">
        <v>2013</v>
      </c>
      <c r="F79" s="969" t="s">
        <v>1426</v>
      </c>
      <c r="G79" s="970"/>
      <c r="H79" s="971">
        <v>4</v>
      </c>
      <c r="I79" s="972"/>
      <c r="J79" s="973"/>
    </row>
    <row r="80" spans="1:10" ht="21" customHeight="1" x14ac:dyDescent="0.3">
      <c r="A80" s="971">
        <v>5</v>
      </c>
      <c r="B80" s="554" t="s">
        <v>35</v>
      </c>
      <c r="C80" s="554" t="s">
        <v>1342</v>
      </c>
      <c r="D80" s="968"/>
      <c r="E80" s="555">
        <v>2014</v>
      </c>
      <c r="F80" s="969" t="s">
        <v>1450</v>
      </c>
      <c r="G80" s="970"/>
      <c r="H80" s="971">
        <v>5</v>
      </c>
      <c r="I80" s="972"/>
      <c r="J80" s="973"/>
    </row>
    <row r="81" spans="1:10" ht="21" customHeight="1" x14ac:dyDescent="0.3">
      <c r="A81" s="971">
        <v>6</v>
      </c>
      <c r="B81" s="554" t="s">
        <v>21</v>
      </c>
      <c r="C81" s="554" t="s">
        <v>1393</v>
      </c>
      <c r="D81" s="968"/>
      <c r="E81" s="555">
        <v>2014</v>
      </c>
      <c r="F81" s="969" t="s">
        <v>1426</v>
      </c>
      <c r="G81" s="970"/>
      <c r="H81" s="971">
        <v>6</v>
      </c>
      <c r="I81" s="972"/>
      <c r="J81" s="973"/>
    </row>
    <row r="82" spans="1:10" ht="21" customHeight="1" x14ac:dyDescent="0.3">
      <c r="A82" s="971"/>
      <c r="B82" s="554"/>
      <c r="C82" s="554"/>
      <c r="D82" s="968"/>
      <c r="E82" s="555"/>
      <c r="F82" s="969"/>
      <c r="G82" s="970"/>
      <c r="H82" s="971"/>
      <c r="I82" s="972"/>
      <c r="J82" s="973"/>
    </row>
    <row r="83" spans="1:10" ht="21" customHeight="1" x14ac:dyDescent="0.3">
      <c r="A83" s="971"/>
      <c r="B83" s="554"/>
      <c r="C83" s="554" t="s">
        <v>1558</v>
      </c>
      <c r="D83" s="968"/>
      <c r="E83" s="555"/>
      <c r="F83" s="969"/>
      <c r="G83" s="970"/>
      <c r="H83" s="971"/>
      <c r="I83" s="972"/>
      <c r="J83" s="973"/>
    </row>
    <row r="84" spans="1:10" ht="21" customHeight="1" x14ac:dyDescent="0.3">
      <c r="A84" s="971"/>
      <c r="B84" s="554"/>
      <c r="C84" s="554"/>
      <c r="D84" s="968"/>
      <c r="E84" s="555" t="s">
        <v>1247</v>
      </c>
      <c r="F84" s="969"/>
      <c r="G84" s="970"/>
      <c r="H84" s="971"/>
      <c r="I84" s="972"/>
      <c r="J84" s="973"/>
    </row>
    <row r="85" spans="1:10" ht="21" customHeight="1" x14ac:dyDescent="0.3">
      <c r="A85" s="971">
        <v>1</v>
      </c>
      <c r="B85" s="554"/>
      <c r="C85" s="554"/>
      <c r="D85" s="968"/>
      <c r="E85" s="555"/>
      <c r="F85" s="969"/>
      <c r="G85" s="970"/>
      <c r="H85" s="971">
        <v>1</v>
      </c>
      <c r="I85" s="972"/>
      <c r="J85" s="973"/>
    </row>
    <row r="86" spans="1:10" ht="21" customHeight="1" x14ac:dyDescent="0.3">
      <c r="A86" s="971">
        <v>2</v>
      </c>
      <c r="B86" s="554"/>
      <c r="C86" s="554"/>
      <c r="D86" s="968"/>
      <c r="E86" s="555"/>
      <c r="F86" s="969"/>
      <c r="G86" s="970"/>
      <c r="H86" s="971">
        <v>2</v>
      </c>
      <c r="I86" s="972"/>
      <c r="J86" s="973"/>
    </row>
    <row r="87" spans="1:10" ht="21" customHeight="1" x14ac:dyDescent="0.3">
      <c r="A87" s="971">
        <v>3</v>
      </c>
      <c r="B87" s="554" t="s">
        <v>21</v>
      </c>
      <c r="C87" s="554" t="s">
        <v>1518</v>
      </c>
      <c r="D87" s="968"/>
      <c r="E87" s="555">
        <v>2012</v>
      </c>
      <c r="F87" s="969" t="s">
        <v>1426</v>
      </c>
      <c r="G87" s="970"/>
      <c r="H87" s="971">
        <v>3</v>
      </c>
      <c r="I87" s="972"/>
      <c r="J87" s="973"/>
    </row>
    <row r="88" spans="1:10" ht="21" customHeight="1" x14ac:dyDescent="0.3">
      <c r="A88" s="971">
        <v>4</v>
      </c>
      <c r="B88" s="554" t="s">
        <v>20</v>
      </c>
      <c r="C88" s="554" t="s">
        <v>1358</v>
      </c>
      <c r="D88" s="968"/>
      <c r="E88" s="555">
        <v>2012</v>
      </c>
      <c r="F88" s="969" t="s">
        <v>1450</v>
      </c>
      <c r="G88" s="970"/>
      <c r="H88" s="971">
        <v>4</v>
      </c>
      <c r="I88" s="972"/>
      <c r="J88" s="973"/>
    </row>
    <row r="89" spans="1:10" ht="21" customHeight="1" x14ac:dyDescent="0.3">
      <c r="A89" s="971">
        <v>5</v>
      </c>
      <c r="B89" s="554"/>
      <c r="C89" s="554"/>
      <c r="D89" s="968"/>
      <c r="E89" s="555"/>
      <c r="F89" s="969"/>
      <c r="G89" s="970"/>
      <c r="H89" s="971">
        <v>5</v>
      </c>
      <c r="I89" s="972"/>
      <c r="J89" s="973"/>
    </row>
    <row r="90" spans="1:10" ht="21" customHeight="1" x14ac:dyDescent="0.3">
      <c r="A90" s="971">
        <v>6</v>
      </c>
      <c r="B90" s="554"/>
      <c r="C90" s="554"/>
      <c r="D90" s="968"/>
      <c r="E90" s="555"/>
      <c r="F90" s="969"/>
      <c r="G90" s="970"/>
      <c r="H90" s="971">
        <v>6</v>
      </c>
      <c r="I90" s="972"/>
      <c r="J90" s="973"/>
    </row>
    <row r="91" spans="1:10" ht="21" customHeight="1" x14ac:dyDescent="0.3">
      <c r="A91" s="971"/>
      <c r="B91" s="554"/>
      <c r="C91" s="554"/>
      <c r="D91" s="968"/>
      <c r="E91" s="555" t="s">
        <v>1248</v>
      </c>
      <c r="F91" s="969"/>
      <c r="G91" s="970"/>
      <c r="H91" s="971"/>
      <c r="I91" s="972"/>
      <c r="J91" s="973"/>
    </row>
    <row r="92" spans="1:10" ht="21" customHeight="1" x14ac:dyDescent="0.3">
      <c r="A92" s="971"/>
      <c r="B92" s="554"/>
      <c r="C92" s="554"/>
      <c r="D92" s="968"/>
      <c r="E92" s="555"/>
      <c r="F92" s="969"/>
      <c r="G92" s="970"/>
      <c r="H92" s="971"/>
      <c r="I92" s="972"/>
      <c r="J92" s="973"/>
    </row>
    <row r="93" spans="1:10" ht="21" customHeight="1" x14ac:dyDescent="0.3">
      <c r="A93" s="971">
        <v>1</v>
      </c>
      <c r="B93" s="554" t="s">
        <v>20</v>
      </c>
      <c r="C93" s="554" t="s">
        <v>1359</v>
      </c>
      <c r="D93" s="968"/>
      <c r="E93" s="555">
        <v>2012</v>
      </c>
      <c r="F93" s="969" t="s">
        <v>1443</v>
      </c>
      <c r="G93" s="970"/>
      <c r="H93" s="971">
        <v>1</v>
      </c>
      <c r="I93" s="972"/>
      <c r="J93" s="973"/>
    </row>
    <row r="94" spans="1:10" ht="21" customHeight="1" x14ac:dyDescent="0.3">
      <c r="A94" s="971">
        <v>2</v>
      </c>
      <c r="B94" s="554" t="s">
        <v>35</v>
      </c>
      <c r="C94" s="554" t="s">
        <v>1363</v>
      </c>
      <c r="D94" s="968"/>
      <c r="E94" s="555">
        <v>2012</v>
      </c>
      <c r="F94" s="969" t="s">
        <v>1434</v>
      </c>
      <c r="G94" s="970"/>
      <c r="H94" s="971">
        <v>2</v>
      </c>
      <c r="I94" s="972"/>
      <c r="J94" s="973"/>
    </row>
    <row r="95" spans="1:10" ht="21" customHeight="1" x14ac:dyDescent="0.3">
      <c r="A95" s="971">
        <v>3</v>
      </c>
      <c r="B95" s="554" t="s">
        <v>24</v>
      </c>
      <c r="C95" s="554" t="s">
        <v>1365</v>
      </c>
      <c r="D95" s="968"/>
      <c r="E95" s="555">
        <v>2012</v>
      </c>
      <c r="F95" s="969" t="s">
        <v>1450</v>
      </c>
      <c r="G95" s="970"/>
      <c r="H95" s="971">
        <v>3</v>
      </c>
      <c r="I95" s="972"/>
      <c r="J95" s="973"/>
    </row>
    <row r="96" spans="1:10" ht="21" customHeight="1" x14ac:dyDescent="0.3">
      <c r="A96" s="971">
        <v>4</v>
      </c>
      <c r="B96" s="554" t="s">
        <v>24</v>
      </c>
      <c r="C96" s="554" t="s">
        <v>1333</v>
      </c>
      <c r="D96" s="968"/>
      <c r="E96" s="555">
        <v>2011</v>
      </c>
      <c r="F96" s="969" t="s">
        <v>1426</v>
      </c>
      <c r="G96" s="970"/>
      <c r="H96" s="971">
        <v>4</v>
      </c>
      <c r="I96" s="972"/>
      <c r="J96" s="973"/>
    </row>
    <row r="97" spans="1:10" ht="21" customHeight="1" x14ac:dyDescent="0.3">
      <c r="A97" s="971">
        <v>5</v>
      </c>
      <c r="B97" s="554" t="s">
        <v>35</v>
      </c>
      <c r="C97" s="554" t="s">
        <v>1334</v>
      </c>
      <c r="D97" s="968"/>
      <c r="E97" s="555">
        <v>2012</v>
      </c>
      <c r="F97" s="969" t="s">
        <v>1426</v>
      </c>
      <c r="G97" s="970"/>
      <c r="H97" s="971">
        <v>5</v>
      </c>
      <c r="I97" s="972"/>
      <c r="J97" s="973"/>
    </row>
    <row r="98" spans="1:10" ht="21" customHeight="1" x14ac:dyDescent="0.3">
      <c r="A98" s="971">
        <v>6</v>
      </c>
      <c r="B98" s="554" t="s">
        <v>20</v>
      </c>
      <c r="C98" s="554" t="s">
        <v>1387</v>
      </c>
      <c r="D98" s="968"/>
      <c r="E98" s="555">
        <v>2012</v>
      </c>
      <c r="F98" s="969" t="s">
        <v>1450</v>
      </c>
      <c r="G98" s="970"/>
      <c r="H98" s="971">
        <v>6</v>
      </c>
      <c r="I98" s="972"/>
      <c r="J98" s="973"/>
    </row>
    <row r="99" spans="1:10" ht="21" customHeight="1" x14ac:dyDescent="0.3">
      <c r="A99" s="971"/>
      <c r="B99" s="554"/>
      <c r="C99" s="554"/>
      <c r="D99" s="968"/>
      <c r="E99" s="555"/>
      <c r="F99" s="969"/>
      <c r="G99" s="970"/>
      <c r="H99" s="971"/>
      <c r="I99" s="972"/>
      <c r="J99" s="973"/>
    </row>
    <row r="100" spans="1:10" ht="21" customHeight="1" x14ac:dyDescent="0.3">
      <c r="A100" s="971"/>
      <c r="B100" s="554"/>
      <c r="C100" s="554" t="s">
        <v>1559</v>
      </c>
      <c r="D100" s="968"/>
      <c r="E100" s="555"/>
      <c r="F100" s="969"/>
      <c r="G100" s="970"/>
      <c r="H100" s="971"/>
      <c r="I100" s="972"/>
      <c r="J100" s="973"/>
    </row>
    <row r="101" spans="1:10" ht="21" customHeight="1" x14ac:dyDescent="0.3">
      <c r="A101" s="971"/>
      <c r="B101" s="554"/>
      <c r="C101" s="554"/>
      <c r="D101" s="968"/>
      <c r="E101" s="555" t="s">
        <v>1249</v>
      </c>
      <c r="F101" s="969"/>
      <c r="G101" s="970"/>
      <c r="H101" s="971"/>
      <c r="I101" s="972"/>
      <c r="J101" s="973"/>
    </row>
    <row r="102" spans="1:10" ht="21" customHeight="1" x14ac:dyDescent="0.3">
      <c r="A102" s="971">
        <v>1</v>
      </c>
      <c r="B102" s="554" t="s">
        <v>24</v>
      </c>
      <c r="C102" s="554" t="s">
        <v>1310</v>
      </c>
      <c r="D102" s="968"/>
      <c r="E102" s="555">
        <v>2010</v>
      </c>
      <c r="F102" s="969" t="s">
        <v>1426</v>
      </c>
      <c r="G102" s="970"/>
      <c r="H102" s="971">
        <v>1</v>
      </c>
      <c r="I102" s="972"/>
      <c r="J102" s="973"/>
    </row>
    <row r="103" spans="1:10" ht="21" customHeight="1" x14ac:dyDescent="0.3">
      <c r="A103" s="971">
        <v>2</v>
      </c>
      <c r="B103" s="554" t="s">
        <v>23</v>
      </c>
      <c r="C103" s="554" t="s">
        <v>1323</v>
      </c>
      <c r="D103" s="968"/>
      <c r="E103" s="555">
        <v>2010</v>
      </c>
      <c r="F103" s="969" t="s">
        <v>1450</v>
      </c>
      <c r="G103" s="970"/>
      <c r="H103" s="971">
        <v>2</v>
      </c>
      <c r="I103" s="972"/>
      <c r="J103" s="973"/>
    </row>
    <row r="104" spans="1:10" ht="21" customHeight="1" x14ac:dyDescent="0.3">
      <c r="A104" s="971">
        <v>3</v>
      </c>
      <c r="B104" s="554" t="s">
        <v>23</v>
      </c>
      <c r="C104" s="554" t="s">
        <v>1301</v>
      </c>
      <c r="D104" s="968"/>
      <c r="E104" s="555">
        <v>2010</v>
      </c>
      <c r="F104" s="969" t="s">
        <v>1426</v>
      </c>
      <c r="G104" s="970"/>
      <c r="H104" s="971">
        <v>3</v>
      </c>
      <c r="I104" s="972"/>
      <c r="J104" s="973"/>
    </row>
    <row r="105" spans="1:10" ht="21" customHeight="1" x14ac:dyDescent="0.3">
      <c r="A105" s="971">
        <v>4</v>
      </c>
      <c r="B105" s="554" t="s">
        <v>34</v>
      </c>
      <c r="C105" s="554" t="s">
        <v>1543</v>
      </c>
      <c r="D105" s="968"/>
      <c r="E105" s="555">
        <v>2008</v>
      </c>
      <c r="F105" s="969" t="s">
        <v>1434</v>
      </c>
      <c r="G105" s="970"/>
      <c r="H105" s="971">
        <v>4</v>
      </c>
      <c r="I105" s="972"/>
      <c r="J105" s="973"/>
    </row>
    <row r="106" spans="1:10" ht="21" customHeight="1" x14ac:dyDescent="0.3">
      <c r="A106" s="971">
        <v>5</v>
      </c>
      <c r="B106" s="554" t="s">
        <v>23</v>
      </c>
      <c r="C106" s="554" t="s">
        <v>1530</v>
      </c>
      <c r="D106" s="968"/>
      <c r="E106" s="555">
        <v>2010</v>
      </c>
      <c r="F106" s="969" t="s">
        <v>1434</v>
      </c>
      <c r="G106" s="970"/>
      <c r="H106" s="971">
        <v>5</v>
      </c>
      <c r="I106" s="972"/>
      <c r="J106" s="973"/>
    </row>
    <row r="107" spans="1:10" ht="21" customHeight="1" x14ac:dyDescent="0.3">
      <c r="A107" s="971">
        <v>6</v>
      </c>
      <c r="B107" s="554" t="s">
        <v>35</v>
      </c>
      <c r="C107" s="554" t="s">
        <v>1550</v>
      </c>
      <c r="D107" s="968"/>
      <c r="E107" s="555">
        <v>2010</v>
      </c>
      <c r="F107" s="969" t="s">
        <v>460</v>
      </c>
      <c r="G107" s="970"/>
      <c r="H107" s="971">
        <v>6</v>
      </c>
      <c r="I107" s="972"/>
      <c r="J107" s="973"/>
    </row>
    <row r="108" spans="1:10" ht="64.8" customHeight="1" x14ac:dyDescent="0.3">
      <c r="A108" s="971"/>
      <c r="B108" s="554"/>
      <c r="C108" s="554"/>
      <c r="D108" s="968"/>
      <c r="E108" s="555"/>
      <c r="F108" s="969"/>
      <c r="G108" s="970"/>
      <c r="H108" s="971"/>
      <c r="I108" s="972"/>
      <c r="J108" s="973"/>
    </row>
    <row r="109" spans="1:10" ht="21" customHeight="1" x14ac:dyDescent="0.3">
      <c r="A109" s="971"/>
      <c r="B109" s="554"/>
      <c r="C109" s="554" t="s">
        <v>1560</v>
      </c>
      <c r="D109" s="968"/>
      <c r="E109" s="555"/>
      <c r="F109" s="969"/>
      <c r="G109" s="970"/>
      <c r="H109" s="971"/>
      <c r="I109" s="972"/>
      <c r="J109" s="973"/>
    </row>
    <row r="110" spans="1:10" ht="21" customHeight="1" x14ac:dyDescent="0.3">
      <c r="A110" s="971"/>
      <c r="B110" s="554"/>
      <c r="C110" s="554"/>
      <c r="D110" s="968"/>
      <c r="E110" s="555" t="s">
        <v>1251</v>
      </c>
      <c r="F110" s="969"/>
      <c r="G110" s="970"/>
      <c r="H110" s="971"/>
      <c r="I110" s="972"/>
      <c r="J110" s="973"/>
    </row>
    <row r="111" spans="1:10" ht="21" customHeight="1" x14ac:dyDescent="0.3">
      <c r="A111" s="971"/>
      <c r="B111" s="554"/>
      <c r="C111" s="554"/>
      <c r="D111" s="968"/>
      <c r="E111" s="555"/>
      <c r="F111" s="969"/>
      <c r="G111" s="970"/>
      <c r="H111" s="971"/>
      <c r="I111" s="972"/>
      <c r="J111" s="973"/>
    </row>
    <row r="112" spans="1:10" ht="21" customHeight="1" x14ac:dyDescent="0.3">
      <c r="A112" s="971">
        <v>1</v>
      </c>
      <c r="B112" s="554"/>
      <c r="C112" s="554"/>
      <c r="D112" s="968"/>
      <c r="E112" s="555"/>
      <c r="F112" s="969"/>
      <c r="G112" s="970"/>
      <c r="H112" s="971">
        <v>1</v>
      </c>
      <c r="I112" s="972"/>
      <c r="J112" s="973"/>
    </row>
    <row r="113" spans="1:10" ht="21" customHeight="1" x14ac:dyDescent="0.3">
      <c r="A113" s="971">
        <v>2</v>
      </c>
      <c r="B113" s="554" t="s">
        <v>21</v>
      </c>
      <c r="C113" s="554" t="s">
        <v>1427</v>
      </c>
      <c r="D113" s="968"/>
      <c r="E113" s="555">
        <v>2015</v>
      </c>
      <c r="F113" s="969" t="s">
        <v>1426</v>
      </c>
      <c r="G113" s="970"/>
      <c r="H113" s="971">
        <v>2</v>
      </c>
      <c r="I113" s="972"/>
      <c r="J113" s="973"/>
    </row>
    <row r="114" spans="1:10" ht="21" customHeight="1" x14ac:dyDescent="0.3">
      <c r="A114" s="971">
        <v>3</v>
      </c>
      <c r="B114" s="554" t="s">
        <v>35</v>
      </c>
      <c r="C114" s="554" t="s">
        <v>1424</v>
      </c>
      <c r="D114" s="968"/>
      <c r="E114" s="555">
        <v>2015</v>
      </c>
      <c r="F114" s="969" t="s">
        <v>1289</v>
      </c>
      <c r="G114" s="970"/>
      <c r="H114" s="971">
        <v>3</v>
      </c>
      <c r="I114" s="972"/>
      <c r="J114" s="973"/>
    </row>
    <row r="115" spans="1:10" ht="21" customHeight="1" x14ac:dyDescent="0.3">
      <c r="A115" s="971">
        <v>4</v>
      </c>
      <c r="B115" s="554" t="s">
        <v>20</v>
      </c>
      <c r="C115" s="554" t="s">
        <v>1429</v>
      </c>
      <c r="D115" s="968"/>
      <c r="E115" s="555">
        <v>2016</v>
      </c>
      <c r="F115" s="969" t="s">
        <v>1289</v>
      </c>
      <c r="G115" s="970"/>
      <c r="H115" s="971">
        <v>4</v>
      </c>
      <c r="I115" s="972"/>
      <c r="J115" s="973"/>
    </row>
    <row r="116" spans="1:10" ht="21" customHeight="1" x14ac:dyDescent="0.3">
      <c r="A116" s="971">
        <v>5</v>
      </c>
      <c r="B116" s="554" t="s">
        <v>25</v>
      </c>
      <c r="C116" s="554" t="s">
        <v>1425</v>
      </c>
      <c r="D116" s="968"/>
      <c r="E116" s="555">
        <v>2015</v>
      </c>
      <c r="F116" s="969" t="s">
        <v>1426</v>
      </c>
      <c r="G116" s="970"/>
      <c r="H116" s="971">
        <v>5</v>
      </c>
      <c r="I116" s="972"/>
      <c r="J116" s="973"/>
    </row>
    <row r="117" spans="1:10" ht="21" customHeight="1" x14ac:dyDescent="0.3">
      <c r="A117" s="971">
        <v>6</v>
      </c>
      <c r="B117" s="554"/>
      <c r="C117" s="554"/>
      <c r="D117" s="968"/>
      <c r="E117" s="555"/>
      <c r="F117" s="969"/>
      <c r="G117" s="970"/>
      <c r="H117" s="971">
        <v>6</v>
      </c>
      <c r="I117" s="972"/>
      <c r="J117" s="973"/>
    </row>
    <row r="118" spans="1:10" ht="21" customHeight="1" x14ac:dyDescent="0.3">
      <c r="A118" s="971"/>
      <c r="B118" s="554"/>
      <c r="C118" s="554"/>
      <c r="D118" s="968"/>
      <c r="E118" s="555"/>
      <c r="F118" s="969"/>
      <c r="G118" s="970"/>
      <c r="H118" s="971"/>
      <c r="I118" s="972"/>
      <c r="J118" s="973"/>
    </row>
    <row r="119" spans="1:10" ht="21" customHeight="1" x14ac:dyDescent="0.3">
      <c r="A119" s="971"/>
      <c r="B119" s="554"/>
      <c r="C119" s="554" t="s">
        <v>1561</v>
      </c>
      <c r="D119" s="968"/>
      <c r="E119" s="555"/>
      <c r="F119" s="969"/>
      <c r="G119" s="970"/>
      <c r="H119" s="971"/>
      <c r="I119" s="972"/>
      <c r="J119" s="973"/>
    </row>
    <row r="120" spans="1:10" ht="21" customHeight="1" x14ac:dyDescent="0.3">
      <c r="A120" s="971"/>
      <c r="B120" s="554"/>
      <c r="C120" s="554"/>
      <c r="D120" s="968"/>
      <c r="E120" s="555" t="s">
        <v>1252</v>
      </c>
      <c r="F120" s="969"/>
      <c r="G120" s="970"/>
      <c r="H120" s="971"/>
      <c r="I120" s="972"/>
      <c r="J120" s="973"/>
    </row>
    <row r="121" spans="1:10" ht="21" customHeight="1" x14ac:dyDescent="0.3">
      <c r="A121" s="971">
        <v>1</v>
      </c>
      <c r="B121" s="554" t="s">
        <v>35</v>
      </c>
      <c r="C121" s="554" t="s">
        <v>1384</v>
      </c>
      <c r="D121" s="968"/>
      <c r="E121" s="555">
        <v>2014</v>
      </c>
      <c r="F121" s="969" t="s">
        <v>1426</v>
      </c>
      <c r="G121" s="970"/>
      <c r="H121" s="971">
        <v>1</v>
      </c>
      <c r="I121" s="972"/>
      <c r="J121" s="973"/>
    </row>
    <row r="122" spans="1:10" ht="21" customHeight="1" x14ac:dyDescent="0.3">
      <c r="A122" s="971">
        <v>2</v>
      </c>
      <c r="B122" s="554" t="s">
        <v>25</v>
      </c>
      <c r="C122" s="554" t="s">
        <v>1441</v>
      </c>
      <c r="D122" s="968"/>
      <c r="E122" s="555">
        <v>2013</v>
      </c>
      <c r="F122" s="969" t="s">
        <v>1433</v>
      </c>
      <c r="G122" s="970"/>
      <c r="H122" s="971">
        <v>2</v>
      </c>
      <c r="I122" s="972"/>
      <c r="J122" s="973"/>
    </row>
    <row r="123" spans="1:10" ht="21" customHeight="1" x14ac:dyDescent="0.3">
      <c r="A123" s="971">
        <v>3</v>
      </c>
      <c r="B123" s="554" t="s">
        <v>1303</v>
      </c>
      <c r="C123" s="554" t="s">
        <v>1442</v>
      </c>
      <c r="D123" s="968"/>
      <c r="E123" s="555">
        <v>2014</v>
      </c>
      <c r="F123" s="969" t="s">
        <v>1289</v>
      </c>
      <c r="G123" s="970"/>
      <c r="H123" s="971">
        <v>3</v>
      </c>
      <c r="I123" s="972"/>
      <c r="J123" s="973"/>
    </row>
    <row r="124" spans="1:10" ht="21" customHeight="1" x14ac:dyDescent="0.3">
      <c r="A124" s="971">
        <v>4</v>
      </c>
      <c r="B124" s="554" t="s">
        <v>35</v>
      </c>
      <c r="C124" s="554" t="s">
        <v>1385</v>
      </c>
      <c r="D124" s="968"/>
      <c r="E124" s="555">
        <v>2014</v>
      </c>
      <c r="F124" s="969" t="s">
        <v>1426</v>
      </c>
      <c r="G124" s="970"/>
      <c r="H124" s="971">
        <v>4</v>
      </c>
      <c r="I124" s="972"/>
      <c r="J124" s="973"/>
    </row>
    <row r="125" spans="1:10" ht="21" customHeight="1" x14ac:dyDescent="0.3">
      <c r="A125" s="971">
        <v>5</v>
      </c>
      <c r="B125" s="554" t="s">
        <v>25</v>
      </c>
      <c r="C125" s="554" t="s">
        <v>1444</v>
      </c>
      <c r="D125" s="968"/>
      <c r="E125" s="555">
        <v>2013</v>
      </c>
      <c r="F125" s="969" t="s">
        <v>1250</v>
      </c>
      <c r="G125" s="970"/>
      <c r="H125" s="971">
        <v>5</v>
      </c>
      <c r="I125" s="972"/>
      <c r="J125" s="973"/>
    </row>
    <row r="126" spans="1:10" ht="21" customHeight="1" x14ac:dyDescent="0.3">
      <c r="A126" s="971">
        <v>6</v>
      </c>
      <c r="B126" s="554" t="s">
        <v>25</v>
      </c>
      <c r="C126" s="554" t="s">
        <v>1582</v>
      </c>
      <c r="D126" s="968"/>
      <c r="E126" s="555">
        <v>2013</v>
      </c>
      <c r="F126" s="969" t="s">
        <v>1250</v>
      </c>
      <c r="G126" s="970"/>
      <c r="H126" s="971">
        <v>6</v>
      </c>
      <c r="I126" s="972"/>
      <c r="J126" s="973"/>
    </row>
    <row r="127" spans="1:10" ht="21" customHeight="1" x14ac:dyDescent="0.3">
      <c r="A127" s="971"/>
      <c r="B127" s="554"/>
      <c r="C127" s="554"/>
      <c r="D127" s="968"/>
      <c r="E127" s="555"/>
      <c r="F127" s="969"/>
      <c r="G127" s="970"/>
      <c r="H127" s="971"/>
      <c r="I127" s="972"/>
      <c r="J127" s="973"/>
    </row>
    <row r="128" spans="1:10" ht="21" customHeight="1" x14ac:dyDescent="0.3">
      <c r="A128" s="971"/>
      <c r="B128" s="554"/>
      <c r="C128" s="554"/>
      <c r="D128" s="968"/>
      <c r="E128" s="555" t="s">
        <v>1253</v>
      </c>
      <c r="F128" s="969"/>
      <c r="G128" s="970"/>
      <c r="H128" s="971"/>
      <c r="I128" s="972"/>
      <c r="J128" s="973"/>
    </row>
    <row r="129" spans="1:10" ht="21" customHeight="1" x14ac:dyDescent="0.3">
      <c r="A129" s="971">
        <v>1</v>
      </c>
      <c r="B129" s="554" t="s">
        <v>20</v>
      </c>
      <c r="C129" s="554" t="s">
        <v>1438</v>
      </c>
      <c r="D129" s="968"/>
      <c r="E129" s="555">
        <v>2014</v>
      </c>
      <c r="F129" s="969" t="s">
        <v>1426</v>
      </c>
      <c r="G129" s="970"/>
      <c r="H129" s="971">
        <v>1</v>
      </c>
      <c r="I129" s="972"/>
      <c r="J129" s="973"/>
    </row>
    <row r="130" spans="1:10" ht="21" customHeight="1" x14ac:dyDescent="0.3">
      <c r="A130" s="971">
        <v>2</v>
      </c>
      <c r="B130" s="554" t="s">
        <v>20</v>
      </c>
      <c r="C130" s="554" t="s">
        <v>1386</v>
      </c>
      <c r="D130" s="968"/>
      <c r="E130" s="555">
        <v>2014</v>
      </c>
      <c r="F130" s="969" t="s">
        <v>1426</v>
      </c>
      <c r="G130" s="970"/>
      <c r="H130" s="971">
        <v>2</v>
      </c>
      <c r="I130" s="972"/>
      <c r="J130" s="973"/>
    </row>
    <row r="131" spans="1:10" ht="21" customHeight="1" x14ac:dyDescent="0.3">
      <c r="A131" s="971">
        <v>3</v>
      </c>
      <c r="B131" s="554" t="s">
        <v>21</v>
      </c>
      <c r="C131" s="554" t="s">
        <v>1440</v>
      </c>
      <c r="D131" s="968"/>
      <c r="E131" s="555">
        <v>2013</v>
      </c>
      <c r="F131" s="969" t="s">
        <v>1381</v>
      </c>
      <c r="G131" s="970"/>
      <c r="H131" s="971">
        <v>3</v>
      </c>
      <c r="I131" s="972"/>
      <c r="J131" s="973"/>
    </row>
    <row r="132" spans="1:10" ht="21" customHeight="1" x14ac:dyDescent="0.3">
      <c r="A132" s="971">
        <v>4</v>
      </c>
      <c r="B132" s="554" t="s">
        <v>20</v>
      </c>
      <c r="C132" s="554" t="s">
        <v>1382</v>
      </c>
      <c r="D132" s="968"/>
      <c r="E132" s="555">
        <v>2013</v>
      </c>
      <c r="F132" s="969" t="s">
        <v>1443</v>
      </c>
      <c r="G132" s="970"/>
      <c r="H132" s="971">
        <v>4</v>
      </c>
      <c r="I132" s="972"/>
      <c r="J132" s="973"/>
    </row>
    <row r="133" spans="1:10" ht="21" customHeight="1" x14ac:dyDescent="0.3">
      <c r="A133" s="971">
        <v>5</v>
      </c>
      <c r="B133" s="554" t="s">
        <v>20</v>
      </c>
      <c r="C133" s="554" t="s">
        <v>1439</v>
      </c>
      <c r="D133" s="968"/>
      <c r="E133" s="555">
        <v>2013</v>
      </c>
      <c r="F133" s="969" t="s">
        <v>1433</v>
      </c>
      <c r="G133" s="970"/>
      <c r="H133" s="971">
        <v>5</v>
      </c>
      <c r="I133" s="972"/>
      <c r="J133" s="973"/>
    </row>
    <row r="134" spans="1:10" ht="21" customHeight="1" x14ac:dyDescent="0.3">
      <c r="A134" s="971">
        <v>6</v>
      </c>
      <c r="B134" s="554" t="s">
        <v>20</v>
      </c>
      <c r="C134" s="554" t="s">
        <v>1437</v>
      </c>
      <c r="D134" s="968"/>
      <c r="E134" s="555">
        <v>2013</v>
      </c>
      <c r="F134" s="969" t="s">
        <v>1433</v>
      </c>
      <c r="G134" s="970"/>
      <c r="H134" s="971">
        <v>6</v>
      </c>
      <c r="I134" s="972"/>
      <c r="J134" s="973"/>
    </row>
    <row r="135" spans="1:10" ht="21" customHeight="1" x14ac:dyDescent="0.3">
      <c r="A135" s="971"/>
      <c r="B135" s="554"/>
      <c r="C135" s="554"/>
      <c r="D135" s="968"/>
      <c r="E135" s="555" t="s">
        <v>1254</v>
      </c>
      <c r="F135" s="969"/>
      <c r="G135" s="970"/>
      <c r="H135" s="971"/>
      <c r="I135" s="972"/>
      <c r="J135" s="973"/>
    </row>
    <row r="136" spans="1:10" ht="21" customHeight="1" x14ac:dyDescent="0.3">
      <c r="A136" s="971">
        <v>1</v>
      </c>
      <c r="B136" s="554" t="s">
        <v>35</v>
      </c>
      <c r="C136" s="554" t="s">
        <v>1581</v>
      </c>
      <c r="D136" s="968"/>
      <c r="E136" s="555">
        <v>2014</v>
      </c>
      <c r="F136" s="969" t="s">
        <v>1381</v>
      </c>
      <c r="G136" s="970"/>
      <c r="H136" s="971">
        <v>1</v>
      </c>
      <c r="I136" s="972"/>
      <c r="J136" s="973"/>
    </row>
    <row r="137" spans="1:10" ht="21" customHeight="1" x14ac:dyDescent="0.3">
      <c r="A137" s="971">
        <v>2</v>
      </c>
      <c r="B137" s="554" t="s">
        <v>20</v>
      </c>
      <c r="C137" s="554" t="s">
        <v>1416</v>
      </c>
      <c r="D137" s="968"/>
      <c r="E137" s="555">
        <v>2013</v>
      </c>
      <c r="F137" s="969" t="s">
        <v>1426</v>
      </c>
      <c r="G137" s="970"/>
      <c r="H137" s="971">
        <v>2</v>
      </c>
      <c r="I137" s="972"/>
      <c r="J137" s="973"/>
    </row>
    <row r="138" spans="1:10" ht="21" customHeight="1" x14ac:dyDescent="0.3">
      <c r="A138" s="971">
        <v>3</v>
      </c>
      <c r="B138" s="554" t="s">
        <v>24</v>
      </c>
      <c r="C138" s="554" t="s">
        <v>1431</v>
      </c>
      <c r="D138" s="968"/>
      <c r="E138" s="555">
        <v>41449</v>
      </c>
      <c r="F138" s="969" t="s">
        <v>1430</v>
      </c>
      <c r="G138" s="970"/>
      <c r="H138" s="971">
        <v>3</v>
      </c>
      <c r="I138" s="972"/>
      <c r="J138" s="973"/>
    </row>
    <row r="139" spans="1:10" ht="21" customHeight="1" x14ac:dyDescent="0.3">
      <c r="A139" s="971">
        <v>4</v>
      </c>
      <c r="B139" s="554" t="s">
        <v>24</v>
      </c>
      <c r="C139" s="554" t="s">
        <v>1583</v>
      </c>
      <c r="D139" s="968"/>
      <c r="E139" s="555">
        <v>41302</v>
      </c>
      <c r="F139" s="969" t="s">
        <v>1430</v>
      </c>
      <c r="G139" s="970"/>
      <c r="H139" s="971">
        <v>4</v>
      </c>
      <c r="I139" s="972"/>
      <c r="J139" s="973"/>
    </row>
    <row r="140" spans="1:10" ht="21" customHeight="1" x14ac:dyDescent="0.3">
      <c r="A140" s="971">
        <v>5</v>
      </c>
      <c r="B140" s="554" t="s">
        <v>35</v>
      </c>
      <c r="C140" s="554" t="s">
        <v>1432</v>
      </c>
      <c r="D140" s="968"/>
      <c r="E140" s="555">
        <v>2013</v>
      </c>
      <c r="F140" s="969" t="s">
        <v>1433</v>
      </c>
      <c r="G140" s="970"/>
      <c r="H140" s="971">
        <v>5</v>
      </c>
      <c r="I140" s="972"/>
      <c r="J140" s="973"/>
    </row>
    <row r="141" spans="1:10" ht="21" customHeight="1" x14ac:dyDescent="0.3">
      <c r="A141" s="971">
        <v>6</v>
      </c>
      <c r="B141" s="554" t="s">
        <v>25</v>
      </c>
      <c r="C141" s="554" t="s">
        <v>1435</v>
      </c>
      <c r="D141" s="968"/>
      <c r="E141" s="555">
        <v>2014</v>
      </c>
      <c r="F141" s="969" t="s">
        <v>1436</v>
      </c>
      <c r="G141" s="970"/>
      <c r="H141" s="971">
        <v>6</v>
      </c>
      <c r="I141" s="972"/>
      <c r="J141" s="973"/>
    </row>
    <row r="142" spans="1:10" ht="84.6" customHeight="1" x14ac:dyDescent="0.3">
      <c r="A142" s="971"/>
      <c r="B142" s="554"/>
      <c r="C142" s="554"/>
      <c r="D142" s="968"/>
      <c r="E142" s="555"/>
      <c r="F142" s="969"/>
      <c r="G142" s="970"/>
      <c r="H142" s="971"/>
      <c r="I142" s="972"/>
      <c r="J142" s="973"/>
    </row>
    <row r="143" spans="1:10" ht="21" customHeight="1" x14ac:dyDescent="0.3">
      <c r="A143" s="971"/>
      <c r="B143" s="554"/>
      <c r="C143" s="554" t="s">
        <v>1562</v>
      </c>
      <c r="D143" s="968"/>
      <c r="E143" s="555"/>
      <c r="F143" s="969"/>
      <c r="G143" s="970"/>
      <c r="H143" s="971"/>
      <c r="I143" s="972"/>
      <c r="J143" s="973"/>
    </row>
    <row r="144" spans="1:10" ht="21" customHeight="1" x14ac:dyDescent="0.3">
      <c r="A144" s="971"/>
      <c r="B144" s="554"/>
      <c r="C144" s="554"/>
      <c r="D144" s="968"/>
      <c r="E144" s="555" t="s">
        <v>1255</v>
      </c>
      <c r="F144" s="969"/>
      <c r="G144" s="970"/>
      <c r="H144" s="971"/>
      <c r="I144" s="972"/>
      <c r="J144" s="973"/>
    </row>
    <row r="145" spans="1:10" ht="21" customHeight="1" x14ac:dyDescent="0.3">
      <c r="A145" s="971">
        <v>1</v>
      </c>
      <c r="B145" s="554"/>
      <c r="C145" s="554"/>
      <c r="D145" s="968"/>
      <c r="E145" s="555"/>
      <c r="F145" s="969"/>
      <c r="G145" s="970"/>
      <c r="H145" s="971">
        <v>1</v>
      </c>
      <c r="I145" s="972"/>
      <c r="J145" s="973"/>
    </row>
    <row r="146" spans="1:10" ht="21" customHeight="1" x14ac:dyDescent="0.3">
      <c r="A146" s="971">
        <v>2</v>
      </c>
      <c r="B146" s="554" t="s">
        <v>25</v>
      </c>
      <c r="C146" s="554" t="s">
        <v>1445</v>
      </c>
      <c r="D146" s="968"/>
      <c r="E146" s="555">
        <v>2012</v>
      </c>
      <c r="F146" s="969" t="s">
        <v>1289</v>
      </c>
      <c r="G146" s="970"/>
      <c r="H146" s="971">
        <v>2</v>
      </c>
      <c r="I146" s="972"/>
      <c r="J146" s="973"/>
    </row>
    <row r="147" spans="1:10" ht="21" customHeight="1" x14ac:dyDescent="0.3">
      <c r="A147" s="971">
        <v>3</v>
      </c>
      <c r="B147" s="554" t="s">
        <v>35</v>
      </c>
      <c r="C147" s="554" t="s">
        <v>1446</v>
      </c>
      <c r="D147" s="968"/>
      <c r="E147" s="555">
        <v>2011</v>
      </c>
      <c r="F147" s="969" t="s">
        <v>1289</v>
      </c>
      <c r="G147" s="970"/>
      <c r="H147" s="971">
        <v>3</v>
      </c>
      <c r="I147" s="972"/>
      <c r="J147" s="973"/>
    </row>
    <row r="148" spans="1:10" ht="21" customHeight="1" x14ac:dyDescent="0.3">
      <c r="A148" s="971">
        <v>4</v>
      </c>
      <c r="B148" s="554" t="s">
        <v>21</v>
      </c>
      <c r="C148" s="554" t="s">
        <v>1454</v>
      </c>
      <c r="D148" s="968"/>
      <c r="E148" s="555">
        <v>2012</v>
      </c>
      <c r="F148" s="969" t="s">
        <v>1426</v>
      </c>
      <c r="G148" s="970"/>
      <c r="H148" s="971">
        <v>4</v>
      </c>
      <c r="I148" s="972"/>
      <c r="J148" s="973"/>
    </row>
    <row r="149" spans="1:10" ht="21" customHeight="1" x14ac:dyDescent="0.3">
      <c r="A149" s="971">
        <v>5</v>
      </c>
      <c r="B149" s="554" t="s">
        <v>24</v>
      </c>
      <c r="C149" s="554" t="s">
        <v>1461</v>
      </c>
      <c r="D149" s="968"/>
      <c r="E149" s="555">
        <v>2010</v>
      </c>
      <c r="F149" s="969" t="s">
        <v>1289</v>
      </c>
      <c r="G149" s="970"/>
      <c r="H149" s="971">
        <v>5</v>
      </c>
      <c r="I149" s="972"/>
      <c r="J149" s="973"/>
    </row>
    <row r="150" spans="1:10" ht="21" customHeight="1" x14ac:dyDescent="0.3">
      <c r="A150" s="971">
        <v>6</v>
      </c>
      <c r="B150" s="554" t="s">
        <v>35</v>
      </c>
      <c r="C150" s="554" t="s">
        <v>1462</v>
      </c>
      <c r="D150" s="968"/>
      <c r="E150" s="555">
        <v>2010</v>
      </c>
      <c r="F150" s="969" t="s">
        <v>1289</v>
      </c>
      <c r="G150" s="970"/>
      <c r="H150" s="971">
        <v>6</v>
      </c>
      <c r="I150" s="972"/>
      <c r="J150" s="973"/>
    </row>
    <row r="151" spans="1:10" ht="21" customHeight="1" x14ac:dyDescent="0.3">
      <c r="A151" s="971"/>
      <c r="B151" s="554"/>
      <c r="C151" s="554"/>
      <c r="D151" s="968"/>
      <c r="E151" s="555"/>
      <c r="F151" s="969"/>
      <c r="G151" s="970"/>
      <c r="H151" s="971"/>
      <c r="I151" s="972"/>
      <c r="J151" s="973"/>
    </row>
    <row r="152" spans="1:10" ht="21" customHeight="1" x14ac:dyDescent="0.3">
      <c r="A152" s="971"/>
      <c r="B152" s="554"/>
      <c r="C152" s="554"/>
      <c r="D152" s="968"/>
      <c r="E152" s="555" t="s">
        <v>1256</v>
      </c>
      <c r="F152" s="969"/>
      <c r="G152" s="970"/>
      <c r="H152" s="971"/>
      <c r="I152" s="972"/>
      <c r="J152" s="973"/>
    </row>
    <row r="153" spans="1:10" ht="21" customHeight="1" x14ac:dyDescent="0.3">
      <c r="A153" s="971"/>
      <c r="B153" s="554"/>
      <c r="C153" s="554"/>
      <c r="D153" s="968"/>
      <c r="E153" s="555"/>
      <c r="F153" s="969"/>
      <c r="G153" s="970"/>
      <c r="H153" s="971"/>
      <c r="I153" s="972"/>
      <c r="J153" s="973"/>
    </row>
    <row r="154" spans="1:10" ht="21" customHeight="1" x14ac:dyDescent="0.3">
      <c r="A154" s="971">
        <v>1</v>
      </c>
      <c r="B154" s="554" t="s">
        <v>35</v>
      </c>
      <c r="C154" s="554" t="s">
        <v>1447</v>
      </c>
      <c r="D154" s="968"/>
      <c r="E154" s="555">
        <v>2012</v>
      </c>
      <c r="F154" s="969" t="s">
        <v>1289</v>
      </c>
      <c r="G154" s="970"/>
      <c r="H154" s="971">
        <v>1</v>
      </c>
      <c r="I154" s="972"/>
      <c r="J154" s="973"/>
    </row>
    <row r="155" spans="1:10" ht="21" customHeight="1" x14ac:dyDescent="0.3">
      <c r="A155" s="971">
        <v>2</v>
      </c>
      <c r="B155" s="554" t="s">
        <v>35</v>
      </c>
      <c r="C155" s="554" t="s">
        <v>1449</v>
      </c>
      <c r="D155" s="968"/>
      <c r="E155" s="555">
        <v>2011</v>
      </c>
      <c r="F155" s="969" t="s">
        <v>1289</v>
      </c>
      <c r="G155" s="970"/>
      <c r="H155" s="971">
        <v>2</v>
      </c>
      <c r="I155" s="972"/>
      <c r="J155" s="973"/>
    </row>
    <row r="156" spans="1:10" ht="21" customHeight="1" x14ac:dyDescent="0.3">
      <c r="A156" s="971">
        <v>3</v>
      </c>
      <c r="B156" s="554" t="s">
        <v>35</v>
      </c>
      <c r="C156" s="554" t="s">
        <v>1404</v>
      </c>
      <c r="D156" s="968"/>
      <c r="E156" s="555">
        <v>2011</v>
      </c>
      <c r="F156" s="969" t="s">
        <v>1250</v>
      </c>
      <c r="G156" s="970"/>
      <c r="H156" s="971">
        <v>3</v>
      </c>
      <c r="I156" s="972"/>
      <c r="J156" s="973"/>
    </row>
    <row r="157" spans="1:10" ht="21" customHeight="1" x14ac:dyDescent="0.3">
      <c r="A157" s="971">
        <v>4</v>
      </c>
      <c r="B157" s="554" t="s">
        <v>23</v>
      </c>
      <c r="C157" s="554" t="s">
        <v>1347</v>
      </c>
      <c r="D157" s="968"/>
      <c r="E157" s="555">
        <v>2011</v>
      </c>
      <c r="F157" s="969" t="s">
        <v>1426</v>
      </c>
      <c r="G157" s="970"/>
      <c r="H157" s="971">
        <v>4</v>
      </c>
      <c r="I157" s="972"/>
      <c r="J157" s="973"/>
    </row>
    <row r="158" spans="1:10" ht="21" customHeight="1" x14ac:dyDescent="0.3">
      <c r="A158" s="971">
        <v>5</v>
      </c>
      <c r="B158" s="554" t="s">
        <v>25</v>
      </c>
      <c r="C158" s="554" t="s">
        <v>1402</v>
      </c>
      <c r="D158" s="968"/>
      <c r="E158" s="555">
        <v>2011</v>
      </c>
      <c r="F158" s="969" t="s">
        <v>1250</v>
      </c>
      <c r="G158" s="970"/>
      <c r="H158" s="971">
        <v>5</v>
      </c>
      <c r="I158" s="972"/>
      <c r="J158" s="973"/>
    </row>
    <row r="159" spans="1:10" ht="21" customHeight="1" x14ac:dyDescent="0.3">
      <c r="A159" s="971">
        <v>6</v>
      </c>
      <c r="B159" s="554" t="s">
        <v>35</v>
      </c>
      <c r="C159" s="554" t="s">
        <v>1448</v>
      </c>
      <c r="D159" s="968"/>
      <c r="E159" s="555">
        <v>2012</v>
      </c>
      <c r="F159" s="969" t="s">
        <v>1289</v>
      </c>
      <c r="G159" s="970"/>
      <c r="H159" s="971">
        <v>6</v>
      </c>
      <c r="I159" s="972"/>
      <c r="J159" s="973"/>
    </row>
    <row r="160" spans="1:10" ht="21" customHeight="1" x14ac:dyDescent="0.3">
      <c r="A160" s="971"/>
      <c r="B160" s="554"/>
      <c r="C160" s="554"/>
      <c r="D160" s="968"/>
      <c r="E160" s="555"/>
      <c r="F160" s="969"/>
      <c r="G160" s="970"/>
      <c r="H160" s="971"/>
      <c r="I160" s="972"/>
      <c r="J160" s="973"/>
    </row>
    <row r="161" spans="1:10" ht="21" customHeight="1" x14ac:dyDescent="0.3">
      <c r="A161" s="971"/>
      <c r="B161" s="554"/>
      <c r="C161" s="554"/>
      <c r="D161" s="968"/>
      <c r="E161" s="555" t="s">
        <v>1257</v>
      </c>
      <c r="F161" s="969"/>
      <c r="G161" s="970"/>
      <c r="H161" s="971"/>
      <c r="I161" s="972"/>
      <c r="J161" s="973"/>
    </row>
    <row r="162" spans="1:10" ht="21" customHeight="1" x14ac:dyDescent="0.3">
      <c r="A162" s="971">
        <v>1</v>
      </c>
      <c r="B162" s="554" t="s">
        <v>35</v>
      </c>
      <c r="C162" s="554" t="s">
        <v>1348</v>
      </c>
      <c r="D162" s="968"/>
      <c r="E162" s="555">
        <v>2012</v>
      </c>
      <c r="F162" s="969" t="s">
        <v>1443</v>
      </c>
      <c r="G162" s="970"/>
      <c r="H162" s="971">
        <v>1</v>
      </c>
      <c r="I162" s="972"/>
      <c r="J162" s="973"/>
    </row>
    <row r="163" spans="1:10" ht="21" customHeight="1" x14ac:dyDescent="0.3">
      <c r="A163" s="971">
        <v>2</v>
      </c>
      <c r="B163" s="554" t="s">
        <v>35</v>
      </c>
      <c r="C163" s="554" t="s">
        <v>1327</v>
      </c>
      <c r="D163" s="968"/>
      <c r="E163" s="555">
        <v>2012</v>
      </c>
      <c r="F163" s="969" t="s">
        <v>1450</v>
      </c>
      <c r="G163" s="970"/>
      <c r="H163" s="971">
        <v>2</v>
      </c>
      <c r="I163" s="972"/>
      <c r="J163" s="973"/>
    </row>
    <row r="164" spans="1:10" ht="21" customHeight="1" x14ac:dyDescent="0.3">
      <c r="A164" s="971">
        <v>3</v>
      </c>
      <c r="B164" s="554" t="s">
        <v>35</v>
      </c>
      <c r="C164" s="554" t="s">
        <v>1403</v>
      </c>
      <c r="D164" s="968"/>
      <c r="E164" s="555">
        <v>2011</v>
      </c>
      <c r="F164" s="969" t="s">
        <v>1381</v>
      </c>
      <c r="G164" s="970"/>
      <c r="H164" s="971">
        <v>3</v>
      </c>
      <c r="I164" s="972"/>
      <c r="J164" s="973"/>
    </row>
    <row r="165" spans="1:10" ht="21" customHeight="1" x14ac:dyDescent="0.3">
      <c r="A165" s="971">
        <v>4</v>
      </c>
      <c r="B165" s="554" t="s">
        <v>24</v>
      </c>
      <c r="C165" s="554" t="s">
        <v>1372</v>
      </c>
      <c r="D165" s="968"/>
      <c r="E165" s="555">
        <v>2012</v>
      </c>
      <c r="F165" s="969" t="s">
        <v>1443</v>
      </c>
      <c r="G165" s="970"/>
      <c r="H165" s="971">
        <v>4</v>
      </c>
      <c r="I165" s="972"/>
      <c r="J165" s="973"/>
    </row>
    <row r="166" spans="1:10" ht="21" customHeight="1" x14ac:dyDescent="0.3">
      <c r="A166" s="971">
        <v>5</v>
      </c>
      <c r="B166" s="554" t="s">
        <v>24</v>
      </c>
      <c r="C166" s="554" t="s">
        <v>1349</v>
      </c>
      <c r="D166" s="968"/>
      <c r="E166" s="555">
        <v>2012</v>
      </c>
      <c r="F166" s="969" t="s">
        <v>1426</v>
      </c>
      <c r="G166" s="970"/>
      <c r="H166" s="971">
        <v>5</v>
      </c>
      <c r="I166" s="972"/>
      <c r="J166" s="973"/>
    </row>
    <row r="167" spans="1:10" ht="21" customHeight="1" x14ac:dyDescent="0.3">
      <c r="A167" s="971">
        <v>6</v>
      </c>
      <c r="B167" s="554"/>
      <c r="C167" s="554"/>
      <c r="D167" s="968"/>
      <c r="E167" s="555"/>
      <c r="F167" s="969"/>
      <c r="G167" s="970"/>
      <c r="H167" s="971">
        <v>6</v>
      </c>
      <c r="I167" s="972"/>
      <c r="J167" s="973"/>
    </row>
    <row r="168" spans="1:10" ht="21" customHeight="1" x14ac:dyDescent="0.3">
      <c r="A168" s="971"/>
      <c r="B168" s="554"/>
      <c r="C168" s="554"/>
      <c r="D168" s="968"/>
      <c r="E168" s="555"/>
      <c r="F168" s="969"/>
      <c r="G168" s="970"/>
      <c r="H168" s="971"/>
      <c r="I168" s="972"/>
      <c r="J168" s="973"/>
    </row>
    <row r="169" spans="1:10" ht="21" customHeight="1" x14ac:dyDescent="0.3">
      <c r="A169" s="971"/>
      <c r="B169" s="554"/>
      <c r="C169" s="554"/>
      <c r="D169" s="968"/>
      <c r="E169" s="555" t="s">
        <v>1258</v>
      </c>
      <c r="F169" s="969"/>
      <c r="G169" s="970"/>
      <c r="H169" s="971"/>
      <c r="I169" s="972"/>
      <c r="J169" s="973"/>
    </row>
    <row r="170" spans="1:10" ht="21" customHeight="1" x14ac:dyDescent="0.3">
      <c r="A170" s="971">
        <v>1</v>
      </c>
      <c r="B170" s="554" t="s">
        <v>21</v>
      </c>
      <c r="C170" s="554" t="s">
        <v>1453</v>
      </c>
      <c r="D170" s="968"/>
      <c r="E170" s="555">
        <v>2012</v>
      </c>
      <c r="F170" s="969" t="s">
        <v>1381</v>
      </c>
      <c r="G170" s="970"/>
      <c r="H170" s="971">
        <v>1</v>
      </c>
      <c r="I170" s="972"/>
      <c r="J170" s="973"/>
    </row>
    <row r="171" spans="1:10" ht="21" customHeight="1" x14ac:dyDescent="0.3">
      <c r="A171" s="971">
        <v>2</v>
      </c>
      <c r="B171" s="554" t="s">
        <v>24</v>
      </c>
      <c r="C171" s="554" t="s">
        <v>1456</v>
      </c>
      <c r="D171" s="968"/>
      <c r="E171" s="555">
        <v>2011</v>
      </c>
      <c r="F171" s="969" t="s">
        <v>1250</v>
      </c>
      <c r="G171" s="970"/>
      <c r="H171" s="971">
        <v>2</v>
      </c>
      <c r="I171" s="972"/>
      <c r="J171" s="973"/>
    </row>
    <row r="172" spans="1:10" ht="21" customHeight="1" x14ac:dyDescent="0.3">
      <c r="A172" s="971">
        <v>3</v>
      </c>
      <c r="B172" s="554" t="s">
        <v>23</v>
      </c>
      <c r="C172" s="554" t="s">
        <v>1371</v>
      </c>
      <c r="D172" s="968"/>
      <c r="E172" s="555">
        <v>2011</v>
      </c>
      <c r="F172" s="969" t="s">
        <v>1426</v>
      </c>
      <c r="G172" s="970"/>
      <c r="H172" s="971">
        <v>3</v>
      </c>
      <c r="I172" s="972"/>
      <c r="J172" s="973"/>
    </row>
    <row r="173" spans="1:10" ht="21" customHeight="1" x14ac:dyDescent="0.3">
      <c r="A173" s="971">
        <v>4</v>
      </c>
      <c r="B173" s="554" t="s">
        <v>6</v>
      </c>
      <c r="C173" s="554" t="s">
        <v>1459</v>
      </c>
      <c r="D173" s="968"/>
      <c r="E173" s="555">
        <v>2011</v>
      </c>
      <c r="F173" s="969" t="s">
        <v>460</v>
      </c>
      <c r="G173" s="970"/>
      <c r="H173" s="971">
        <v>4</v>
      </c>
      <c r="I173" s="972"/>
      <c r="J173" s="973"/>
    </row>
    <row r="174" spans="1:10" ht="21" customHeight="1" x14ac:dyDescent="0.3">
      <c r="A174" s="971">
        <v>5</v>
      </c>
      <c r="B174" s="554" t="s">
        <v>24</v>
      </c>
      <c r="C174" s="554" t="s">
        <v>1458</v>
      </c>
      <c r="D174" s="968"/>
      <c r="E174" s="555">
        <v>2011</v>
      </c>
      <c r="F174" s="969" t="s">
        <v>1426</v>
      </c>
      <c r="G174" s="970"/>
      <c r="H174" s="971">
        <v>5</v>
      </c>
      <c r="I174" s="972"/>
      <c r="J174" s="973"/>
    </row>
    <row r="175" spans="1:10" ht="21" customHeight="1" x14ac:dyDescent="0.3">
      <c r="A175" s="971">
        <v>6</v>
      </c>
      <c r="B175" s="554" t="s">
        <v>23</v>
      </c>
      <c r="C175" s="554" t="s">
        <v>1457</v>
      </c>
      <c r="D175" s="968"/>
      <c r="E175" s="555">
        <v>2011</v>
      </c>
      <c r="F175" s="969" t="s">
        <v>1250</v>
      </c>
      <c r="G175" s="970"/>
      <c r="H175" s="971">
        <v>6</v>
      </c>
      <c r="I175" s="972"/>
      <c r="J175" s="973"/>
    </row>
    <row r="176" spans="1:10" ht="84" customHeight="1" x14ac:dyDescent="0.3">
      <c r="A176" s="971"/>
      <c r="B176" s="554"/>
      <c r="C176" s="554"/>
      <c r="D176" s="968"/>
      <c r="E176" s="555"/>
      <c r="F176" s="969"/>
      <c r="G176" s="970"/>
      <c r="H176" s="971"/>
      <c r="I176" s="972"/>
      <c r="J176" s="973"/>
    </row>
    <row r="177" spans="1:10" ht="21" customHeight="1" x14ac:dyDescent="0.3">
      <c r="A177" s="971"/>
      <c r="B177" s="554"/>
      <c r="C177" s="554" t="s">
        <v>1563</v>
      </c>
      <c r="D177" s="968"/>
      <c r="E177" s="555"/>
      <c r="F177" s="969"/>
      <c r="G177" s="970"/>
      <c r="H177" s="971"/>
      <c r="I177" s="972"/>
      <c r="J177" s="973"/>
    </row>
    <row r="178" spans="1:10" ht="21" customHeight="1" x14ac:dyDescent="0.3">
      <c r="A178" s="971"/>
      <c r="B178" s="554"/>
      <c r="C178" s="554"/>
      <c r="D178" s="968"/>
      <c r="E178" s="555" t="s">
        <v>1259</v>
      </c>
      <c r="F178" s="969"/>
      <c r="G178" s="970"/>
      <c r="H178" s="971"/>
      <c r="I178" s="972"/>
      <c r="J178" s="973"/>
    </row>
    <row r="179" spans="1:10" ht="21" customHeight="1" x14ac:dyDescent="0.3">
      <c r="A179" s="971">
        <v>1</v>
      </c>
      <c r="B179" s="554" t="s">
        <v>20</v>
      </c>
      <c r="C179" s="554" t="s">
        <v>1460</v>
      </c>
      <c r="D179" s="968"/>
      <c r="E179" s="555">
        <v>2009</v>
      </c>
      <c r="F179" s="969" t="s">
        <v>1434</v>
      </c>
      <c r="G179" s="970"/>
      <c r="H179" s="971">
        <v>1</v>
      </c>
      <c r="I179" s="972"/>
      <c r="J179" s="973"/>
    </row>
    <row r="180" spans="1:10" ht="21" customHeight="1" x14ac:dyDescent="0.3">
      <c r="A180" s="971">
        <v>2</v>
      </c>
      <c r="B180" s="554" t="s">
        <v>25</v>
      </c>
      <c r="C180" s="554" t="s">
        <v>1463</v>
      </c>
      <c r="D180" s="968"/>
      <c r="E180" s="555">
        <v>2010</v>
      </c>
      <c r="F180" s="969" t="s">
        <v>1452</v>
      </c>
      <c r="G180" s="970"/>
      <c r="H180" s="971">
        <v>2</v>
      </c>
      <c r="I180" s="972"/>
      <c r="J180" s="973"/>
    </row>
    <row r="181" spans="1:10" ht="21" customHeight="1" x14ac:dyDescent="0.3">
      <c r="A181" s="971">
        <v>3</v>
      </c>
      <c r="B181" s="554" t="s">
        <v>35</v>
      </c>
      <c r="C181" s="554" t="s">
        <v>1464</v>
      </c>
      <c r="D181" s="968"/>
      <c r="E181" s="555">
        <v>2009</v>
      </c>
      <c r="F181" s="969" t="s">
        <v>1426</v>
      </c>
      <c r="G181" s="970"/>
      <c r="H181" s="971">
        <v>3</v>
      </c>
      <c r="I181" s="972"/>
      <c r="J181" s="973"/>
    </row>
    <row r="182" spans="1:10" ht="21" customHeight="1" x14ac:dyDescent="0.3">
      <c r="A182" s="971">
        <v>4</v>
      </c>
      <c r="B182" s="554" t="s">
        <v>24</v>
      </c>
      <c r="C182" s="554" t="s">
        <v>1373</v>
      </c>
      <c r="D182" s="968"/>
      <c r="E182" s="555">
        <v>2010</v>
      </c>
      <c r="F182" s="969" t="s">
        <v>1381</v>
      </c>
      <c r="G182" s="970"/>
      <c r="H182" s="971">
        <v>4</v>
      </c>
      <c r="I182" s="972"/>
      <c r="J182" s="973"/>
    </row>
    <row r="183" spans="1:10" ht="21" customHeight="1" x14ac:dyDescent="0.3">
      <c r="A183" s="971">
        <v>5</v>
      </c>
      <c r="B183" s="554" t="s">
        <v>20</v>
      </c>
      <c r="C183" s="554" t="s">
        <v>1466</v>
      </c>
      <c r="D183" s="968"/>
      <c r="E183" s="555">
        <v>2009</v>
      </c>
      <c r="F183" s="969" t="s">
        <v>1450</v>
      </c>
      <c r="G183" s="970"/>
      <c r="H183" s="971">
        <v>5</v>
      </c>
      <c r="I183" s="972"/>
      <c r="J183" s="973"/>
    </row>
    <row r="184" spans="1:10" ht="21" customHeight="1" x14ac:dyDescent="0.3">
      <c r="A184" s="971">
        <v>6</v>
      </c>
      <c r="B184" s="554" t="s">
        <v>24</v>
      </c>
      <c r="C184" s="554" t="s">
        <v>1465</v>
      </c>
      <c r="D184" s="968"/>
      <c r="E184" s="555">
        <v>2010</v>
      </c>
      <c r="F184" s="969" t="s">
        <v>1289</v>
      </c>
      <c r="G184" s="970"/>
      <c r="H184" s="971">
        <v>6</v>
      </c>
      <c r="I184" s="972"/>
      <c r="J184" s="973"/>
    </row>
    <row r="185" spans="1:10" ht="21" customHeight="1" x14ac:dyDescent="0.3">
      <c r="A185" s="971"/>
      <c r="B185" s="554"/>
      <c r="C185" s="554"/>
      <c r="D185" s="968"/>
      <c r="E185" s="555"/>
      <c r="F185" s="969"/>
      <c r="G185" s="970"/>
      <c r="H185" s="971"/>
      <c r="I185" s="972"/>
      <c r="J185" s="973"/>
    </row>
    <row r="186" spans="1:10" ht="21" customHeight="1" x14ac:dyDescent="0.3">
      <c r="A186" s="971"/>
      <c r="B186" s="554"/>
      <c r="C186" s="554"/>
      <c r="D186" s="968"/>
      <c r="E186" s="555" t="s">
        <v>1260</v>
      </c>
      <c r="F186" s="969"/>
      <c r="G186" s="970"/>
      <c r="H186" s="971"/>
      <c r="I186" s="972"/>
      <c r="J186" s="973"/>
    </row>
    <row r="187" spans="1:10" ht="21" customHeight="1" x14ac:dyDescent="0.3">
      <c r="A187" s="971">
        <v>1</v>
      </c>
      <c r="B187" s="554" t="s">
        <v>35</v>
      </c>
      <c r="C187" s="554" t="s">
        <v>1316</v>
      </c>
      <c r="D187" s="968"/>
      <c r="E187" s="555">
        <v>2010</v>
      </c>
      <c r="F187" s="969" t="s">
        <v>1250</v>
      </c>
      <c r="G187" s="970"/>
      <c r="H187" s="971">
        <v>1</v>
      </c>
      <c r="I187" s="972"/>
      <c r="J187" s="973"/>
    </row>
    <row r="188" spans="1:10" ht="21" customHeight="1" x14ac:dyDescent="0.3">
      <c r="A188" s="971">
        <v>2</v>
      </c>
      <c r="B188" s="554" t="s">
        <v>24</v>
      </c>
      <c r="C188" s="554" t="s">
        <v>1294</v>
      </c>
      <c r="D188" s="968"/>
      <c r="E188" s="555">
        <v>2010</v>
      </c>
      <c r="F188" s="969" t="s">
        <v>1381</v>
      </c>
      <c r="G188" s="970"/>
      <c r="H188" s="971">
        <v>2</v>
      </c>
      <c r="I188" s="972"/>
      <c r="J188" s="973"/>
    </row>
    <row r="189" spans="1:10" ht="21" customHeight="1" x14ac:dyDescent="0.3">
      <c r="A189" s="971">
        <v>3</v>
      </c>
      <c r="B189" s="554" t="s">
        <v>24</v>
      </c>
      <c r="C189" s="554" t="s">
        <v>1470</v>
      </c>
      <c r="D189" s="968"/>
      <c r="E189" s="555">
        <v>2010</v>
      </c>
      <c r="F189" s="969" t="s">
        <v>1250</v>
      </c>
      <c r="G189" s="970"/>
      <c r="H189" s="971">
        <v>3</v>
      </c>
      <c r="I189" s="972"/>
      <c r="J189" s="973"/>
    </row>
    <row r="190" spans="1:10" ht="21" customHeight="1" x14ac:dyDescent="0.3">
      <c r="A190" s="971">
        <v>4</v>
      </c>
      <c r="B190" s="554" t="s">
        <v>35</v>
      </c>
      <c r="C190" s="554" t="s">
        <v>1468</v>
      </c>
      <c r="D190" s="968"/>
      <c r="E190" s="555">
        <v>2009</v>
      </c>
      <c r="F190" s="969" t="s">
        <v>1469</v>
      </c>
      <c r="G190" s="970"/>
      <c r="H190" s="971">
        <v>4</v>
      </c>
      <c r="I190" s="972"/>
      <c r="J190" s="973"/>
    </row>
    <row r="191" spans="1:10" ht="21" customHeight="1" x14ac:dyDescent="0.3">
      <c r="A191" s="971">
        <v>5</v>
      </c>
      <c r="B191" s="554" t="s">
        <v>24</v>
      </c>
      <c r="C191" s="554" t="s">
        <v>1471</v>
      </c>
      <c r="D191" s="968"/>
      <c r="E191" s="555">
        <v>2008</v>
      </c>
      <c r="F191" s="969" t="s">
        <v>1381</v>
      </c>
      <c r="G191" s="970"/>
      <c r="H191" s="971">
        <v>5</v>
      </c>
      <c r="I191" s="972"/>
      <c r="J191" s="973"/>
    </row>
    <row r="192" spans="1:10" ht="21" customHeight="1" x14ac:dyDescent="0.3">
      <c r="A192" s="971">
        <v>6</v>
      </c>
      <c r="B192" s="554" t="s">
        <v>25</v>
      </c>
      <c r="C192" s="554" t="s">
        <v>1467</v>
      </c>
      <c r="D192" s="968"/>
      <c r="E192" s="555">
        <v>2009</v>
      </c>
      <c r="F192" s="969" t="s">
        <v>1250</v>
      </c>
      <c r="G192" s="970"/>
      <c r="H192" s="971">
        <v>6</v>
      </c>
      <c r="I192" s="972"/>
      <c r="J192" s="973"/>
    </row>
    <row r="193" spans="1:10" ht="21" customHeight="1" x14ac:dyDescent="0.3">
      <c r="A193" s="971"/>
      <c r="B193" s="554"/>
      <c r="C193" s="554"/>
      <c r="D193" s="968"/>
      <c r="E193" s="555"/>
      <c r="F193" s="969"/>
      <c r="G193" s="970"/>
      <c r="H193" s="971"/>
      <c r="I193" s="972"/>
      <c r="J193" s="973"/>
    </row>
    <row r="194" spans="1:10" ht="21" customHeight="1" x14ac:dyDescent="0.3">
      <c r="A194" s="971"/>
      <c r="B194" s="554"/>
      <c r="C194" s="554"/>
      <c r="D194" s="968"/>
      <c r="E194" s="555" t="s">
        <v>1261</v>
      </c>
      <c r="F194" s="969"/>
      <c r="G194" s="970"/>
      <c r="H194" s="971"/>
      <c r="I194" s="972"/>
      <c r="J194" s="973"/>
    </row>
    <row r="195" spans="1:10" ht="21" customHeight="1" x14ac:dyDescent="0.3">
      <c r="A195" s="971"/>
      <c r="B195" s="554"/>
      <c r="C195" s="554"/>
      <c r="D195" s="968"/>
      <c r="E195" s="555"/>
      <c r="F195" s="969"/>
      <c r="G195" s="970"/>
      <c r="H195" s="971"/>
      <c r="I195" s="972"/>
      <c r="J195" s="973"/>
    </row>
    <row r="196" spans="1:10" ht="21" customHeight="1" x14ac:dyDescent="0.3">
      <c r="A196" s="971">
        <v>1</v>
      </c>
      <c r="B196" s="554" t="s">
        <v>24</v>
      </c>
      <c r="C196" s="554" t="s">
        <v>1473</v>
      </c>
      <c r="D196" s="968"/>
      <c r="E196" s="555">
        <v>2008</v>
      </c>
      <c r="F196" s="969" t="s">
        <v>1289</v>
      </c>
      <c r="G196" s="970"/>
      <c r="H196" s="971">
        <v>1</v>
      </c>
      <c r="I196" s="972"/>
      <c r="J196" s="973"/>
    </row>
    <row r="197" spans="1:10" ht="21" customHeight="1" x14ac:dyDescent="0.3">
      <c r="A197" s="971">
        <v>2</v>
      </c>
      <c r="B197" s="554" t="s">
        <v>23</v>
      </c>
      <c r="C197" s="554" t="s">
        <v>1293</v>
      </c>
      <c r="D197" s="968"/>
      <c r="E197" s="555">
        <v>2010</v>
      </c>
      <c r="F197" s="969" t="s">
        <v>1443</v>
      </c>
      <c r="G197" s="970"/>
      <c r="H197" s="971">
        <v>2</v>
      </c>
      <c r="I197" s="972"/>
      <c r="J197" s="973"/>
    </row>
    <row r="198" spans="1:10" ht="21" customHeight="1" x14ac:dyDescent="0.3">
      <c r="A198" s="971">
        <v>3</v>
      </c>
      <c r="B198" s="554" t="s">
        <v>6</v>
      </c>
      <c r="C198" s="554" t="s">
        <v>1474</v>
      </c>
      <c r="D198" s="968"/>
      <c r="E198" s="555">
        <v>2007</v>
      </c>
      <c r="F198" s="969" t="s">
        <v>1469</v>
      </c>
      <c r="G198" s="970"/>
      <c r="H198" s="971">
        <v>3</v>
      </c>
      <c r="I198" s="972"/>
      <c r="J198" s="973"/>
    </row>
    <row r="199" spans="1:10" ht="21" customHeight="1" x14ac:dyDescent="0.3">
      <c r="A199" s="971">
        <v>4</v>
      </c>
      <c r="B199" s="554" t="s">
        <v>23</v>
      </c>
      <c r="C199" s="554" t="s">
        <v>1317</v>
      </c>
      <c r="D199" s="968"/>
      <c r="E199" s="555">
        <v>2010</v>
      </c>
      <c r="F199" s="969" t="s">
        <v>1450</v>
      </c>
      <c r="G199" s="970"/>
      <c r="H199" s="971">
        <v>4</v>
      </c>
      <c r="I199" s="972"/>
      <c r="J199" s="973"/>
    </row>
    <row r="200" spans="1:10" ht="21" customHeight="1" x14ac:dyDescent="0.3">
      <c r="A200" s="971">
        <v>5</v>
      </c>
      <c r="B200" s="554" t="s">
        <v>23</v>
      </c>
      <c r="C200" s="554" t="s">
        <v>1548</v>
      </c>
      <c r="D200" s="968"/>
      <c r="E200" s="555">
        <v>2010</v>
      </c>
      <c r="F200" s="969" t="s">
        <v>460</v>
      </c>
      <c r="G200" s="970"/>
      <c r="H200" s="971">
        <v>5</v>
      </c>
      <c r="I200" s="972"/>
      <c r="J200" s="973"/>
    </row>
    <row r="201" spans="1:10" ht="21" customHeight="1" x14ac:dyDescent="0.3">
      <c r="A201" s="971">
        <v>6</v>
      </c>
      <c r="B201" s="554" t="s">
        <v>23</v>
      </c>
      <c r="C201" s="554" t="s">
        <v>1472</v>
      </c>
      <c r="D201" s="968"/>
      <c r="E201" s="555">
        <v>2010</v>
      </c>
      <c r="F201" s="969" t="s">
        <v>1250</v>
      </c>
      <c r="G201" s="970"/>
      <c r="H201" s="971">
        <v>6</v>
      </c>
      <c r="I201" s="972"/>
      <c r="J201" s="973"/>
    </row>
    <row r="202" spans="1:10" ht="21" customHeight="1" x14ac:dyDescent="0.3">
      <c r="A202" s="971"/>
      <c r="B202" s="554"/>
      <c r="C202" s="554"/>
      <c r="D202" s="968"/>
      <c r="E202" s="555"/>
      <c r="F202" s="969"/>
      <c r="G202" s="970"/>
      <c r="H202" s="971"/>
      <c r="I202" s="972"/>
      <c r="J202" s="973"/>
    </row>
    <row r="203" spans="1:10" ht="21" customHeight="1" x14ac:dyDescent="0.3">
      <c r="A203" s="971"/>
      <c r="B203" s="554"/>
      <c r="C203" s="554"/>
      <c r="D203" s="968"/>
      <c r="E203" s="555" t="s">
        <v>1262</v>
      </c>
      <c r="F203" s="969"/>
      <c r="G203" s="970"/>
      <c r="H203" s="971"/>
      <c r="I203" s="972"/>
      <c r="J203" s="973"/>
    </row>
    <row r="204" spans="1:10" ht="21" customHeight="1" x14ac:dyDescent="0.3">
      <c r="A204" s="971">
        <v>1</v>
      </c>
      <c r="B204" s="554" t="s">
        <v>23</v>
      </c>
      <c r="C204" s="554" t="s">
        <v>1476</v>
      </c>
      <c r="D204" s="968"/>
      <c r="E204" s="555">
        <v>2010</v>
      </c>
      <c r="F204" s="969" t="s">
        <v>1450</v>
      </c>
      <c r="G204" s="970"/>
      <c r="H204" s="971">
        <v>1</v>
      </c>
      <c r="I204" s="972"/>
      <c r="J204" s="973"/>
    </row>
    <row r="205" spans="1:10" ht="21" customHeight="1" x14ac:dyDescent="0.3">
      <c r="A205" s="971">
        <v>2</v>
      </c>
      <c r="B205" s="554" t="s">
        <v>6</v>
      </c>
      <c r="C205" s="554" t="s">
        <v>1292</v>
      </c>
      <c r="D205" s="968"/>
      <c r="E205" s="555">
        <v>2009</v>
      </c>
      <c r="F205" s="969" t="s">
        <v>1443</v>
      </c>
      <c r="G205" s="970"/>
      <c r="H205" s="971">
        <v>2</v>
      </c>
      <c r="I205" s="972"/>
      <c r="J205" s="973"/>
    </row>
    <row r="206" spans="1:10" ht="21" customHeight="1" x14ac:dyDescent="0.3">
      <c r="A206" s="971">
        <v>3</v>
      </c>
      <c r="B206" s="554" t="s">
        <v>6</v>
      </c>
      <c r="C206" s="554" t="s">
        <v>1401</v>
      </c>
      <c r="D206" s="968"/>
      <c r="E206" s="555">
        <v>2008</v>
      </c>
      <c r="F206" s="969" t="s">
        <v>1469</v>
      </c>
      <c r="G206" s="970"/>
      <c r="H206" s="971">
        <v>3</v>
      </c>
      <c r="I206" s="972"/>
      <c r="J206" s="973"/>
    </row>
    <row r="207" spans="1:10" ht="21" customHeight="1" x14ac:dyDescent="0.3">
      <c r="A207" s="971">
        <v>4</v>
      </c>
      <c r="B207" s="554" t="s">
        <v>6</v>
      </c>
      <c r="C207" s="554" t="s">
        <v>1545</v>
      </c>
      <c r="D207" s="968"/>
      <c r="E207" s="555">
        <v>2010</v>
      </c>
      <c r="F207" s="969" t="s">
        <v>1452</v>
      </c>
      <c r="G207" s="970"/>
      <c r="H207" s="971">
        <v>4</v>
      </c>
      <c r="I207" s="972"/>
      <c r="J207" s="973"/>
    </row>
    <row r="208" spans="1:10" ht="21" customHeight="1" x14ac:dyDescent="0.3">
      <c r="A208" s="971">
        <v>5</v>
      </c>
      <c r="B208" s="554" t="s">
        <v>23</v>
      </c>
      <c r="C208" s="554" t="s">
        <v>1477</v>
      </c>
      <c r="D208" s="968"/>
      <c r="E208" s="555">
        <v>2008</v>
      </c>
      <c r="F208" s="969" t="s">
        <v>1450</v>
      </c>
      <c r="G208" s="970"/>
      <c r="H208" s="971">
        <v>5</v>
      </c>
      <c r="I208" s="972"/>
      <c r="J208" s="973"/>
    </row>
    <row r="209" spans="1:10" ht="21" customHeight="1" x14ac:dyDescent="0.3">
      <c r="A209" s="971">
        <v>6</v>
      </c>
      <c r="B209" s="554" t="s">
        <v>6</v>
      </c>
      <c r="C209" s="554" t="s">
        <v>1475</v>
      </c>
      <c r="D209" s="968"/>
      <c r="E209" s="555">
        <v>2008</v>
      </c>
      <c r="F209" s="969" t="s">
        <v>1450</v>
      </c>
      <c r="G209" s="970"/>
      <c r="H209" s="971">
        <v>6</v>
      </c>
      <c r="I209" s="972"/>
      <c r="J209" s="973"/>
    </row>
    <row r="210" spans="1:10" ht="87" customHeight="1" x14ac:dyDescent="0.3">
      <c r="A210" s="971"/>
      <c r="B210" s="554"/>
      <c r="C210" s="554"/>
      <c r="D210" s="968"/>
      <c r="E210" s="555"/>
      <c r="F210" s="969"/>
      <c r="G210" s="970"/>
      <c r="H210" s="971"/>
      <c r="I210" s="972"/>
      <c r="J210" s="973"/>
    </row>
    <row r="211" spans="1:10" ht="21" customHeight="1" x14ac:dyDescent="0.3">
      <c r="A211" s="971"/>
      <c r="B211" s="554"/>
      <c r="C211" s="554" t="s">
        <v>1564</v>
      </c>
      <c r="D211" s="968"/>
      <c r="E211" s="555"/>
      <c r="F211" s="969"/>
      <c r="G211" s="970"/>
      <c r="H211" s="971"/>
      <c r="I211" s="972"/>
      <c r="J211" s="973"/>
    </row>
    <row r="212" spans="1:10" ht="21" customHeight="1" x14ac:dyDescent="0.3">
      <c r="A212" s="971"/>
      <c r="B212" s="554"/>
      <c r="C212" s="554"/>
      <c r="D212" s="968"/>
      <c r="E212" s="555" t="s">
        <v>1263</v>
      </c>
      <c r="F212" s="969"/>
      <c r="G212" s="970"/>
      <c r="H212" s="971"/>
      <c r="I212" s="972"/>
      <c r="J212" s="973"/>
    </row>
    <row r="213" spans="1:10" ht="21" customHeight="1" x14ac:dyDescent="0.3">
      <c r="A213" s="971">
        <v>1</v>
      </c>
      <c r="B213" s="554" t="s">
        <v>25</v>
      </c>
      <c r="C213" s="554" t="s">
        <v>1585</v>
      </c>
      <c r="D213" s="968"/>
      <c r="E213" s="555">
        <v>2015</v>
      </c>
      <c r="F213" s="969" t="s">
        <v>1289</v>
      </c>
      <c r="G213" s="970"/>
      <c r="H213" s="971">
        <v>1</v>
      </c>
      <c r="I213" s="972"/>
      <c r="J213" s="973"/>
    </row>
    <row r="214" spans="1:10" ht="21" customHeight="1" x14ac:dyDescent="0.3">
      <c r="A214" s="971">
        <v>2</v>
      </c>
      <c r="B214" s="554" t="s">
        <v>25</v>
      </c>
      <c r="C214" s="554" t="s">
        <v>1478</v>
      </c>
      <c r="D214" s="968"/>
      <c r="E214" s="555">
        <v>2015</v>
      </c>
      <c r="F214" s="969" t="s">
        <v>1433</v>
      </c>
      <c r="G214" s="970"/>
      <c r="H214" s="971">
        <v>2</v>
      </c>
      <c r="I214" s="972"/>
      <c r="J214" s="973"/>
    </row>
    <row r="215" spans="1:10" ht="21" customHeight="1" x14ac:dyDescent="0.3">
      <c r="A215" s="971">
        <v>3</v>
      </c>
      <c r="B215" s="554" t="s">
        <v>25</v>
      </c>
      <c r="C215" s="554" t="s">
        <v>1483</v>
      </c>
      <c r="D215" s="968"/>
      <c r="E215" s="555">
        <v>2015</v>
      </c>
      <c r="F215" s="969" t="s">
        <v>1426</v>
      </c>
      <c r="G215" s="970"/>
      <c r="H215" s="971">
        <v>3</v>
      </c>
      <c r="I215" s="972"/>
      <c r="J215" s="973"/>
    </row>
    <row r="216" spans="1:10" ht="21" customHeight="1" x14ac:dyDescent="0.3">
      <c r="A216" s="971">
        <v>4</v>
      </c>
      <c r="B216" s="554" t="s">
        <v>25</v>
      </c>
      <c r="C216" s="554" t="s">
        <v>1494</v>
      </c>
      <c r="D216" s="968"/>
      <c r="E216" s="555">
        <v>2014</v>
      </c>
      <c r="F216" s="969" t="s">
        <v>1426</v>
      </c>
      <c r="G216" s="970"/>
      <c r="H216" s="971">
        <v>4</v>
      </c>
      <c r="I216" s="972"/>
      <c r="J216" s="973"/>
    </row>
    <row r="217" spans="1:10" ht="21" customHeight="1" x14ac:dyDescent="0.3">
      <c r="A217" s="971">
        <v>5</v>
      </c>
      <c r="B217" s="554" t="s">
        <v>25</v>
      </c>
      <c r="C217" s="554" t="s">
        <v>1493</v>
      </c>
      <c r="D217" s="968"/>
      <c r="E217" s="555">
        <v>2013</v>
      </c>
      <c r="F217" s="969" t="s">
        <v>1250</v>
      </c>
      <c r="G217" s="970"/>
      <c r="H217" s="971">
        <v>5</v>
      </c>
      <c r="I217" s="972"/>
      <c r="J217" s="973"/>
    </row>
    <row r="218" spans="1:10" ht="21" customHeight="1" x14ac:dyDescent="0.3">
      <c r="A218" s="971">
        <v>6</v>
      </c>
      <c r="B218" s="554"/>
      <c r="C218" s="554"/>
      <c r="D218" s="968"/>
      <c r="E218" s="555"/>
      <c r="F218" s="969"/>
      <c r="G218" s="970"/>
      <c r="H218" s="971">
        <v>6</v>
      </c>
      <c r="I218" s="972"/>
      <c r="J218" s="973"/>
    </row>
    <row r="219" spans="1:10" ht="21" customHeight="1" x14ac:dyDescent="0.3">
      <c r="A219" s="971"/>
      <c r="B219" s="554"/>
      <c r="C219" s="554"/>
      <c r="D219" s="968"/>
      <c r="E219" s="555" t="s">
        <v>1264</v>
      </c>
      <c r="F219" s="969"/>
      <c r="G219" s="970"/>
      <c r="H219" s="971"/>
      <c r="I219" s="972"/>
      <c r="J219" s="973"/>
    </row>
    <row r="220" spans="1:10" ht="21" customHeight="1" x14ac:dyDescent="0.3">
      <c r="A220" s="971">
        <v>1</v>
      </c>
      <c r="B220" s="554" t="s">
        <v>25</v>
      </c>
      <c r="C220" s="554" t="s">
        <v>1480</v>
      </c>
      <c r="D220" s="968"/>
      <c r="E220" s="555">
        <v>2015</v>
      </c>
      <c r="F220" s="969" t="s">
        <v>1426</v>
      </c>
      <c r="G220" s="970"/>
      <c r="H220" s="971">
        <v>1</v>
      </c>
      <c r="I220" s="972"/>
      <c r="J220" s="973"/>
    </row>
    <row r="221" spans="1:10" ht="21" customHeight="1" x14ac:dyDescent="0.3">
      <c r="A221" s="971">
        <v>2</v>
      </c>
      <c r="B221" s="554" t="s">
        <v>25</v>
      </c>
      <c r="C221" s="554" t="s">
        <v>1396</v>
      </c>
      <c r="D221" s="968"/>
      <c r="E221" s="555">
        <v>2015</v>
      </c>
      <c r="F221" s="969" t="s">
        <v>1443</v>
      </c>
      <c r="G221" s="970"/>
      <c r="H221" s="971">
        <v>2</v>
      </c>
      <c r="I221" s="972"/>
      <c r="J221" s="973"/>
    </row>
    <row r="222" spans="1:10" ht="21" customHeight="1" x14ac:dyDescent="0.3">
      <c r="A222" s="971">
        <v>3</v>
      </c>
      <c r="B222" s="554" t="s">
        <v>25</v>
      </c>
      <c r="C222" s="554" t="s">
        <v>1481</v>
      </c>
      <c r="D222" s="968"/>
      <c r="E222" s="555">
        <v>2016</v>
      </c>
      <c r="F222" s="969" t="s">
        <v>1426</v>
      </c>
      <c r="G222" s="970"/>
      <c r="H222" s="971">
        <v>3</v>
      </c>
      <c r="I222" s="972"/>
      <c r="J222" s="973"/>
    </row>
    <row r="223" spans="1:10" ht="21" customHeight="1" x14ac:dyDescent="0.3">
      <c r="A223" s="971">
        <v>4</v>
      </c>
      <c r="B223" s="554" t="s">
        <v>25</v>
      </c>
      <c r="C223" s="554" t="s">
        <v>1485</v>
      </c>
      <c r="D223" s="968"/>
      <c r="E223" s="555">
        <v>2015</v>
      </c>
      <c r="F223" s="969" t="s">
        <v>1426</v>
      </c>
      <c r="G223" s="970"/>
      <c r="H223" s="971">
        <v>4</v>
      </c>
      <c r="I223" s="972"/>
      <c r="J223" s="973"/>
    </row>
    <row r="224" spans="1:10" ht="21" customHeight="1" x14ac:dyDescent="0.3">
      <c r="A224" s="971">
        <v>5</v>
      </c>
      <c r="B224" s="554" t="s">
        <v>25</v>
      </c>
      <c r="C224" s="554" t="s">
        <v>1344</v>
      </c>
      <c r="D224" s="968"/>
      <c r="E224" s="555">
        <v>2015</v>
      </c>
      <c r="F224" s="969" t="s">
        <v>1443</v>
      </c>
      <c r="G224" s="970"/>
      <c r="H224" s="971">
        <v>5</v>
      </c>
      <c r="I224" s="972"/>
      <c r="J224" s="973"/>
    </row>
    <row r="225" spans="1:10" ht="21" customHeight="1" x14ac:dyDescent="0.3">
      <c r="A225" s="971">
        <v>6</v>
      </c>
      <c r="B225" s="554" t="s">
        <v>25</v>
      </c>
      <c r="C225" s="554" t="s">
        <v>1479</v>
      </c>
      <c r="D225" s="968"/>
      <c r="E225" s="555">
        <v>2015</v>
      </c>
      <c r="F225" s="969" t="s">
        <v>1250</v>
      </c>
      <c r="G225" s="970"/>
      <c r="H225" s="971">
        <v>6</v>
      </c>
      <c r="I225" s="972"/>
      <c r="J225" s="973"/>
    </row>
    <row r="226" spans="1:10" ht="21" customHeight="1" x14ac:dyDescent="0.3">
      <c r="A226" s="971"/>
      <c r="B226" s="554"/>
      <c r="C226" s="554"/>
      <c r="D226" s="968"/>
      <c r="E226" s="555" t="s">
        <v>1265</v>
      </c>
      <c r="F226" s="969"/>
      <c r="G226" s="970"/>
      <c r="H226" s="971"/>
      <c r="I226" s="972"/>
      <c r="J226" s="973"/>
    </row>
    <row r="227" spans="1:10" ht="21" customHeight="1" x14ac:dyDescent="0.3">
      <c r="A227" s="971">
        <v>1</v>
      </c>
      <c r="B227" s="554" t="s">
        <v>25</v>
      </c>
      <c r="C227" s="554" t="s">
        <v>1482</v>
      </c>
      <c r="D227" s="968"/>
      <c r="E227" s="555">
        <v>2015</v>
      </c>
      <c r="F227" s="969" t="s">
        <v>1250</v>
      </c>
      <c r="G227" s="970"/>
      <c r="H227" s="971">
        <v>1</v>
      </c>
      <c r="I227" s="972"/>
      <c r="J227" s="973"/>
    </row>
    <row r="228" spans="1:10" ht="21" customHeight="1" x14ac:dyDescent="0.3">
      <c r="A228" s="971">
        <v>2</v>
      </c>
      <c r="B228" s="554" t="s">
        <v>21</v>
      </c>
      <c r="C228" s="554" t="s">
        <v>1490</v>
      </c>
      <c r="D228" s="968"/>
      <c r="E228" s="555">
        <v>2015</v>
      </c>
      <c r="F228" s="969" t="s">
        <v>1426</v>
      </c>
      <c r="G228" s="970"/>
      <c r="H228" s="971">
        <v>2</v>
      </c>
      <c r="I228" s="972"/>
      <c r="J228" s="973"/>
    </row>
    <row r="229" spans="1:10" ht="21" customHeight="1" x14ac:dyDescent="0.3">
      <c r="A229" s="971">
        <v>3</v>
      </c>
      <c r="B229" s="554" t="s">
        <v>25</v>
      </c>
      <c r="C229" s="554" t="s">
        <v>1486</v>
      </c>
      <c r="D229" s="968"/>
      <c r="E229" s="555">
        <v>42590</v>
      </c>
      <c r="F229" s="969" t="s">
        <v>1430</v>
      </c>
      <c r="G229" s="970"/>
      <c r="H229" s="971">
        <v>3</v>
      </c>
      <c r="I229" s="972"/>
      <c r="J229" s="973"/>
    </row>
    <row r="230" spans="1:10" ht="21" customHeight="1" x14ac:dyDescent="0.3">
      <c r="A230" s="971">
        <v>4</v>
      </c>
      <c r="B230" s="554" t="s">
        <v>25</v>
      </c>
      <c r="C230" s="554" t="s">
        <v>1487</v>
      </c>
      <c r="D230" s="968"/>
      <c r="E230" s="555">
        <v>2015</v>
      </c>
      <c r="F230" s="969" t="s">
        <v>1450</v>
      </c>
      <c r="G230" s="970"/>
      <c r="H230" s="971">
        <v>4</v>
      </c>
      <c r="I230" s="972"/>
      <c r="J230" s="973"/>
    </row>
    <row r="231" spans="1:10" ht="21" customHeight="1" x14ac:dyDescent="0.3">
      <c r="A231" s="971">
        <v>5</v>
      </c>
      <c r="B231" s="554" t="s">
        <v>25</v>
      </c>
      <c r="C231" s="554" t="s">
        <v>1488</v>
      </c>
      <c r="D231" s="968"/>
      <c r="E231" s="555">
        <v>2016</v>
      </c>
      <c r="F231" s="969" t="s">
        <v>1426</v>
      </c>
      <c r="G231" s="970"/>
      <c r="H231" s="971">
        <v>5</v>
      </c>
      <c r="I231" s="972"/>
      <c r="J231" s="973"/>
    </row>
    <row r="232" spans="1:10" ht="21" customHeight="1" x14ac:dyDescent="0.3">
      <c r="A232" s="971">
        <v>6</v>
      </c>
      <c r="B232" s="554" t="s">
        <v>25</v>
      </c>
      <c r="C232" s="554" t="s">
        <v>1489</v>
      </c>
      <c r="D232" s="968"/>
      <c r="E232" s="555">
        <v>2015</v>
      </c>
      <c r="F232" s="969" t="s">
        <v>1452</v>
      </c>
      <c r="G232" s="970"/>
      <c r="H232" s="971">
        <v>6</v>
      </c>
      <c r="I232" s="972"/>
      <c r="J232" s="973"/>
    </row>
    <row r="233" spans="1:10" ht="21" customHeight="1" x14ac:dyDescent="0.3">
      <c r="A233" s="971"/>
      <c r="B233" s="554"/>
      <c r="C233" s="554"/>
      <c r="D233" s="968"/>
      <c r="E233" s="555" t="s">
        <v>1266</v>
      </c>
      <c r="F233" s="969"/>
      <c r="G233" s="970"/>
      <c r="H233" s="971"/>
      <c r="I233" s="972"/>
      <c r="J233" s="973"/>
    </row>
    <row r="234" spans="1:10" ht="21" customHeight="1" x14ac:dyDescent="0.3">
      <c r="A234" s="971">
        <v>1</v>
      </c>
      <c r="B234" s="554" t="s">
        <v>21</v>
      </c>
      <c r="C234" s="554" t="s">
        <v>1395</v>
      </c>
      <c r="D234" s="968"/>
      <c r="E234" s="555">
        <v>2015</v>
      </c>
      <c r="F234" s="969" t="s">
        <v>1443</v>
      </c>
      <c r="G234" s="970"/>
      <c r="H234" s="971">
        <v>1</v>
      </c>
      <c r="I234" s="972"/>
      <c r="J234" s="973"/>
    </row>
    <row r="235" spans="1:10" ht="21" customHeight="1" x14ac:dyDescent="0.3">
      <c r="A235" s="971">
        <v>2</v>
      </c>
      <c r="B235" s="554" t="s">
        <v>25</v>
      </c>
      <c r="C235" s="554" t="s">
        <v>1492</v>
      </c>
      <c r="D235" s="968"/>
      <c r="E235" s="555">
        <v>42609</v>
      </c>
      <c r="F235" s="969" t="s">
        <v>1430</v>
      </c>
      <c r="G235" s="970"/>
      <c r="H235" s="971">
        <v>2</v>
      </c>
      <c r="I235" s="972"/>
      <c r="J235" s="973"/>
    </row>
    <row r="236" spans="1:10" ht="21" customHeight="1" x14ac:dyDescent="0.3">
      <c r="A236" s="971">
        <v>3</v>
      </c>
      <c r="B236" s="554" t="s">
        <v>20</v>
      </c>
      <c r="C236" s="554" t="s">
        <v>1491</v>
      </c>
      <c r="D236" s="968"/>
      <c r="E236" s="555">
        <v>2015</v>
      </c>
      <c r="F236" s="969" t="s">
        <v>1433</v>
      </c>
      <c r="G236" s="970"/>
      <c r="H236" s="971">
        <v>3</v>
      </c>
      <c r="I236" s="972"/>
      <c r="J236" s="973"/>
    </row>
    <row r="237" spans="1:10" ht="21" customHeight="1" x14ac:dyDescent="0.3">
      <c r="A237" s="971">
        <v>4</v>
      </c>
      <c r="B237" s="554" t="s">
        <v>20</v>
      </c>
      <c r="C237" s="554" t="s">
        <v>1345</v>
      </c>
      <c r="D237" s="968"/>
      <c r="E237" s="555">
        <v>2015</v>
      </c>
      <c r="F237" s="969" t="s">
        <v>1443</v>
      </c>
      <c r="G237" s="970"/>
      <c r="H237" s="971">
        <v>4</v>
      </c>
      <c r="I237" s="972"/>
      <c r="J237" s="973"/>
    </row>
    <row r="238" spans="1:10" ht="21" customHeight="1" x14ac:dyDescent="0.3">
      <c r="A238" s="971">
        <v>5</v>
      </c>
      <c r="B238" s="554" t="s">
        <v>20</v>
      </c>
      <c r="C238" s="554" t="s">
        <v>1343</v>
      </c>
      <c r="D238" s="968"/>
      <c r="E238" s="555">
        <v>2015</v>
      </c>
      <c r="F238" s="969" t="s">
        <v>1443</v>
      </c>
      <c r="G238" s="970"/>
      <c r="H238" s="971">
        <v>5</v>
      </c>
      <c r="I238" s="972"/>
      <c r="J238" s="973"/>
    </row>
    <row r="239" spans="1:10" ht="21" customHeight="1" x14ac:dyDescent="0.3">
      <c r="A239" s="971">
        <v>6</v>
      </c>
      <c r="B239" s="554" t="s">
        <v>25</v>
      </c>
      <c r="C239" s="554" t="s">
        <v>1484</v>
      </c>
      <c r="D239" s="968"/>
      <c r="E239" s="555">
        <v>2015</v>
      </c>
      <c r="F239" s="969" t="s">
        <v>1381</v>
      </c>
      <c r="G239" s="970"/>
      <c r="H239" s="971">
        <v>6</v>
      </c>
      <c r="I239" s="972"/>
      <c r="J239" s="973"/>
    </row>
    <row r="240" spans="1:10" ht="21" customHeight="1" x14ac:dyDescent="0.3">
      <c r="A240" s="971"/>
      <c r="B240" s="554"/>
      <c r="C240" s="554" t="s">
        <v>1565</v>
      </c>
      <c r="D240" s="968"/>
      <c r="E240" s="555"/>
      <c r="F240" s="969"/>
      <c r="G240" s="970"/>
      <c r="H240" s="971"/>
      <c r="I240" s="972"/>
      <c r="J240" s="973"/>
    </row>
    <row r="241" spans="1:10" ht="21" customHeight="1" x14ac:dyDescent="0.3">
      <c r="A241" s="971"/>
      <c r="B241" s="554"/>
      <c r="C241" s="554"/>
      <c r="D241" s="968"/>
      <c r="E241" s="555" t="s">
        <v>1267</v>
      </c>
      <c r="F241" s="969"/>
      <c r="G241" s="970"/>
      <c r="H241" s="971"/>
      <c r="I241" s="972"/>
      <c r="J241" s="973"/>
    </row>
    <row r="242" spans="1:10" ht="21" customHeight="1" x14ac:dyDescent="0.3">
      <c r="A242" s="971">
        <v>1</v>
      </c>
      <c r="B242" s="554" t="s">
        <v>25</v>
      </c>
      <c r="C242" s="554" t="s">
        <v>1495</v>
      </c>
      <c r="D242" s="968"/>
      <c r="E242" s="555">
        <v>2014</v>
      </c>
      <c r="F242" s="969" t="s">
        <v>1433</v>
      </c>
      <c r="G242" s="970"/>
      <c r="H242" s="971">
        <v>1</v>
      </c>
      <c r="I242" s="972"/>
      <c r="J242" s="973"/>
    </row>
    <row r="243" spans="1:10" ht="21" customHeight="1" x14ac:dyDescent="0.3">
      <c r="A243" s="971">
        <v>2</v>
      </c>
      <c r="B243" s="554" t="s">
        <v>25</v>
      </c>
      <c r="C243" s="554" t="s">
        <v>1369</v>
      </c>
      <c r="D243" s="968"/>
      <c r="E243" s="555">
        <v>2014</v>
      </c>
      <c r="F243" s="969" t="s">
        <v>1250</v>
      </c>
      <c r="G243" s="970"/>
      <c r="H243" s="971">
        <v>2</v>
      </c>
      <c r="I243" s="972"/>
      <c r="J243" s="973"/>
    </row>
    <row r="244" spans="1:10" ht="21" customHeight="1" x14ac:dyDescent="0.3">
      <c r="A244" s="971">
        <v>3</v>
      </c>
      <c r="B244" s="554" t="s">
        <v>1303</v>
      </c>
      <c r="C244" s="554" t="s">
        <v>1415</v>
      </c>
      <c r="D244" s="968"/>
      <c r="E244" s="555">
        <v>2013</v>
      </c>
      <c r="F244" s="969" t="s">
        <v>1289</v>
      </c>
      <c r="G244" s="970"/>
      <c r="H244" s="971">
        <v>3</v>
      </c>
      <c r="I244" s="972"/>
      <c r="J244" s="973"/>
    </row>
    <row r="245" spans="1:10" ht="21" customHeight="1" x14ac:dyDescent="0.3">
      <c r="A245" s="971">
        <v>4</v>
      </c>
      <c r="B245" s="554" t="s">
        <v>25</v>
      </c>
      <c r="C245" s="554" t="s">
        <v>1498</v>
      </c>
      <c r="D245" s="968"/>
      <c r="E245" s="555">
        <v>2014</v>
      </c>
      <c r="F245" s="969" t="s">
        <v>1426</v>
      </c>
      <c r="G245" s="970"/>
      <c r="H245" s="971">
        <v>4</v>
      </c>
      <c r="I245" s="972"/>
      <c r="J245" s="973"/>
    </row>
    <row r="246" spans="1:10" ht="21" customHeight="1" x14ac:dyDescent="0.3">
      <c r="A246" s="971">
        <v>5</v>
      </c>
      <c r="B246" s="554" t="s">
        <v>1303</v>
      </c>
      <c r="C246" s="554" t="s">
        <v>1499</v>
      </c>
      <c r="D246" s="968"/>
      <c r="E246" s="555">
        <v>2013</v>
      </c>
      <c r="F246" s="969" t="s">
        <v>1289</v>
      </c>
      <c r="G246" s="970"/>
      <c r="H246" s="971">
        <v>5</v>
      </c>
      <c r="I246" s="972"/>
      <c r="J246" s="973"/>
    </row>
    <row r="247" spans="1:10" ht="21" customHeight="1" x14ac:dyDescent="0.3">
      <c r="A247" s="971">
        <v>6</v>
      </c>
      <c r="B247" s="554" t="s">
        <v>21</v>
      </c>
      <c r="C247" s="554" t="s">
        <v>1389</v>
      </c>
      <c r="D247" s="968"/>
      <c r="E247" s="555">
        <v>2013</v>
      </c>
      <c r="F247" s="969" t="s">
        <v>1426</v>
      </c>
      <c r="G247" s="970"/>
      <c r="H247" s="971">
        <v>6</v>
      </c>
      <c r="I247" s="972"/>
      <c r="J247" s="973"/>
    </row>
    <row r="248" spans="1:10" ht="21" customHeight="1" x14ac:dyDescent="0.3">
      <c r="A248" s="971"/>
      <c r="B248" s="554"/>
      <c r="C248" s="554"/>
      <c r="D248" s="968"/>
      <c r="E248" s="555"/>
      <c r="F248" s="969"/>
      <c r="G248" s="970"/>
      <c r="H248" s="971"/>
      <c r="I248" s="972"/>
      <c r="J248" s="973"/>
    </row>
    <row r="249" spans="1:10" ht="21" customHeight="1" x14ac:dyDescent="0.3">
      <c r="A249" s="971"/>
      <c r="B249" s="554"/>
      <c r="C249" s="554"/>
      <c r="D249" s="968"/>
      <c r="E249" s="555" t="s">
        <v>1268</v>
      </c>
      <c r="F249" s="969"/>
      <c r="G249" s="970"/>
      <c r="H249" s="971"/>
      <c r="I249" s="972"/>
      <c r="J249" s="973"/>
    </row>
    <row r="250" spans="1:10" ht="21" customHeight="1" x14ac:dyDescent="0.3">
      <c r="A250" s="971">
        <v>1</v>
      </c>
      <c r="B250" s="554" t="s">
        <v>25</v>
      </c>
      <c r="C250" s="554" t="s">
        <v>1577</v>
      </c>
      <c r="D250" s="968"/>
      <c r="E250" s="555">
        <v>2013</v>
      </c>
      <c r="F250" s="969" t="s">
        <v>1289</v>
      </c>
      <c r="G250" s="970"/>
      <c r="H250" s="971">
        <v>1</v>
      </c>
      <c r="I250" s="972"/>
      <c r="J250" s="973"/>
    </row>
    <row r="251" spans="1:10" ht="21" customHeight="1" x14ac:dyDescent="0.3">
      <c r="A251" s="971">
        <v>2</v>
      </c>
      <c r="B251" s="554" t="s">
        <v>20</v>
      </c>
      <c r="C251" s="554" t="s">
        <v>1507</v>
      </c>
      <c r="D251" s="968"/>
      <c r="E251" s="555">
        <v>2013</v>
      </c>
      <c r="F251" s="969" t="s">
        <v>1289</v>
      </c>
      <c r="G251" s="970"/>
      <c r="H251" s="971">
        <v>2</v>
      </c>
      <c r="I251" s="972"/>
      <c r="J251" s="973"/>
    </row>
    <row r="252" spans="1:10" ht="21" customHeight="1" x14ac:dyDescent="0.3">
      <c r="A252" s="971">
        <v>3</v>
      </c>
      <c r="B252" s="554" t="s">
        <v>25</v>
      </c>
      <c r="C252" s="554" t="s">
        <v>1578</v>
      </c>
      <c r="D252" s="968"/>
      <c r="E252" s="555">
        <v>2013</v>
      </c>
      <c r="F252" s="969" t="s">
        <v>1289</v>
      </c>
      <c r="G252" s="970"/>
      <c r="H252" s="971">
        <v>3</v>
      </c>
      <c r="I252" s="972"/>
      <c r="J252" s="973"/>
    </row>
    <row r="253" spans="1:10" ht="21" customHeight="1" x14ac:dyDescent="0.3">
      <c r="A253" s="971">
        <v>4</v>
      </c>
      <c r="B253" s="554" t="s">
        <v>21</v>
      </c>
      <c r="C253" s="554" t="s">
        <v>1335</v>
      </c>
      <c r="D253" s="968"/>
      <c r="E253" s="555">
        <v>2013</v>
      </c>
      <c r="F253" s="969" t="s">
        <v>1443</v>
      </c>
      <c r="G253" s="970"/>
      <c r="H253" s="971">
        <v>4</v>
      </c>
      <c r="I253" s="972"/>
      <c r="J253" s="973"/>
    </row>
    <row r="254" spans="1:10" ht="21" customHeight="1" x14ac:dyDescent="0.3">
      <c r="A254" s="971">
        <v>5</v>
      </c>
      <c r="B254" s="554" t="s">
        <v>25</v>
      </c>
      <c r="C254" s="554" t="s">
        <v>1502</v>
      </c>
      <c r="D254" s="968"/>
      <c r="E254" s="555">
        <v>2013</v>
      </c>
      <c r="F254" s="969" t="s">
        <v>1250</v>
      </c>
      <c r="G254" s="970"/>
      <c r="H254" s="971">
        <v>5</v>
      </c>
      <c r="I254" s="972"/>
      <c r="J254" s="973"/>
    </row>
    <row r="255" spans="1:10" ht="21" customHeight="1" x14ac:dyDescent="0.3">
      <c r="A255" s="971">
        <v>6</v>
      </c>
      <c r="B255" s="554" t="s">
        <v>25</v>
      </c>
      <c r="C255" s="554" t="s">
        <v>1364</v>
      </c>
      <c r="D255" s="968"/>
      <c r="E255" s="555">
        <v>2014</v>
      </c>
      <c r="F255" s="969" t="s">
        <v>460</v>
      </c>
      <c r="G255" s="970"/>
      <c r="H255" s="971">
        <v>6</v>
      </c>
      <c r="I255" s="972"/>
      <c r="J255" s="973"/>
    </row>
    <row r="256" spans="1:10" ht="21" customHeight="1" x14ac:dyDescent="0.3">
      <c r="A256" s="971"/>
      <c r="B256" s="554"/>
      <c r="C256" s="554"/>
      <c r="D256" s="968"/>
      <c r="E256" s="555"/>
      <c r="F256" s="969"/>
      <c r="G256" s="970"/>
      <c r="H256" s="971"/>
      <c r="I256" s="972"/>
      <c r="J256" s="973"/>
    </row>
    <row r="257" spans="1:10" ht="21" customHeight="1" x14ac:dyDescent="0.3">
      <c r="A257" s="971"/>
      <c r="B257" s="554"/>
      <c r="C257" s="554"/>
      <c r="D257" s="968"/>
      <c r="E257" s="555" t="s">
        <v>1269</v>
      </c>
      <c r="F257" s="969"/>
      <c r="G257" s="970"/>
      <c r="H257" s="971"/>
      <c r="I257" s="972"/>
      <c r="J257" s="973"/>
    </row>
    <row r="258" spans="1:10" ht="21" customHeight="1" x14ac:dyDescent="0.3">
      <c r="A258" s="971">
        <v>1</v>
      </c>
      <c r="B258" s="554" t="s">
        <v>25</v>
      </c>
      <c r="C258" s="554" t="s">
        <v>1501</v>
      </c>
      <c r="D258" s="968"/>
      <c r="E258" s="555">
        <v>2013</v>
      </c>
      <c r="F258" s="969" t="s">
        <v>1450</v>
      </c>
      <c r="G258" s="970"/>
      <c r="H258" s="971">
        <v>1</v>
      </c>
      <c r="I258" s="972"/>
      <c r="J258" s="973"/>
    </row>
    <row r="259" spans="1:10" ht="21" customHeight="1" x14ac:dyDescent="0.3">
      <c r="A259" s="971">
        <v>2</v>
      </c>
      <c r="B259" s="554" t="s">
        <v>25</v>
      </c>
      <c r="C259" s="554" t="s">
        <v>1496</v>
      </c>
      <c r="D259" s="968"/>
      <c r="E259" s="555">
        <v>2014</v>
      </c>
      <c r="F259" s="969" t="s">
        <v>1452</v>
      </c>
      <c r="G259" s="970"/>
      <c r="H259" s="971">
        <v>2</v>
      </c>
      <c r="I259" s="972"/>
      <c r="J259" s="973"/>
    </row>
    <row r="260" spans="1:10" ht="21" customHeight="1" x14ac:dyDescent="0.3">
      <c r="A260" s="971">
        <v>3</v>
      </c>
      <c r="B260" s="554" t="s">
        <v>25</v>
      </c>
      <c r="C260" s="554" t="s">
        <v>1394</v>
      </c>
      <c r="D260" s="968"/>
      <c r="E260" s="555">
        <v>2014</v>
      </c>
      <c r="F260" s="969" t="s">
        <v>1250</v>
      </c>
      <c r="G260" s="970"/>
      <c r="H260" s="971">
        <v>3</v>
      </c>
      <c r="I260" s="972"/>
      <c r="J260" s="973"/>
    </row>
    <row r="261" spans="1:10" ht="21" customHeight="1" x14ac:dyDescent="0.3">
      <c r="A261" s="971">
        <v>4</v>
      </c>
      <c r="B261" s="554" t="s">
        <v>25</v>
      </c>
      <c r="C261" s="554" t="s">
        <v>1497</v>
      </c>
      <c r="D261" s="968"/>
      <c r="E261" s="555">
        <v>2014</v>
      </c>
      <c r="F261" s="969" t="s">
        <v>1452</v>
      </c>
      <c r="G261" s="970"/>
      <c r="H261" s="971">
        <v>4</v>
      </c>
      <c r="I261" s="972"/>
      <c r="J261" s="973"/>
    </row>
    <row r="262" spans="1:10" ht="21" customHeight="1" x14ac:dyDescent="0.3">
      <c r="A262" s="971">
        <v>5</v>
      </c>
      <c r="B262" s="554" t="s">
        <v>25</v>
      </c>
      <c r="C262" s="554" t="s">
        <v>1340</v>
      </c>
      <c r="D262" s="968"/>
      <c r="E262" s="555">
        <v>2014</v>
      </c>
      <c r="F262" s="969" t="s">
        <v>1450</v>
      </c>
      <c r="G262" s="970"/>
      <c r="H262" s="971">
        <v>5</v>
      </c>
      <c r="I262" s="972"/>
      <c r="J262" s="973"/>
    </row>
    <row r="263" spans="1:10" ht="21" customHeight="1" x14ac:dyDescent="0.3">
      <c r="A263" s="971">
        <v>6</v>
      </c>
      <c r="B263" s="554" t="s">
        <v>25</v>
      </c>
      <c r="C263" s="554" t="s">
        <v>1367</v>
      </c>
      <c r="D263" s="968"/>
      <c r="E263" s="555">
        <v>2013</v>
      </c>
      <c r="F263" s="969" t="s">
        <v>1250</v>
      </c>
      <c r="G263" s="970"/>
      <c r="H263" s="971">
        <v>6</v>
      </c>
      <c r="I263" s="972"/>
      <c r="J263" s="973"/>
    </row>
    <row r="264" spans="1:10" ht="21" customHeight="1" x14ac:dyDescent="0.3">
      <c r="A264" s="971"/>
      <c r="B264" s="554"/>
      <c r="C264" s="554"/>
      <c r="D264" s="968"/>
      <c r="E264" s="555" t="s">
        <v>1270</v>
      </c>
      <c r="F264" s="969"/>
      <c r="G264" s="970"/>
      <c r="H264" s="971"/>
      <c r="I264" s="972"/>
      <c r="J264" s="973"/>
    </row>
    <row r="265" spans="1:10" ht="21" customHeight="1" x14ac:dyDescent="0.3">
      <c r="A265" s="971">
        <v>1</v>
      </c>
      <c r="B265" s="554" t="s">
        <v>25</v>
      </c>
      <c r="C265" s="554" t="s">
        <v>1370</v>
      </c>
      <c r="D265" s="968"/>
      <c r="E265" s="555">
        <v>2014</v>
      </c>
      <c r="F265" s="969" t="s">
        <v>1250</v>
      </c>
      <c r="G265" s="970"/>
      <c r="H265" s="971">
        <v>1</v>
      </c>
      <c r="I265" s="972"/>
      <c r="J265" s="973"/>
    </row>
    <row r="266" spans="1:10" ht="21" customHeight="1" x14ac:dyDescent="0.3">
      <c r="A266" s="971">
        <v>2</v>
      </c>
      <c r="B266" s="554" t="s">
        <v>25</v>
      </c>
      <c r="C266" s="554" t="s">
        <v>1500</v>
      </c>
      <c r="D266" s="968"/>
      <c r="E266" s="555">
        <v>2013</v>
      </c>
      <c r="F266" s="969" t="s">
        <v>1250</v>
      </c>
      <c r="G266" s="970"/>
      <c r="H266" s="971">
        <v>2</v>
      </c>
      <c r="I266" s="972"/>
      <c r="J266" s="973"/>
    </row>
    <row r="267" spans="1:10" ht="21" customHeight="1" x14ac:dyDescent="0.3">
      <c r="A267" s="971">
        <v>3</v>
      </c>
      <c r="B267" s="554" t="s">
        <v>25</v>
      </c>
      <c r="C267" s="554" t="s">
        <v>1368</v>
      </c>
      <c r="D267" s="968"/>
      <c r="E267" s="555">
        <v>2013</v>
      </c>
      <c r="F267" s="969" t="s">
        <v>1250</v>
      </c>
      <c r="G267" s="970"/>
      <c r="H267" s="971">
        <v>3</v>
      </c>
      <c r="I267" s="972"/>
      <c r="J267" s="973"/>
    </row>
    <row r="268" spans="1:10" ht="21" customHeight="1" x14ac:dyDescent="0.3">
      <c r="A268" s="971">
        <v>4</v>
      </c>
      <c r="B268" s="554" t="s">
        <v>25</v>
      </c>
      <c r="C268" s="554" t="s">
        <v>1503</v>
      </c>
      <c r="D268" s="968"/>
      <c r="E268" s="555">
        <v>2013</v>
      </c>
      <c r="F268" s="969" t="s">
        <v>1452</v>
      </c>
      <c r="G268" s="970"/>
      <c r="H268" s="971">
        <v>4</v>
      </c>
      <c r="I268" s="972"/>
      <c r="J268" s="973"/>
    </row>
    <row r="269" spans="1:10" ht="21" customHeight="1" x14ac:dyDescent="0.3">
      <c r="A269" s="971">
        <v>5</v>
      </c>
      <c r="B269" s="554" t="s">
        <v>21</v>
      </c>
      <c r="C269" s="554" t="s">
        <v>1393</v>
      </c>
      <c r="D269" s="968"/>
      <c r="E269" s="555">
        <v>2014</v>
      </c>
      <c r="F269" s="969" t="s">
        <v>1426</v>
      </c>
      <c r="G269" s="970"/>
      <c r="H269" s="971">
        <v>5</v>
      </c>
      <c r="I269" s="972"/>
      <c r="J269" s="973"/>
    </row>
    <row r="270" spans="1:10" ht="21" customHeight="1" x14ac:dyDescent="0.3">
      <c r="A270" s="971">
        <v>6</v>
      </c>
      <c r="B270" s="554" t="s">
        <v>25</v>
      </c>
      <c r="C270" s="554" t="s">
        <v>1506</v>
      </c>
      <c r="D270" s="968"/>
      <c r="E270" s="555">
        <v>2014</v>
      </c>
      <c r="F270" s="969" t="s">
        <v>1250</v>
      </c>
      <c r="G270" s="970"/>
      <c r="H270" s="971">
        <v>6</v>
      </c>
      <c r="I270" s="972"/>
      <c r="J270" s="973"/>
    </row>
    <row r="271" spans="1:10" ht="21" customHeight="1" x14ac:dyDescent="0.3">
      <c r="A271" s="971"/>
      <c r="B271" s="554"/>
      <c r="C271" s="554"/>
      <c r="D271" s="968"/>
      <c r="E271" s="555" t="s">
        <v>1271</v>
      </c>
      <c r="F271" s="969"/>
      <c r="G271" s="970"/>
      <c r="H271" s="971"/>
      <c r="I271" s="972"/>
      <c r="J271" s="973"/>
    </row>
    <row r="272" spans="1:10" ht="21" customHeight="1" x14ac:dyDescent="0.3">
      <c r="A272" s="971">
        <v>1</v>
      </c>
      <c r="B272" s="554" t="s">
        <v>25</v>
      </c>
      <c r="C272" s="554" t="s">
        <v>1366</v>
      </c>
      <c r="D272" s="968"/>
      <c r="E272" s="555">
        <v>2013</v>
      </c>
      <c r="F272" s="969" t="s">
        <v>1250</v>
      </c>
      <c r="G272" s="970"/>
      <c r="H272" s="971">
        <v>1</v>
      </c>
      <c r="I272" s="972"/>
      <c r="J272" s="973"/>
    </row>
    <row r="273" spans="1:10" ht="21" customHeight="1" x14ac:dyDescent="0.3">
      <c r="A273" s="971">
        <v>2</v>
      </c>
      <c r="B273" s="554" t="s">
        <v>20</v>
      </c>
      <c r="C273" s="554" t="s">
        <v>1509</v>
      </c>
      <c r="D273" s="968"/>
      <c r="E273" s="555">
        <v>2013</v>
      </c>
      <c r="F273" s="969" t="s">
        <v>1381</v>
      </c>
      <c r="G273" s="970"/>
      <c r="H273" s="971">
        <v>2</v>
      </c>
      <c r="I273" s="972"/>
      <c r="J273" s="973"/>
    </row>
    <row r="274" spans="1:10" ht="21" customHeight="1" x14ac:dyDescent="0.3">
      <c r="A274" s="971">
        <v>3</v>
      </c>
      <c r="B274" s="554" t="s">
        <v>20</v>
      </c>
      <c r="C274" s="554" t="s">
        <v>1336</v>
      </c>
      <c r="D274" s="968"/>
      <c r="E274" s="555">
        <v>2013</v>
      </c>
      <c r="F274" s="969" t="s">
        <v>1443</v>
      </c>
      <c r="G274" s="970"/>
      <c r="H274" s="971">
        <v>3</v>
      </c>
      <c r="I274" s="972"/>
      <c r="J274" s="973"/>
    </row>
    <row r="275" spans="1:10" ht="21" customHeight="1" x14ac:dyDescent="0.3">
      <c r="A275" s="971">
        <v>4</v>
      </c>
      <c r="B275" s="554" t="s">
        <v>20</v>
      </c>
      <c r="C275" s="554" t="s">
        <v>1505</v>
      </c>
      <c r="D275" s="968"/>
      <c r="E275" s="555">
        <v>2013</v>
      </c>
      <c r="F275" s="969" t="s">
        <v>1433</v>
      </c>
      <c r="G275" s="970"/>
      <c r="H275" s="971">
        <v>4</v>
      </c>
      <c r="I275" s="972"/>
      <c r="J275" s="973"/>
    </row>
    <row r="276" spans="1:10" ht="21" customHeight="1" x14ac:dyDescent="0.3">
      <c r="A276" s="971">
        <v>5</v>
      </c>
      <c r="B276" s="554" t="s">
        <v>21</v>
      </c>
      <c r="C276" s="554" t="s">
        <v>1508</v>
      </c>
      <c r="D276" s="968"/>
      <c r="E276" s="555">
        <v>2013</v>
      </c>
      <c r="F276" s="969" t="s">
        <v>1452</v>
      </c>
      <c r="G276" s="970"/>
      <c r="H276" s="971">
        <v>5</v>
      </c>
      <c r="I276" s="972"/>
      <c r="J276" s="973"/>
    </row>
    <row r="277" spans="1:10" ht="21" customHeight="1" x14ac:dyDescent="0.3">
      <c r="A277" s="971">
        <v>6</v>
      </c>
      <c r="B277" s="554"/>
      <c r="C277" s="554"/>
      <c r="D277" s="968"/>
      <c r="E277" s="555"/>
      <c r="F277" s="969"/>
      <c r="G277" s="970"/>
      <c r="H277" s="971">
        <v>6</v>
      </c>
      <c r="I277" s="972"/>
      <c r="J277" s="973"/>
    </row>
    <row r="278" spans="1:10" ht="21" customHeight="1" x14ac:dyDescent="0.3">
      <c r="A278" s="971"/>
      <c r="B278" s="554"/>
      <c r="C278" s="554"/>
      <c r="D278" s="968"/>
      <c r="E278" s="555" t="s">
        <v>1272</v>
      </c>
      <c r="F278" s="969"/>
      <c r="G278" s="970"/>
      <c r="H278" s="971"/>
      <c r="I278" s="972"/>
      <c r="J278" s="973"/>
    </row>
    <row r="279" spans="1:10" ht="21" customHeight="1" x14ac:dyDescent="0.3">
      <c r="A279" s="971">
        <v>1</v>
      </c>
      <c r="B279" s="554" t="s">
        <v>35</v>
      </c>
      <c r="C279" s="554" t="s">
        <v>1510</v>
      </c>
      <c r="D279" s="968"/>
      <c r="E279" s="555">
        <v>41692</v>
      </c>
      <c r="F279" s="969" t="s">
        <v>1430</v>
      </c>
      <c r="G279" s="970"/>
      <c r="H279" s="971">
        <v>1</v>
      </c>
      <c r="I279" s="972"/>
      <c r="J279" s="973"/>
    </row>
    <row r="280" spans="1:10" ht="21" customHeight="1" x14ac:dyDescent="0.3">
      <c r="A280" s="971">
        <v>2</v>
      </c>
      <c r="B280" s="554" t="s">
        <v>35</v>
      </c>
      <c r="C280" s="554" t="s">
        <v>1337</v>
      </c>
      <c r="D280" s="968"/>
      <c r="E280" s="555">
        <v>2013</v>
      </c>
      <c r="F280" s="969" t="s">
        <v>1426</v>
      </c>
      <c r="G280" s="970"/>
      <c r="H280" s="971">
        <v>2</v>
      </c>
      <c r="I280" s="972"/>
      <c r="J280" s="973"/>
    </row>
    <row r="281" spans="1:10" ht="21" customHeight="1" x14ac:dyDescent="0.3">
      <c r="A281" s="971">
        <v>3</v>
      </c>
      <c r="B281" s="554" t="s">
        <v>35</v>
      </c>
      <c r="C281" s="554" t="s">
        <v>1341</v>
      </c>
      <c r="D281" s="968"/>
      <c r="E281" s="555">
        <v>2014</v>
      </c>
      <c r="F281" s="969" t="s">
        <v>1434</v>
      </c>
      <c r="G281" s="970"/>
      <c r="H281" s="971">
        <v>3</v>
      </c>
      <c r="I281" s="972"/>
      <c r="J281" s="973"/>
    </row>
    <row r="282" spans="1:10" ht="21" customHeight="1" x14ac:dyDescent="0.3">
      <c r="A282" s="971">
        <v>4</v>
      </c>
      <c r="B282" s="554" t="s">
        <v>24</v>
      </c>
      <c r="C282" s="554" t="s">
        <v>1338</v>
      </c>
      <c r="D282" s="968"/>
      <c r="E282" s="555">
        <v>2013</v>
      </c>
      <c r="F282" s="969" t="s">
        <v>1434</v>
      </c>
      <c r="G282" s="970"/>
      <c r="H282" s="971">
        <v>4</v>
      </c>
      <c r="I282" s="972"/>
      <c r="J282" s="973"/>
    </row>
    <row r="283" spans="1:10" ht="21" customHeight="1" x14ac:dyDescent="0.3">
      <c r="A283" s="971">
        <v>5</v>
      </c>
      <c r="B283" s="554" t="s">
        <v>35</v>
      </c>
      <c r="C283" s="554" t="s">
        <v>1512</v>
      </c>
      <c r="D283" s="968"/>
      <c r="E283" s="555">
        <v>41517</v>
      </c>
      <c r="F283" s="969" t="s">
        <v>1430</v>
      </c>
      <c r="G283" s="970"/>
      <c r="H283" s="971">
        <v>5</v>
      </c>
      <c r="I283" s="972"/>
      <c r="J283" s="973"/>
    </row>
    <row r="284" spans="1:10" ht="21" customHeight="1" x14ac:dyDescent="0.3">
      <c r="A284" s="971">
        <v>6</v>
      </c>
      <c r="B284" s="554" t="s">
        <v>35</v>
      </c>
      <c r="C284" s="554" t="s">
        <v>1511</v>
      </c>
      <c r="D284" s="968"/>
      <c r="E284" s="555">
        <v>41331</v>
      </c>
      <c r="F284" s="969" t="s">
        <v>1430</v>
      </c>
      <c r="G284" s="970"/>
      <c r="H284" s="971">
        <v>6</v>
      </c>
      <c r="I284" s="972"/>
      <c r="J284" s="973"/>
    </row>
    <row r="285" spans="1:10" ht="21" customHeight="1" x14ac:dyDescent="0.3">
      <c r="A285" s="971"/>
      <c r="B285" s="554"/>
      <c r="C285" s="554"/>
      <c r="D285" s="968"/>
      <c r="E285" s="555"/>
      <c r="F285" s="969"/>
      <c r="G285" s="970"/>
      <c r="H285" s="971"/>
      <c r="I285" s="972"/>
      <c r="J285" s="973"/>
    </row>
    <row r="286" spans="1:10" ht="21" customHeight="1" x14ac:dyDescent="0.3">
      <c r="A286" s="971"/>
      <c r="B286" s="554"/>
      <c r="C286" s="554" t="s">
        <v>1566</v>
      </c>
      <c r="D286" s="968"/>
      <c r="E286" s="555"/>
      <c r="F286" s="969"/>
      <c r="G286" s="970"/>
      <c r="H286" s="971"/>
      <c r="I286" s="972"/>
      <c r="J286" s="973"/>
    </row>
    <row r="287" spans="1:10" ht="21" customHeight="1" x14ac:dyDescent="0.3">
      <c r="A287" s="971"/>
      <c r="B287" s="554"/>
      <c r="C287" s="554"/>
      <c r="D287" s="968"/>
      <c r="E287" s="555" t="s">
        <v>1273</v>
      </c>
      <c r="F287" s="969"/>
      <c r="G287" s="970"/>
      <c r="H287" s="971"/>
      <c r="I287" s="972"/>
      <c r="J287" s="973"/>
    </row>
    <row r="288" spans="1:10" ht="21" customHeight="1" x14ac:dyDescent="0.3">
      <c r="A288" s="971">
        <v>1</v>
      </c>
      <c r="B288" s="554" t="s">
        <v>25</v>
      </c>
      <c r="C288" s="554" t="s">
        <v>1567</v>
      </c>
      <c r="D288" s="968"/>
      <c r="E288" s="555">
        <v>2012</v>
      </c>
      <c r="F288" s="969" t="s">
        <v>1289</v>
      </c>
      <c r="G288" s="970"/>
      <c r="H288" s="971">
        <v>1</v>
      </c>
      <c r="I288" s="972"/>
      <c r="J288" s="973"/>
    </row>
    <row r="289" spans="1:10" ht="21" customHeight="1" x14ac:dyDescent="0.3">
      <c r="A289" s="971">
        <v>2</v>
      </c>
      <c r="B289" s="554" t="s">
        <v>20</v>
      </c>
      <c r="C289" s="554" t="s">
        <v>1516</v>
      </c>
      <c r="D289" s="968"/>
      <c r="E289" s="555">
        <v>2012</v>
      </c>
      <c r="F289" s="969" t="s">
        <v>1289</v>
      </c>
      <c r="G289" s="970"/>
      <c r="H289" s="971">
        <v>2</v>
      </c>
      <c r="I289" s="972"/>
      <c r="J289" s="973"/>
    </row>
    <row r="290" spans="1:10" ht="21" customHeight="1" x14ac:dyDescent="0.3">
      <c r="A290" s="971">
        <v>3</v>
      </c>
      <c r="B290" s="554" t="s">
        <v>1303</v>
      </c>
      <c r="C290" s="554" t="s">
        <v>1515</v>
      </c>
      <c r="D290" s="968"/>
      <c r="E290" s="555">
        <v>2012</v>
      </c>
      <c r="F290" s="969" t="s">
        <v>1289</v>
      </c>
      <c r="G290" s="970"/>
      <c r="H290" s="971">
        <v>3</v>
      </c>
      <c r="I290" s="972"/>
      <c r="J290" s="973"/>
    </row>
    <row r="291" spans="1:10" ht="21" customHeight="1" x14ac:dyDescent="0.3">
      <c r="A291" s="971">
        <v>4</v>
      </c>
      <c r="B291" s="554" t="s">
        <v>21</v>
      </c>
      <c r="C291" s="554" t="s">
        <v>1522</v>
      </c>
      <c r="D291" s="968"/>
      <c r="E291" s="555">
        <v>2010</v>
      </c>
      <c r="F291" s="969" t="s">
        <v>1452</v>
      </c>
      <c r="G291" s="970"/>
      <c r="H291" s="971">
        <v>4</v>
      </c>
      <c r="I291" s="972"/>
      <c r="J291" s="973"/>
    </row>
    <row r="292" spans="1:10" ht="21" customHeight="1" x14ac:dyDescent="0.3">
      <c r="A292" s="971">
        <v>5</v>
      </c>
      <c r="B292" s="554" t="s">
        <v>20</v>
      </c>
      <c r="C292" s="554" t="s">
        <v>1525</v>
      </c>
      <c r="D292" s="968"/>
      <c r="E292" s="555">
        <v>2010</v>
      </c>
      <c r="F292" s="969" t="s">
        <v>1289</v>
      </c>
      <c r="G292" s="970"/>
      <c r="H292" s="971">
        <v>5</v>
      </c>
      <c r="I292" s="972"/>
      <c r="J292" s="973"/>
    </row>
    <row r="293" spans="1:10" ht="21" customHeight="1" x14ac:dyDescent="0.3">
      <c r="A293" s="971">
        <v>6</v>
      </c>
      <c r="B293" s="554" t="s">
        <v>25</v>
      </c>
      <c r="C293" s="554" t="s">
        <v>1586</v>
      </c>
      <c r="D293" s="968"/>
      <c r="E293" s="555">
        <v>2012</v>
      </c>
      <c r="F293" s="969" t="s">
        <v>1289</v>
      </c>
      <c r="G293" s="970"/>
      <c r="H293" s="971">
        <v>6</v>
      </c>
      <c r="I293" s="972"/>
      <c r="J293" s="973"/>
    </row>
    <row r="294" spans="1:10" ht="21" customHeight="1" x14ac:dyDescent="0.3">
      <c r="A294" s="971"/>
      <c r="B294" s="554"/>
      <c r="C294" s="554"/>
      <c r="D294" s="968"/>
      <c r="E294" s="555" t="s">
        <v>1274</v>
      </c>
      <c r="F294" s="969"/>
      <c r="G294" s="970"/>
      <c r="H294" s="971"/>
      <c r="I294" s="972"/>
      <c r="J294" s="973"/>
    </row>
    <row r="295" spans="1:10" ht="21" customHeight="1" x14ac:dyDescent="0.3">
      <c r="A295" s="971">
        <v>1</v>
      </c>
      <c r="B295" s="554" t="s">
        <v>25</v>
      </c>
      <c r="C295" s="554" t="s">
        <v>1360</v>
      </c>
      <c r="D295" s="968"/>
      <c r="E295" s="555">
        <v>2012</v>
      </c>
      <c r="F295" s="969" t="s">
        <v>1250</v>
      </c>
      <c r="G295" s="970"/>
      <c r="H295" s="971">
        <v>1</v>
      </c>
      <c r="I295" s="972"/>
      <c r="J295" s="973"/>
    </row>
    <row r="296" spans="1:10" ht="21" customHeight="1" x14ac:dyDescent="0.3">
      <c r="A296" s="971">
        <v>2</v>
      </c>
      <c r="B296" s="554" t="s">
        <v>20</v>
      </c>
      <c r="C296" s="554" t="s">
        <v>1423</v>
      </c>
      <c r="D296" s="968"/>
      <c r="E296" s="555">
        <v>2011</v>
      </c>
      <c r="F296" s="969" t="s">
        <v>1289</v>
      </c>
      <c r="G296" s="970"/>
      <c r="H296" s="971">
        <v>2</v>
      </c>
      <c r="I296" s="972"/>
      <c r="J296" s="973"/>
    </row>
    <row r="297" spans="1:10" ht="21" customHeight="1" x14ac:dyDescent="0.3">
      <c r="A297" s="971">
        <v>3</v>
      </c>
      <c r="B297" s="554" t="s">
        <v>25</v>
      </c>
      <c r="C297" s="554" t="s">
        <v>1514</v>
      </c>
      <c r="D297" s="968"/>
      <c r="E297" s="555">
        <v>2012</v>
      </c>
      <c r="F297" s="969" t="s">
        <v>1289</v>
      </c>
      <c r="G297" s="970"/>
      <c r="H297" s="971">
        <v>3</v>
      </c>
      <c r="I297" s="972"/>
      <c r="J297" s="973"/>
    </row>
    <row r="298" spans="1:10" ht="21" customHeight="1" x14ac:dyDescent="0.3">
      <c r="A298" s="971">
        <v>4</v>
      </c>
      <c r="B298" s="554" t="s">
        <v>25</v>
      </c>
      <c r="C298" s="554" t="s">
        <v>1410</v>
      </c>
      <c r="D298" s="968"/>
      <c r="E298" s="555">
        <v>2011</v>
      </c>
      <c r="F298" s="969" t="s">
        <v>1250</v>
      </c>
      <c r="G298" s="970"/>
      <c r="H298" s="971">
        <v>4</v>
      </c>
      <c r="I298" s="972"/>
      <c r="J298" s="973"/>
    </row>
    <row r="299" spans="1:10" ht="21" customHeight="1" x14ac:dyDescent="0.3">
      <c r="A299" s="971">
        <v>5</v>
      </c>
      <c r="B299" s="554" t="s">
        <v>25</v>
      </c>
      <c r="C299" s="554" t="s">
        <v>1352</v>
      </c>
      <c r="D299" s="968"/>
      <c r="E299" s="555">
        <v>2011</v>
      </c>
      <c r="F299" s="969" t="s">
        <v>1513</v>
      </c>
      <c r="G299" s="970"/>
      <c r="H299" s="971">
        <v>5</v>
      </c>
      <c r="I299" s="972"/>
      <c r="J299" s="973"/>
    </row>
    <row r="300" spans="1:10" ht="21" customHeight="1" x14ac:dyDescent="0.3">
      <c r="A300" s="971">
        <v>6</v>
      </c>
      <c r="B300" s="554" t="s">
        <v>25</v>
      </c>
      <c r="C300" s="554" t="s">
        <v>1584</v>
      </c>
      <c r="D300" s="968"/>
      <c r="E300" s="555">
        <v>2012</v>
      </c>
      <c r="F300" s="969" t="s">
        <v>1289</v>
      </c>
      <c r="G300" s="970"/>
      <c r="H300" s="971">
        <v>6</v>
      </c>
      <c r="I300" s="972"/>
      <c r="J300" s="973"/>
    </row>
    <row r="301" spans="1:10" ht="21" customHeight="1" x14ac:dyDescent="0.3">
      <c r="A301" s="971"/>
      <c r="B301" s="554"/>
      <c r="C301" s="554"/>
      <c r="D301" s="968"/>
      <c r="E301" s="555" t="s">
        <v>1275</v>
      </c>
      <c r="F301" s="969"/>
      <c r="G301" s="970"/>
      <c r="H301" s="971"/>
      <c r="I301" s="972"/>
      <c r="J301" s="973"/>
    </row>
    <row r="302" spans="1:10" ht="21" customHeight="1" x14ac:dyDescent="0.3">
      <c r="A302" s="971">
        <v>1</v>
      </c>
      <c r="B302" s="554" t="s">
        <v>21</v>
      </c>
      <c r="C302" s="554" t="s">
        <v>1518</v>
      </c>
      <c r="D302" s="968"/>
      <c r="E302" s="555">
        <v>2012</v>
      </c>
      <c r="F302" s="969" t="s">
        <v>1426</v>
      </c>
      <c r="G302" s="970"/>
      <c r="H302" s="971">
        <v>1</v>
      </c>
      <c r="I302" s="972"/>
      <c r="J302" s="973"/>
    </row>
    <row r="303" spans="1:10" ht="21" customHeight="1" x14ac:dyDescent="0.3">
      <c r="A303" s="971">
        <v>2</v>
      </c>
      <c r="B303" s="554" t="s">
        <v>20</v>
      </c>
      <c r="C303" s="554" t="s">
        <v>1350</v>
      </c>
      <c r="D303" s="968"/>
      <c r="E303" s="555">
        <v>2011</v>
      </c>
      <c r="F303" s="969" t="s">
        <v>1426</v>
      </c>
      <c r="G303" s="970"/>
      <c r="H303" s="971">
        <v>2</v>
      </c>
      <c r="I303" s="972"/>
      <c r="J303" s="973"/>
    </row>
    <row r="304" spans="1:10" ht="21" customHeight="1" x14ac:dyDescent="0.3">
      <c r="A304" s="971">
        <v>3</v>
      </c>
      <c r="B304" s="554" t="s">
        <v>35</v>
      </c>
      <c r="C304" s="554" t="s">
        <v>1332</v>
      </c>
      <c r="D304" s="968"/>
      <c r="E304" s="555">
        <v>2011</v>
      </c>
      <c r="F304" s="969" t="s">
        <v>1426</v>
      </c>
      <c r="G304" s="970"/>
      <c r="H304" s="971">
        <v>3</v>
      </c>
      <c r="I304" s="972"/>
      <c r="J304" s="973"/>
    </row>
    <row r="305" spans="1:10" ht="21" customHeight="1" x14ac:dyDescent="0.3">
      <c r="A305" s="971">
        <v>4</v>
      </c>
      <c r="B305" s="554" t="s">
        <v>25</v>
      </c>
      <c r="C305" s="554" t="s">
        <v>1520</v>
      </c>
      <c r="D305" s="968"/>
      <c r="E305" s="555">
        <v>2011</v>
      </c>
      <c r="F305" s="969" t="s">
        <v>1250</v>
      </c>
      <c r="G305" s="970"/>
      <c r="H305" s="971">
        <v>4</v>
      </c>
      <c r="I305" s="972"/>
      <c r="J305" s="973"/>
    </row>
    <row r="306" spans="1:10" ht="21" customHeight="1" x14ac:dyDescent="0.3">
      <c r="A306" s="971">
        <v>5</v>
      </c>
      <c r="B306" s="554" t="s">
        <v>20</v>
      </c>
      <c r="C306" s="554" t="s">
        <v>1517</v>
      </c>
      <c r="D306" s="968"/>
      <c r="E306" s="555">
        <v>2011</v>
      </c>
      <c r="F306" s="969" t="s">
        <v>1250</v>
      </c>
      <c r="G306" s="970"/>
      <c r="H306" s="971">
        <v>5</v>
      </c>
      <c r="I306" s="972"/>
      <c r="J306" s="973"/>
    </row>
    <row r="307" spans="1:10" ht="21" customHeight="1" x14ac:dyDescent="0.3">
      <c r="A307" s="971">
        <v>6</v>
      </c>
      <c r="B307" s="554" t="s">
        <v>20</v>
      </c>
      <c r="C307" s="554" t="s">
        <v>1361</v>
      </c>
      <c r="D307" s="968"/>
      <c r="E307" s="555">
        <v>2012</v>
      </c>
      <c r="F307" s="969" t="s">
        <v>1381</v>
      </c>
      <c r="G307" s="970"/>
      <c r="H307" s="971">
        <v>6</v>
      </c>
      <c r="I307" s="972"/>
      <c r="J307" s="973"/>
    </row>
    <row r="308" spans="1:10" ht="21" customHeight="1" x14ac:dyDescent="0.3">
      <c r="A308" s="971"/>
      <c r="B308" s="554"/>
      <c r="C308" s="554"/>
      <c r="D308" s="968"/>
      <c r="E308" s="555" t="s">
        <v>1276</v>
      </c>
      <c r="F308" s="969"/>
      <c r="G308" s="970"/>
      <c r="H308" s="971"/>
      <c r="I308" s="972"/>
      <c r="J308" s="973"/>
    </row>
    <row r="309" spans="1:10" ht="21" customHeight="1" x14ac:dyDescent="0.3">
      <c r="A309" s="971">
        <v>1</v>
      </c>
      <c r="B309" s="554" t="s">
        <v>20</v>
      </c>
      <c r="C309" s="554" t="s">
        <v>1359</v>
      </c>
      <c r="D309" s="968"/>
      <c r="E309" s="555">
        <v>2012</v>
      </c>
      <c r="F309" s="969" t="s">
        <v>1443</v>
      </c>
      <c r="G309" s="970"/>
      <c r="H309" s="971">
        <v>1</v>
      </c>
      <c r="I309" s="972"/>
      <c r="J309" s="973"/>
    </row>
    <row r="310" spans="1:10" ht="21" customHeight="1" x14ac:dyDescent="0.3">
      <c r="A310" s="971">
        <v>2</v>
      </c>
      <c r="B310" s="554" t="s">
        <v>20</v>
      </c>
      <c r="C310" s="554" t="s">
        <v>1358</v>
      </c>
      <c r="D310" s="968"/>
      <c r="E310" s="555">
        <v>2012</v>
      </c>
      <c r="F310" s="969" t="s">
        <v>1450</v>
      </c>
      <c r="G310" s="970"/>
      <c r="H310" s="971">
        <v>2</v>
      </c>
      <c r="I310" s="972"/>
      <c r="J310" s="973"/>
    </row>
    <row r="311" spans="1:10" ht="21" customHeight="1" x14ac:dyDescent="0.3">
      <c r="A311" s="971">
        <v>3</v>
      </c>
      <c r="B311" s="554" t="s">
        <v>20</v>
      </c>
      <c r="C311" s="554" t="s">
        <v>1387</v>
      </c>
      <c r="D311" s="968"/>
      <c r="E311" s="555">
        <v>2012</v>
      </c>
      <c r="F311" s="969" t="s">
        <v>1450</v>
      </c>
      <c r="G311" s="970"/>
      <c r="H311" s="971">
        <v>3</v>
      </c>
      <c r="I311" s="972"/>
      <c r="J311" s="973"/>
    </row>
    <row r="312" spans="1:10" ht="21" customHeight="1" x14ac:dyDescent="0.3">
      <c r="A312" s="971">
        <v>4</v>
      </c>
      <c r="B312" s="554" t="s">
        <v>20</v>
      </c>
      <c r="C312" s="554" t="s">
        <v>1354</v>
      </c>
      <c r="D312" s="968"/>
      <c r="E312" s="555">
        <v>2011</v>
      </c>
      <c r="F312" s="969" t="s">
        <v>1250</v>
      </c>
      <c r="G312" s="970"/>
      <c r="H312" s="971">
        <v>4</v>
      </c>
      <c r="I312" s="972"/>
      <c r="J312" s="973"/>
    </row>
    <row r="313" spans="1:10" ht="21" customHeight="1" x14ac:dyDescent="0.3">
      <c r="A313" s="971">
        <v>5</v>
      </c>
      <c r="B313" s="554" t="s">
        <v>20</v>
      </c>
      <c r="C313" s="554" t="s">
        <v>1355</v>
      </c>
      <c r="D313" s="968"/>
      <c r="E313" s="555">
        <v>2011</v>
      </c>
      <c r="F313" s="969" t="s">
        <v>1250</v>
      </c>
      <c r="G313" s="970"/>
      <c r="H313" s="971">
        <v>5</v>
      </c>
      <c r="I313" s="972"/>
      <c r="J313" s="973"/>
    </row>
    <row r="314" spans="1:10" ht="21" customHeight="1" x14ac:dyDescent="0.3">
      <c r="A314" s="971">
        <v>6</v>
      </c>
      <c r="B314" s="554" t="s">
        <v>20</v>
      </c>
      <c r="C314" s="554" t="s">
        <v>1519</v>
      </c>
      <c r="D314" s="968"/>
      <c r="E314" s="555">
        <v>2011</v>
      </c>
      <c r="F314" s="969" t="s">
        <v>1434</v>
      </c>
      <c r="G314" s="970"/>
      <c r="H314" s="971">
        <v>6</v>
      </c>
      <c r="I314" s="972"/>
      <c r="J314" s="973"/>
    </row>
    <row r="315" spans="1:10" ht="21" customHeight="1" x14ac:dyDescent="0.3">
      <c r="A315" s="971"/>
      <c r="B315" s="554"/>
      <c r="C315" s="554"/>
      <c r="D315" s="968"/>
      <c r="E315" s="555" t="s">
        <v>1277</v>
      </c>
      <c r="F315" s="969"/>
      <c r="G315" s="970"/>
      <c r="H315" s="971"/>
      <c r="I315" s="972"/>
      <c r="J315" s="973"/>
    </row>
    <row r="316" spans="1:10" ht="21" customHeight="1" x14ac:dyDescent="0.3">
      <c r="A316" s="971">
        <v>1</v>
      </c>
      <c r="B316" s="554" t="s">
        <v>24</v>
      </c>
      <c r="C316" s="554" t="s">
        <v>1365</v>
      </c>
      <c r="D316" s="968"/>
      <c r="E316" s="555">
        <v>2012</v>
      </c>
      <c r="F316" s="969" t="s">
        <v>1450</v>
      </c>
      <c r="G316" s="970"/>
      <c r="H316" s="971">
        <v>1</v>
      </c>
      <c r="I316" s="972"/>
      <c r="J316" s="973"/>
    </row>
    <row r="317" spans="1:10" ht="21" customHeight="1" x14ac:dyDescent="0.3">
      <c r="A317" s="971">
        <v>2</v>
      </c>
      <c r="B317" s="554" t="s">
        <v>35</v>
      </c>
      <c r="C317" s="554" t="s">
        <v>1412</v>
      </c>
      <c r="D317" s="968"/>
      <c r="E317" s="555">
        <v>2011</v>
      </c>
      <c r="F317" s="969" t="s">
        <v>1426</v>
      </c>
      <c r="G317" s="970"/>
      <c r="H317" s="971">
        <v>2</v>
      </c>
      <c r="I317" s="972"/>
      <c r="J317" s="973"/>
    </row>
    <row r="318" spans="1:10" ht="21" customHeight="1" x14ac:dyDescent="0.3">
      <c r="A318" s="971">
        <v>3</v>
      </c>
      <c r="B318" s="554" t="s">
        <v>24</v>
      </c>
      <c r="C318" s="554" t="s">
        <v>1356</v>
      </c>
      <c r="D318" s="968"/>
      <c r="E318" s="555">
        <v>2011</v>
      </c>
      <c r="F318" s="969" t="s">
        <v>1250</v>
      </c>
      <c r="G318" s="970"/>
      <c r="H318" s="971">
        <v>3</v>
      </c>
      <c r="I318" s="972"/>
      <c r="J318" s="973"/>
    </row>
    <row r="319" spans="1:10" ht="21" customHeight="1" x14ac:dyDescent="0.3">
      <c r="A319" s="971">
        <v>4</v>
      </c>
      <c r="B319" s="554" t="s">
        <v>24</v>
      </c>
      <c r="C319" s="554" t="s">
        <v>1353</v>
      </c>
      <c r="D319" s="968"/>
      <c r="E319" s="555">
        <v>2011</v>
      </c>
      <c r="F319" s="969" t="s">
        <v>1250</v>
      </c>
      <c r="G319" s="970"/>
      <c r="H319" s="971">
        <v>4</v>
      </c>
      <c r="I319" s="972"/>
      <c r="J319" s="973"/>
    </row>
    <row r="320" spans="1:10" ht="21" customHeight="1" x14ac:dyDescent="0.3">
      <c r="A320" s="971">
        <v>5</v>
      </c>
      <c r="B320" s="554" t="s">
        <v>24</v>
      </c>
      <c r="C320" s="554" t="s">
        <v>1547</v>
      </c>
      <c r="D320" s="968"/>
      <c r="E320" s="555">
        <v>2012</v>
      </c>
      <c r="F320" s="969" t="s">
        <v>1443</v>
      </c>
      <c r="G320" s="970"/>
      <c r="H320" s="971">
        <v>5</v>
      </c>
      <c r="I320" s="972"/>
      <c r="J320" s="973"/>
    </row>
    <row r="321" spans="1:10" ht="21" customHeight="1" x14ac:dyDescent="0.3">
      <c r="A321" s="971">
        <v>6</v>
      </c>
      <c r="B321" s="554" t="s">
        <v>20</v>
      </c>
      <c r="C321" s="554" t="s">
        <v>1351</v>
      </c>
      <c r="D321" s="968"/>
      <c r="E321" s="555">
        <v>2011</v>
      </c>
      <c r="F321" s="969" t="s">
        <v>1426</v>
      </c>
      <c r="G321" s="970"/>
      <c r="H321" s="971">
        <v>6</v>
      </c>
      <c r="I321" s="972"/>
      <c r="J321" s="973"/>
    </row>
    <row r="322" spans="1:10" ht="21" customHeight="1" x14ac:dyDescent="0.3">
      <c r="A322" s="971"/>
      <c r="B322" s="554"/>
      <c r="C322" s="554" t="s">
        <v>1568</v>
      </c>
      <c r="D322" s="968"/>
      <c r="E322" s="555"/>
      <c r="F322" s="969"/>
      <c r="G322" s="970"/>
      <c r="H322" s="971"/>
      <c r="I322" s="972"/>
      <c r="J322" s="973"/>
    </row>
    <row r="323" spans="1:10" ht="21" customHeight="1" x14ac:dyDescent="0.3">
      <c r="A323" s="971"/>
      <c r="B323" s="554"/>
      <c r="C323" s="554"/>
      <c r="D323" s="968"/>
      <c r="E323" s="555" t="s">
        <v>1278</v>
      </c>
      <c r="F323" s="969"/>
      <c r="G323" s="970"/>
      <c r="H323" s="971"/>
      <c r="I323" s="972"/>
      <c r="J323" s="973"/>
    </row>
    <row r="324" spans="1:10" ht="21" customHeight="1" x14ac:dyDescent="0.3">
      <c r="A324" s="971">
        <v>1</v>
      </c>
      <c r="B324" s="554" t="s">
        <v>20</v>
      </c>
      <c r="C324" s="554" t="s">
        <v>1320</v>
      </c>
      <c r="D324" s="968"/>
      <c r="E324" s="555">
        <v>2010</v>
      </c>
      <c r="F324" s="969" t="s">
        <v>1250</v>
      </c>
      <c r="G324" s="970"/>
      <c r="H324" s="971">
        <v>1</v>
      </c>
      <c r="I324" s="972"/>
      <c r="J324" s="973"/>
    </row>
    <row r="325" spans="1:10" ht="21" customHeight="1" x14ac:dyDescent="0.3">
      <c r="A325" s="971">
        <v>2</v>
      </c>
      <c r="B325" s="554" t="s">
        <v>24</v>
      </c>
      <c r="C325" s="554" t="s">
        <v>1411</v>
      </c>
      <c r="D325" s="968"/>
      <c r="E325" s="555">
        <v>2010</v>
      </c>
      <c r="F325" s="969" t="s">
        <v>1289</v>
      </c>
      <c r="G325" s="970"/>
      <c r="H325" s="971">
        <v>2</v>
      </c>
      <c r="I325" s="972"/>
      <c r="J325" s="973"/>
    </row>
    <row r="326" spans="1:10" ht="21" customHeight="1" x14ac:dyDescent="0.3">
      <c r="A326" s="971">
        <v>3</v>
      </c>
      <c r="B326" s="554" t="s">
        <v>24</v>
      </c>
      <c r="C326" s="554" t="s">
        <v>1369</v>
      </c>
      <c r="D326" s="968"/>
      <c r="E326" s="555">
        <v>2009</v>
      </c>
      <c r="F326" s="969" t="s">
        <v>1289</v>
      </c>
      <c r="G326" s="970"/>
      <c r="H326" s="971">
        <v>3</v>
      </c>
      <c r="I326" s="972"/>
      <c r="J326" s="973"/>
    </row>
    <row r="327" spans="1:10" ht="21" customHeight="1" x14ac:dyDescent="0.3">
      <c r="A327" s="971">
        <v>4</v>
      </c>
      <c r="B327" s="554" t="s">
        <v>25</v>
      </c>
      <c r="C327" s="554" t="s">
        <v>1529</v>
      </c>
      <c r="D327" s="968"/>
      <c r="E327" s="555">
        <v>2008</v>
      </c>
      <c r="F327" s="969" t="s">
        <v>1289</v>
      </c>
      <c r="G327" s="970"/>
      <c r="H327" s="971">
        <v>4</v>
      </c>
      <c r="I327" s="972"/>
      <c r="J327" s="973"/>
    </row>
    <row r="328" spans="1:10" ht="21" customHeight="1" x14ac:dyDescent="0.3">
      <c r="A328" s="971">
        <v>5</v>
      </c>
      <c r="B328" s="554" t="s">
        <v>20</v>
      </c>
      <c r="C328" s="554" t="s">
        <v>1523</v>
      </c>
      <c r="D328" s="968"/>
      <c r="E328" s="555">
        <v>2010</v>
      </c>
      <c r="F328" s="969" t="s">
        <v>1433</v>
      </c>
      <c r="G328" s="970"/>
      <c r="H328" s="971">
        <v>5</v>
      </c>
      <c r="I328" s="972"/>
      <c r="J328" s="973"/>
    </row>
    <row r="329" spans="1:10" ht="21" customHeight="1" x14ac:dyDescent="0.3">
      <c r="A329" s="971">
        <v>6</v>
      </c>
      <c r="B329" s="554" t="s">
        <v>20</v>
      </c>
      <c r="C329" s="554" t="s">
        <v>1524</v>
      </c>
      <c r="D329" s="968"/>
      <c r="E329" s="555">
        <v>2008</v>
      </c>
      <c r="F329" s="969" t="s">
        <v>1433</v>
      </c>
      <c r="G329" s="970"/>
      <c r="H329" s="971">
        <v>6</v>
      </c>
      <c r="I329" s="972"/>
      <c r="J329" s="973"/>
    </row>
    <row r="330" spans="1:10" ht="21" customHeight="1" x14ac:dyDescent="0.3">
      <c r="A330" s="971"/>
      <c r="B330" s="554"/>
      <c r="C330" s="554"/>
      <c r="D330" s="968"/>
      <c r="E330" s="555" t="s">
        <v>1279</v>
      </c>
      <c r="F330" s="969"/>
      <c r="G330" s="970"/>
      <c r="H330" s="971"/>
      <c r="I330" s="972"/>
      <c r="J330" s="973"/>
    </row>
    <row r="331" spans="1:10" ht="21" customHeight="1" x14ac:dyDescent="0.3">
      <c r="A331" s="971">
        <v>1</v>
      </c>
      <c r="B331" s="554" t="s">
        <v>24</v>
      </c>
      <c r="C331" s="554" t="s">
        <v>1312</v>
      </c>
      <c r="D331" s="968"/>
      <c r="E331" s="555">
        <v>2009</v>
      </c>
      <c r="F331" s="969" t="s">
        <v>1443</v>
      </c>
      <c r="G331" s="970"/>
      <c r="H331" s="971">
        <v>1</v>
      </c>
      <c r="I331" s="972"/>
      <c r="J331" s="973"/>
    </row>
    <row r="332" spans="1:10" ht="21" customHeight="1" x14ac:dyDescent="0.3">
      <c r="A332" s="971">
        <v>2</v>
      </c>
      <c r="B332" s="554" t="s">
        <v>24</v>
      </c>
      <c r="C332" s="554" t="s">
        <v>1531</v>
      </c>
      <c r="D332" s="968"/>
      <c r="E332" s="555">
        <v>2009</v>
      </c>
      <c r="F332" s="969" t="s">
        <v>1289</v>
      </c>
      <c r="G332" s="970"/>
      <c r="H332" s="971">
        <v>2</v>
      </c>
      <c r="I332" s="972"/>
      <c r="J332" s="973"/>
    </row>
    <row r="333" spans="1:10" ht="21" customHeight="1" x14ac:dyDescent="0.3">
      <c r="A333" s="971">
        <v>3</v>
      </c>
      <c r="B333" s="554" t="s">
        <v>24</v>
      </c>
      <c r="C333" s="554" t="s">
        <v>1321</v>
      </c>
      <c r="D333" s="968"/>
      <c r="E333" s="555">
        <v>2010</v>
      </c>
      <c r="F333" s="969" t="s">
        <v>1250</v>
      </c>
      <c r="G333" s="970"/>
      <c r="H333" s="971">
        <v>3</v>
      </c>
      <c r="I333" s="972"/>
      <c r="J333" s="973"/>
    </row>
    <row r="334" spans="1:10" ht="21" customHeight="1" x14ac:dyDescent="0.3">
      <c r="A334" s="971">
        <v>4</v>
      </c>
      <c r="B334" s="554" t="s">
        <v>24</v>
      </c>
      <c r="C334" s="554" t="s">
        <v>1413</v>
      </c>
      <c r="D334" s="968"/>
      <c r="E334" s="555">
        <v>2010</v>
      </c>
      <c r="F334" s="969" t="s">
        <v>1450</v>
      </c>
      <c r="G334" s="970"/>
      <c r="H334" s="971">
        <v>4</v>
      </c>
      <c r="I334" s="972"/>
      <c r="J334" s="973"/>
    </row>
    <row r="335" spans="1:10" ht="21" customHeight="1" x14ac:dyDescent="0.3">
      <c r="A335" s="971">
        <v>5</v>
      </c>
      <c r="B335" s="554" t="s">
        <v>24</v>
      </c>
      <c r="C335" s="554" t="s">
        <v>1527</v>
      </c>
      <c r="D335" s="968"/>
      <c r="E335" s="555">
        <v>2010</v>
      </c>
      <c r="F335" s="969" t="s">
        <v>1450</v>
      </c>
      <c r="G335" s="970"/>
      <c r="H335" s="971">
        <v>5</v>
      </c>
      <c r="I335" s="972"/>
      <c r="J335" s="973"/>
    </row>
    <row r="336" spans="1:10" ht="21" customHeight="1" x14ac:dyDescent="0.3">
      <c r="A336" s="971">
        <v>6</v>
      </c>
      <c r="B336" s="554" t="s">
        <v>24</v>
      </c>
      <c r="C336" s="554" t="s">
        <v>1406</v>
      </c>
      <c r="D336" s="968"/>
      <c r="E336" s="555">
        <v>2008</v>
      </c>
      <c r="F336" s="969" t="s">
        <v>1381</v>
      </c>
      <c r="G336" s="970"/>
      <c r="H336" s="971">
        <v>6</v>
      </c>
      <c r="I336" s="972"/>
      <c r="J336" s="973"/>
    </row>
    <row r="337" spans="1:10" ht="21" customHeight="1" x14ac:dyDescent="0.3">
      <c r="A337" s="971"/>
      <c r="B337" s="554"/>
      <c r="C337" s="554"/>
      <c r="D337" s="968"/>
      <c r="E337" s="555"/>
      <c r="F337" s="969"/>
      <c r="G337" s="970"/>
      <c r="H337" s="971"/>
      <c r="I337" s="972"/>
      <c r="J337" s="973"/>
    </row>
    <row r="338" spans="1:10" ht="21" customHeight="1" x14ac:dyDescent="0.3">
      <c r="A338" s="971"/>
      <c r="B338" s="554"/>
      <c r="C338" s="554"/>
      <c r="D338" s="968"/>
      <c r="E338" s="555" t="s">
        <v>1280</v>
      </c>
      <c r="F338" s="969"/>
      <c r="G338" s="970"/>
      <c r="H338" s="971"/>
      <c r="I338" s="972"/>
      <c r="J338" s="973"/>
    </row>
    <row r="339" spans="1:10" ht="21" customHeight="1" x14ac:dyDescent="0.3">
      <c r="A339" s="971">
        <v>1</v>
      </c>
      <c r="B339" s="554" t="s">
        <v>24</v>
      </c>
      <c r="C339" s="554" t="s">
        <v>1319</v>
      </c>
      <c r="D339" s="968"/>
      <c r="E339" s="555">
        <v>2010</v>
      </c>
      <c r="F339" s="969" t="s">
        <v>1250</v>
      </c>
      <c r="G339" s="970"/>
      <c r="H339" s="971">
        <v>1</v>
      </c>
      <c r="I339" s="972"/>
      <c r="J339" s="973"/>
    </row>
    <row r="340" spans="1:10" ht="21" customHeight="1" x14ac:dyDescent="0.3">
      <c r="A340" s="971">
        <v>2</v>
      </c>
      <c r="B340" s="554" t="s">
        <v>24</v>
      </c>
      <c r="C340" s="554" t="s">
        <v>1532</v>
      </c>
      <c r="D340" s="968"/>
      <c r="E340" s="555">
        <v>2009</v>
      </c>
      <c r="F340" s="969" t="s">
        <v>1289</v>
      </c>
      <c r="G340" s="970"/>
      <c r="H340" s="971">
        <v>2</v>
      </c>
      <c r="I340" s="972"/>
      <c r="J340" s="973"/>
    </row>
    <row r="341" spans="1:10" ht="21" customHeight="1" x14ac:dyDescent="0.3">
      <c r="A341" s="971">
        <v>3</v>
      </c>
      <c r="B341" s="554" t="s">
        <v>24</v>
      </c>
      <c r="C341" s="554" t="s">
        <v>1528</v>
      </c>
      <c r="D341" s="968"/>
      <c r="E341" s="555">
        <v>2009</v>
      </c>
      <c r="F341" s="969" t="s">
        <v>1250</v>
      </c>
      <c r="G341" s="970"/>
      <c r="H341" s="971">
        <v>3</v>
      </c>
      <c r="I341" s="972"/>
      <c r="J341" s="973"/>
    </row>
    <row r="342" spans="1:10" ht="21" customHeight="1" x14ac:dyDescent="0.3">
      <c r="A342" s="971">
        <v>4</v>
      </c>
      <c r="B342" s="554" t="s">
        <v>24</v>
      </c>
      <c r="C342" s="554" t="s">
        <v>1521</v>
      </c>
      <c r="D342" s="968"/>
      <c r="E342" s="555">
        <v>2010</v>
      </c>
      <c r="F342" s="969" t="s">
        <v>460</v>
      </c>
      <c r="G342" s="970"/>
      <c r="H342" s="971">
        <v>4</v>
      </c>
      <c r="I342" s="972"/>
      <c r="J342" s="973"/>
    </row>
    <row r="343" spans="1:10" ht="21" customHeight="1" x14ac:dyDescent="0.3">
      <c r="A343" s="971">
        <v>5</v>
      </c>
      <c r="B343" s="554" t="s">
        <v>24</v>
      </c>
      <c r="C343" s="554" t="s">
        <v>1409</v>
      </c>
      <c r="D343" s="968"/>
      <c r="E343" s="555">
        <v>2009</v>
      </c>
      <c r="F343" s="969" t="s">
        <v>1450</v>
      </c>
      <c r="G343" s="970"/>
      <c r="H343" s="971">
        <v>5</v>
      </c>
      <c r="I343" s="972"/>
      <c r="J343" s="973"/>
    </row>
    <row r="344" spans="1:10" ht="21" customHeight="1" x14ac:dyDescent="0.3">
      <c r="A344" s="971">
        <v>6</v>
      </c>
      <c r="B344" s="554" t="s">
        <v>24</v>
      </c>
      <c r="C344" s="554" t="s">
        <v>1408</v>
      </c>
      <c r="D344" s="968"/>
      <c r="E344" s="555">
        <v>2009</v>
      </c>
      <c r="F344" s="969" t="s">
        <v>1450</v>
      </c>
      <c r="G344" s="970"/>
      <c r="H344" s="971">
        <v>6</v>
      </c>
      <c r="I344" s="972"/>
      <c r="J344" s="973"/>
    </row>
    <row r="345" spans="1:10" ht="21" customHeight="1" x14ac:dyDescent="0.3">
      <c r="A345" s="971"/>
      <c r="B345" s="554"/>
      <c r="C345" s="554"/>
      <c r="D345" s="968"/>
      <c r="E345" s="555" t="s">
        <v>1281</v>
      </c>
      <c r="F345" s="969"/>
      <c r="G345" s="970"/>
      <c r="H345" s="971"/>
      <c r="I345" s="972"/>
      <c r="J345" s="973"/>
    </row>
    <row r="346" spans="1:10" ht="21" customHeight="1" x14ac:dyDescent="0.3">
      <c r="A346" s="971">
        <v>1</v>
      </c>
      <c r="B346" s="554" t="s">
        <v>24</v>
      </c>
      <c r="C346" s="554" t="s">
        <v>1533</v>
      </c>
      <c r="D346" s="968"/>
      <c r="E346" s="555">
        <v>2009</v>
      </c>
      <c r="F346" s="969" t="s">
        <v>1289</v>
      </c>
      <c r="G346" s="970"/>
      <c r="H346" s="971">
        <v>1</v>
      </c>
      <c r="I346" s="972"/>
      <c r="J346" s="973"/>
    </row>
    <row r="347" spans="1:10" ht="21" customHeight="1" x14ac:dyDescent="0.3">
      <c r="A347" s="971">
        <v>2</v>
      </c>
      <c r="B347" s="554" t="s">
        <v>35</v>
      </c>
      <c r="C347" s="554" t="s">
        <v>1322</v>
      </c>
      <c r="D347" s="968"/>
      <c r="E347" s="555">
        <v>2010</v>
      </c>
      <c r="F347" s="969" t="s">
        <v>1250</v>
      </c>
      <c r="G347" s="970"/>
      <c r="H347" s="971">
        <v>2</v>
      </c>
      <c r="I347" s="972"/>
      <c r="J347" s="973"/>
    </row>
    <row r="348" spans="1:10" ht="21" customHeight="1" x14ac:dyDescent="0.3">
      <c r="A348" s="971">
        <v>3</v>
      </c>
      <c r="B348" s="554" t="s">
        <v>6</v>
      </c>
      <c r="C348" s="554" t="s">
        <v>1569</v>
      </c>
      <c r="D348" s="968"/>
      <c r="E348" s="555">
        <v>2007</v>
      </c>
      <c r="F348" s="969" t="s">
        <v>1381</v>
      </c>
      <c r="G348" s="970"/>
      <c r="H348" s="971">
        <v>3</v>
      </c>
      <c r="I348" s="972"/>
      <c r="J348" s="973"/>
    </row>
    <row r="349" spans="1:10" ht="21" customHeight="1" x14ac:dyDescent="0.3">
      <c r="A349" s="971">
        <v>4</v>
      </c>
      <c r="B349" s="554" t="s">
        <v>24</v>
      </c>
      <c r="C349" s="554" t="s">
        <v>1318</v>
      </c>
      <c r="D349" s="968"/>
      <c r="E349" s="555">
        <v>2009</v>
      </c>
      <c r="F349" s="969" t="s">
        <v>1250</v>
      </c>
      <c r="G349" s="970"/>
      <c r="H349" s="971">
        <v>4</v>
      </c>
      <c r="I349" s="972"/>
      <c r="J349" s="973"/>
    </row>
    <row r="350" spans="1:10" ht="21" customHeight="1" x14ac:dyDescent="0.3">
      <c r="A350" s="971">
        <v>5</v>
      </c>
      <c r="B350" s="554" t="s">
        <v>24</v>
      </c>
      <c r="C350" s="554" t="s">
        <v>1551</v>
      </c>
      <c r="D350" s="968"/>
      <c r="E350" s="555">
        <v>2010</v>
      </c>
      <c r="F350" s="969" t="s">
        <v>1250</v>
      </c>
      <c r="G350" s="970"/>
      <c r="H350" s="971">
        <v>5</v>
      </c>
      <c r="I350" s="972"/>
      <c r="J350" s="973"/>
    </row>
    <row r="351" spans="1:10" ht="21" customHeight="1" x14ac:dyDescent="0.3">
      <c r="A351" s="971">
        <v>6</v>
      </c>
      <c r="B351" s="554" t="s">
        <v>24</v>
      </c>
      <c r="C351" s="554" t="s">
        <v>1297</v>
      </c>
      <c r="D351" s="968"/>
      <c r="E351" s="555">
        <v>2009</v>
      </c>
      <c r="F351" s="969" t="s">
        <v>1443</v>
      </c>
      <c r="G351" s="970"/>
      <c r="H351" s="971">
        <v>6</v>
      </c>
      <c r="I351" s="972"/>
      <c r="J351" s="973"/>
    </row>
    <row r="352" spans="1:10" ht="21" customHeight="1" x14ac:dyDescent="0.3">
      <c r="A352" s="971"/>
      <c r="B352" s="554"/>
      <c r="C352" s="554"/>
      <c r="D352" s="968"/>
      <c r="E352" s="555" t="s">
        <v>1282</v>
      </c>
      <c r="F352" s="969"/>
      <c r="G352" s="970"/>
      <c r="H352" s="971"/>
      <c r="I352" s="972"/>
      <c r="J352" s="973"/>
    </row>
    <row r="353" spans="1:10" ht="21" customHeight="1" x14ac:dyDescent="0.3">
      <c r="A353" s="971">
        <v>1</v>
      </c>
      <c r="B353" s="554" t="s">
        <v>137</v>
      </c>
      <c r="C353" s="554" t="s">
        <v>1534</v>
      </c>
      <c r="D353" s="968"/>
      <c r="E353" s="555">
        <v>2010</v>
      </c>
      <c r="F353" s="969" t="s">
        <v>1250</v>
      </c>
      <c r="G353" s="970"/>
      <c r="H353" s="971">
        <v>1</v>
      </c>
      <c r="I353" s="972"/>
      <c r="J353" s="973"/>
    </row>
    <row r="354" spans="1:10" ht="21" customHeight="1" x14ac:dyDescent="0.3">
      <c r="A354" s="971">
        <v>2</v>
      </c>
      <c r="B354" s="554" t="s">
        <v>24</v>
      </c>
      <c r="C354" s="554" t="s">
        <v>1310</v>
      </c>
      <c r="D354" s="968"/>
      <c r="E354" s="555">
        <v>2010</v>
      </c>
      <c r="F354" s="969" t="s">
        <v>1426</v>
      </c>
      <c r="G354" s="970"/>
      <c r="H354" s="971">
        <v>2</v>
      </c>
      <c r="I354" s="972"/>
      <c r="J354" s="973"/>
    </row>
    <row r="355" spans="1:10" ht="21" customHeight="1" x14ac:dyDescent="0.3">
      <c r="A355" s="971">
        <v>3</v>
      </c>
      <c r="B355" s="554" t="s">
        <v>23</v>
      </c>
      <c r="C355" s="554" t="s">
        <v>1311</v>
      </c>
      <c r="D355" s="968"/>
      <c r="E355" s="555">
        <v>2010</v>
      </c>
      <c r="F355" s="969" t="s">
        <v>1443</v>
      </c>
      <c r="G355" s="970"/>
      <c r="H355" s="971">
        <v>3</v>
      </c>
      <c r="I355" s="972"/>
      <c r="J355" s="973"/>
    </row>
    <row r="356" spans="1:10" ht="21" customHeight="1" x14ac:dyDescent="0.3">
      <c r="A356" s="971">
        <v>4</v>
      </c>
      <c r="B356" s="554" t="s">
        <v>23</v>
      </c>
      <c r="C356" s="554" t="s">
        <v>1302</v>
      </c>
      <c r="D356" s="968"/>
      <c r="E356" s="555">
        <v>2009</v>
      </c>
      <c r="F356" s="969" t="s">
        <v>460</v>
      </c>
      <c r="G356" s="970"/>
      <c r="H356" s="971">
        <v>4</v>
      </c>
      <c r="I356" s="972"/>
      <c r="J356" s="973"/>
    </row>
    <row r="357" spans="1:10" ht="21" customHeight="1" x14ac:dyDescent="0.3">
      <c r="A357" s="971">
        <v>5</v>
      </c>
      <c r="B357" s="554" t="s">
        <v>24</v>
      </c>
      <c r="C357" s="554" t="s">
        <v>1418</v>
      </c>
      <c r="D357" s="968"/>
      <c r="E357" s="555">
        <v>2008</v>
      </c>
      <c r="F357" s="969" t="s">
        <v>1250</v>
      </c>
      <c r="G357" s="970"/>
      <c r="H357" s="971">
        <v>5</v>
      </c>
      <c r="I357" s="972"/>
      <c r="J357" s="973"/>
    </row>
    <row r="358" spans="1:10" ht="21" customHeight="1" x14ac:dyDescent="0.3">
      <c r="A358" s="971">
        <v>6</v>
      </c>
      <c r="B358" s="554" t="s">
        <v>23</v>
      </c>
      <c r="C358" s="554" t="s">
        <v>1300</v>
      </c>
      <c r="D358" s="968"/>
      <c r="E358" s="555">
        <v>2010</v>
      </c>
      <c r="F358" s="969" t="s">
        <v>1381</v>
      </c>
      <c r="G358" s="970"/>
      <c r="H358" s="971">
        <v>6</v>
      </c>
      <c r="I358" s="972"/>
      <c r="J358" s="973"/>
    </row>
    <row r="359" spans="1:10" ht="21" customHeight="1" x14ac:dyDescent="0.3">
      <c r="A359" s="971"/>
      <c r="B359" s="554"/>
      <c r="C359" s="554"/>
      <c r="D359" s="968"/>
      <c r="E359" s="555" t="s">
        <v>1283</v>
      </c>
      <c r="F359" s="969"/>
      <c r="G359" s="970"/>
      <c r="H359" s="971"/>
      <c r="I359" s="972"/>
      <c r="J359" s="973"/>
    </row>
    <row r="360" spans="1:10" ht="21" customHeight="1" x14ac:dyDescent="0.3">
      <c r="A360" s="971"/>
      <c r="B360" s="554"/>
      <c r="C360" s="554"/>
      <c r="D360" s="968"/>
      <c r="E360" s="555"/>
      <c r="F360" s="969"/>
      <c r="G360" s="970"/>
      <c r="H360" s="971"/>
      <c r="I360" s="972"/>
      <c r="J360" s="973"/>
    </row>
    <row r="361" spans="1:10" ht="21" customHeight="1" x14ac:dyDescent="0.3">
      <c r="A361" s="971">
        <v>1</v>
      </c>
      <c r="B361" s="554" t="s">
        <v>23</v>
      </c>
      <c r="C361" s="554" t="s">
        <v>1538</v>
      </c>
      <c r="D361" s="968"/>
      <c r="E361" s="555">
        <v>2007</v>
      </c>
      <c r="F361" s="969" t="s">
        <v>1289</v>
      </c>
      <c r="G361" s="970"/>
      <c r="H361" s="971">
        <v>1</v>
      </c>
      <c r="I361" s="972"/>
      <c r="J361" s="973"/>
    </row>
    <row r="362" spans="1:10" ht="21" customHeight="1" x14ac:dyDescent="0.3">
      <c r="A362" s="971">
        <v>2</v>
      </c>
      <c r="B362" s="554" t="s">
        <v>23</v>
      </c>
      <c r="C362" s="554" t="s">
        <v>1309</v>
      </c>
      <c r="D362" s="968"/>
      <c r="E362" s="555">
        <v>2009</v>
      </c>
      <c r="F362" s="969" t="s">
        <v>1426</v>
      </c>
      <c r="G362" s="970"/>
      <c r="H362" s="971">
        <v>2</v>
      </c>
      <c r="I362" s="972"/>
      <c r="J362" s="973"/>
    </row>
    <row r="363" spans="1:10" ht="21" customHeight="1" x14ac:dyDescent="0.3">
      <c r="A363" s="971">
        <v>3</v>
      </c>
      <c r="B363" s="554" t="s">
        <v>6</v>
      </c>
      <c r="C363" s="554" t="s">
        <v>1549</v>
      </c>
      <c r="D363" s="968"/>
      <c r="E363" s="555">
        <v>2010</v>
      </c>
      <c r="F363" s="969" t="s">
        <v>460</v>
      </c>
      <c r="G363" s="970"/>
      <c r="H363" s="971">
        <v>3</v>
      </c>
      <c r="I363" s="972"/>
      <c r="J363" s="973"/>
    </row>
    <row r="364" spans="1:10" ht="21" customHeight="1" x14ac:dyDescent="0.3">
      <c r="A364" s="971">
        <v>4</v>
      </c>
      <c r="B364" s="554" t="s">
        <v>23</v>
      </c>
      <c r="C364" s="554" t="s">
        <v>1537</v>
      </c>
      <c r="D364" s="968"/>
      <c r="E364" s="555">
        <v>2010</v>
      </c>
      <c r="F364" s="969" t="s">
        <v>1450</v>
      </c>
      <c r="G364" s="970"/>
      <c r="H364" s="971">
        <v>4</v>
      </c>
      <c r="I364" s="972"/>
      <c r="J364" s="973"/>
    </row>
    <row r="365" spans="1:10" ht="21" customHeight="1" x14ac:dyDescent="0.3">
      <c r="A365" s="971">
        <v>5</v>
      </c>
      <c r="B365" s="554" t="s">
        <v>23</v>
      </c>
      <c r="C365" s="554" t="s">
        <v>1299</v>
      </c>
      <c r="D365" s="968"/>
      <c r="E365" s="555">
        <v>2010</v>
      </c>
      <c r="F365" s="969" t="s">
        <v>1426</v>
      </c>
      <c r="G365" s="970"/>
      <c r="H365" s="971">
        <v>5</v>
      </c>
      <c r="I365" s="972"/>
      <c r="J365" s="973"/>
    </row>
    <row r="366" spans="1:10" ht="21" customHeight="1" x14ac:dyDescent="0.3">
      <c r="A366" s="971">
        <v>6</v>
      </c>
      <c r="B366" s="554"/>
      <c r="C366" s="554"/>
      <c r="D366" s="968"/>
      <c r="E366" s="555"/>
      <c r="F366" s="969"/>
      <c r="G366" s="970"/>
      <c r="H366" s="971">
        <v>6</v>
      </c>
      <c r="I366" s="972"/>
      <c r="J366" s="973"/>
    </row>
    <row r="367" spans="1:10" ht="21" customHeight="1" x14ac:dyDescent="0.3">
      <c r="A367" s="971"/>
      <c r="B367" s="554"/>
      <c r="C367" s="554"/>
      <c r="D367" s="968"/>
      <c r="E367" s="555"/>
      <c r="F367" s="969"/>
      <c r="G367" s="970"/>
      <c r="H367" s="971"/>
      <c r="I367" s="972"/>
      <c r="J367" s="973"/>
    </row>
    <row r="368" spans="1:10" ht="21" customHeight="1" x14ac:dyDescent="0.3">
      <c r="A368" s="971"/>
      <c r="B368" s="554"/>
      <c r="C368" s="554"/>
      <c r="D368" s="968"/>
      <c r="E368" s="555"/>
      <c r="F368" s="969"/>
      <c r="G368" s="970"/>
      <c r="H368" s="971"/>
      <c r="I368" s="972"/>
      <c r="J368" s="973"/>
    </row>
    <row r="369" spans="1:10" ht="21" customHeight="1" x14ac:dyDescent="0.3">
      <c r="A369" s="971"/>
      <c r="B369" s="554"/>
      <c r="C369" s="554"/>
      <c r="D369" s="968"/>
      <c r="E369" s="555" t="s">
        <v>1284</v>
      </c>
      <c r="F369" s="969"/>
      <c r="G369" s="970"/>
      <c r="H369" s="971"/>
      <c r="I369" s="972"/>
      <c r="J369" s="973"/>
    </row>
    <row r="370" spans="1:10" ht="21" customHeight="1" x14ac:dyDescent="0.3">
      <c r="A370" s="971"/>
      <c r="B370" s="554"/>
      <c r="C370" s="554"/>
      <c r="D370" s="968"/>
      <c r="E370" s="555"/>
      <c r="F370" s="969"/>
      <c r="G370" s="970"/>
      <c r="H370" s="971"/>
      <c r="I370" s="972"/>
      <c r="J370" s="973"/>
    </row>
    <row r="371" spans="1:10" ht="21" customHeight="1" x14ac:dyDescent="0.3">
      <c r="A371" s="971">
        <v>1</v>
      </c>
      <c r="B371" s="554" t="s">
        <v>23</v>
      </c>
      <c r="C371" s="554" t="s">
        <v>1536</v>
      </c>
      <c r="D371" s="968"/>
      <c r="E371" s="555">
        <v>2009</v>
      </c>
      <c r="F371" s="969" t="s">
        <v>1250</v>
      </c>
      <c r="G371" s="970"/>
      <c r="H371" s="971">
        <v>1</v>
      </c>
      <c r="I371" s="972"/>
      <c r="J371" s="973"/>
    </row>
    <row r="372" spans="1:10" ht="21" customHeight="1" x14ac:dyDescent="0.3">
      <c r="A372" s="971">
        <v>2</v>
      </c>
      <c r="B372" s="554" t="s">
        <v>6</v>
      </c>
      <c r="C372" s="554" t="s">
        <v>1540</v>
      </c>
      <c r="D372" s="968"/>
      <c r="E372" s="555">
        <v>2008</v>
      </c>
      <c r="F372" s="969" t="s">
        <v>1426</v>
      </c>
      <c r="G372" s="970"/>
      <c r="H372" s="971">
        <v>2</v>
      </c>
      <c r="I372" s="972"/>
      <c r="J372" s="973"/>
    </row>
    <row r="373" spans="1:10" ht="21" customHeight="1" x14ac:dyDescent="0.3">
      <c r="A373" s="971">
        <v>3</v>
      </c>
      <c r="B373" s="554" t="s">
        <v>6</v>
      </c>
      <c r="C373" s="554" t="s">
        <v>1314</v>
      </c>
      <c r="D373" s="968"/>
      <c r="E373" s="555">
        <v>2009</v>
      </c>
      <c r="F373" s="969" t="s">
        <v>1443</v>
      </c>
      <c r="G373" s="970"/>
      <c r="H373" s="971">
        <v>3</v>
      </c>
      <c r="I373" s="972"/>
      <c r="J373" s="973"/>
    </row>
    <row r="374" spans="1:10" ht="21" customHeight="1" x14ac:dyDescent="0.3">
      <c r="A374" s="971">
        <v>4</v>
      </c>
      <c r="B374" s="554" t="s">
        <v>23</v>
      </c>
      <c r="C374" s="554" t="s">
        <v>1541</v>
      </c>
      <c r="D374" s="968"/>
      <c r="E374" s="555">
        <v>2009</v>
      </c>
      <c r="F374" s="969" t="s">
        <v>1250</v>
      </c>
      <c r="G374" s="970"/>
      <c r="H374" s="971">
        <v>4</v>
      </c>
      <c r="I374" s="972"/>
      <c r="J374" s="973"/>
    </row>
    <row r="375" spans="1:10" ht="21" customHeight="1" x14ac:dyDescent="0.3">
      <c r="A375" s="971">
        <v>5</v>
      </c>
      <c r="B375" s="554" t="s">
        <v>6</v>
      </c>
      <c r="C375" s="554" t="s">
        <v>1542</v>
      </c>
      <c r="D375" s="968"/>
      <c r="E375" s="555">
        <v>2009</v>
      </c>
      <c r="F375" s="969" t="s">
        <v>460</v>
      </c>
      <c r="G375" s="970"/>
      <c r="H375" s="971">
        <v>5</v>
      </c>
      <c r="I375" s="972"/>
      <c r="J375" s="973"/>
    </row>
    <row r="376" spans="1:10" ht="21" customHeight="1" x14ac:dyDescent="0.3">
      <c r="A376" s="971">
        <v>6</v>
      </c>
      <c r="B376" s="554" t="s">
        <v>23</v>
      </c>
      <c r="C376" s="554" t="s">
        <v>1298</v>
      </c>
      <c r="D376" s="968"/>
      <c r="E376" s="555">
        <v>2008</v>
      </c>
      <c r="F376" s="969" t="s">
        <v>1426</v>
      </c>
      <c r="G376" s="970"/>
      <c r="H376" s="971">
        <v>6</v>
      </c>
      <c r="I376" s="972"/>
      <c r="J376" s="973"/>
    </row>
    <row r="377" spans="1:10" ht="21" customHeight="1" x14ac:dyDescent="0.3">
      <c r="A377" s="971"/>
      <c r="B377" s="554"/>
      <c r="C377" s="554"/>
      <c r="D377" s="968"/>
      <c r="E377" s="555"/>
      <c r="F377" s="969"/>
      <c r="G377" s="970"/>
      <c r="H377" s="971"/>
      <c r="I377" s="972"/>
      <c r="J377" s="973"/>
    </row>
    <row r="378" spans="1:10" ht="21" customHeight="1" x14ac:dyDescent="0.3">
      <c r="A378" s="971"/>
      <c r="B378" s="554"/>
      <c r="C378" s="554"/>
      <c r="D378" s="968"/>
      <c r="E378" s="555" t="s">
        <v>1285</v>
      </c>
      <c r="F378" s="969"/>
      <c r="G378" s="970"/>
      <c r="H378" s="971"/>
      <c r="I378" s="972"/>
      <c r="J378" s="973"/>
    </row>
    <row r="379" spans="1:10" ht="21" customHeight="1" x14ac:dyDescent="0.3">
      <c r="A379" s="971"/>
      <c r="B379" s="554"/>
      <c r="C379" s="554"/>
      <c r="D379" s="968"/>
      <c r="E379" s="555"/>
      <c r="F379" s="969"/>
      <c r="G379" s="970"/>
      <c r="H379" s="971"/>
      <c r="I379" s="972"/>
      <c r="J379" s="973"/>
    </row>
    <row r="380" spans="1:10" ht="21" customHeight="1" x14ac:dyDescent="0.3">
      <c r="A380" s="971">
        <v>1</v>
      </c>
      <c r="B380" s="554" t="s">
        <v>23</v>
      </c>
      <c r="C380" s="554" t="s">
        <v>1380</v>
      </c>
      <c r="D380" s="968"/>
      <c r="E380" s="555">
        <v>2009</v>
      </c>
      <c r="F380" s="969" t="s">
        <v>1250</v>
      </c>
      <c r="G380" s="970"/>
      <c r="H380" s="971">
        <v>1</v>
      </c>
      <c r="I380" s="972"/>
      <c r="J380" s="973"/>
    </row>
    <row r="381" spans="1:10" ht="21" customHeight="1" x14ac:dyDescent="0.3">
      <c r="A381" s="971">
        <v>2</v>
      </c>
      <c r="B381" s="554" t="s">
        <v>6</v>
      </c>
      <c r="C381" s="554" t="s">
        <v>1539</v>
      </c>
      <c r="D381" s="968"/>
      <c r="E381" s="555">
        <v>2007</v>
      </c>
      <c r="F381" s="969" t="s">
        <v>1469</v>
      </c>
      <c r="G381" s="970"/>
      <c r="H381" s="971">
        <v>2</v>
      </c>
      <c r="I381" s="972"/>
      <c r="J381" s="973"/>
    </row>
    <row r="382" spans="1:10" ht="21" customHeight="1" x14ac:dyDescent="0.3">
      <c r="A382" s="971">
        <v>3</v>
      </c>
      <c r="B382" s="554" t="s">
        <v>34</v>
      </c>
      <c r="C382" s="554" t="s">
        <v>1315</v>
      </c>
      <c r="D382" s="968"/>
      <c r="E382" s="555">
        <v>2009</v>
      </c>
      <c r="F382" s="969" t="s">
        <v>1426</v>
      </c>
      <c r="G382" s="970"/>
      <c r="H382" s="971">
        <v>3</v>
      </c>
      <c r="I382" s="972"/>
      <c r="J382" s="973"/>
    </row>
    <row r="383" spans="1:10" ht="21" customHeight="1" x14ac:dyDescent="0.3">
      <c r="A383" s="971">
        <v>4</v>
      </c>
      <c r="B383" s="554" t="s">
        <v>34</v>
      </c>
      <c r="C383" s="554" t="s">
        <v>1544</v>
      </c>
      <c r="D383" s="968"/>
      <c r="E383" s="555">
        <v>2007</v>
      </c>
      <c r="F383" s="969" t="s">
        <v>1450</v>
      </c>
      <c r="G383" s="970"/>
      <c r="H383" s="971">
        <v>4</v>
      </c>
      <c r="I383" s="972"/>
      <c r="J383" s="973"/>
    </row>
    <row r="384" spans="1:10" ht="21" customHeight="1" x14ac:dyDescent="0.3">
      <c r="A384" s="971">
        <v>5</v>
      </c>
      <c r="B384" s="554" t="s">
        <v>34</v>
      </c>
      <c r="C384" s="554" t="s">
        <v>1543</v>
      </c>
      <c r="D384" s="968"/>
      <c r="E384" s="555">
        <v>2008</v>
      </c>
      <c r="F384" s="969" t="s">
        <v>1434</v>
      </c>
      <c r="G384" s="970"/>
      <c r="H384" s="971">
        <v>5</v>
      </c>
      <c r="I384" s="972"/>
      <c r="J384" s="973"/>
    </row>
    <row r="385" spans="1:10" ht="21" customHeight="1" x14ac:dyDescent="0.3">
      <c r="A385" s="971">
        <v>6</v>
      </c>
      <c r="B385" s="554" t="s">
        <v>34</v>
      </c>
      <c r="C385" s="554" t="s">
        <v>1407</v>
      </c>
      <c r="D385" s="968"/>
      <c r="E385" s="555">
        <v>2008</v>
      </c>
      <c r="F385" s="969" t="s">
        <v>1250</v>
      </c>
      <c r="G385" s="970"/>
      <c r="H385" s="971">
        <v>6</v>
      </c>
      <c r="I385" s="972"/>
      <c r="J385" s="973"/>
    </row>
    <row r="386" spans="1:10" ht="21" customHeight="1" x14ac:dyDescent="0.3">
      <c r="A386" s="971"/>
      <c r="B386" s="554"/>
      <c r="C386" s="554"/>
      <c r="D386" s="968"/>
      <c r="E386" s="555"/>
      <c r="F386" s="969"/>
      <c r="G386" s="970"/>
      <c r="H386" s="971"/>
      <c r="I386" s="972"/>
      <c r="J386" s="973"/>
    </row>
    <row r="387" spans="1:10" ht="21" customHeight="1" x14ac:dyDescent="0.3">
      <c r="A387" s="971"/>
      <c r="B387" s="554"/>
      <c r="C387" s="554" t="s">
        <v>1570</v>
      </c>
      <c r="D387" s="968"/>
      <c r="E387" s="555"/>
      <c r="F387" s="969"/>
      <c r="G387" s="970"/>
      <c r="H387" s="971"/>
      <c r="I387" s="972"/>
      <c r="J387" s="973"/>
    </row>
    <row r="388" spans="1:10" ht="21" customHeight="1" x14ac:dyDescent="0.3">
      <c r="A388" s="971"/>
      <c r="B388" s="554"/>
      <c r="C388" s="554"/>
      <c r="D388" s="968"/>
      <c r="E388" s="555" t="s">
        <v>1286</v>
      </c>
      <c r="F388" s="969"/>
      <c r="G388" s="970"/>
      <c r="H388" s="971"/>
      <c r="I388" s="972"/>
      <c r="J388" s="973"/>
    </row>
    <row r="389" spans="1:10" ht="21" customHeight="1" x14ac:dyDescent="0.3">
      <c r="A389" s="971"/>
      <c r="B389" s="554"/>
      <c r="C389" s="554"/>
      <c r="D389" s="968"/>
      <c r="E389" s="555"/>
      <c r="F389" s="969"/>
      <c r="G389" s="970"/>
      <c r="H389" s="971"/>
      <c r="I389" s="972"/>
      <c r="J389" s="973"/>
    </row>
    <row r="390" spans="1:10" ht="21" customHeight="1" x14ac:dyDescent="0.3">
      <c r="A390" s="971">
        <v>1</v>
      </c>
      <c r="B390" s="554"/>
      <c r="C390" s="554"/>
      <c r="D390" s="968"/>
      <c r="E390" s="555"/>
      <c r="F390" s="969"/>
      <c r="G390" s="970"/>
      <c r="H390" s="971">
        <v>1</v>
      </c>
      <c r="I390" s="972"/>
      <c r="J390" s="973"/>
    </row>
    <row r="391" spans="1:10" ht="21" customHeight="1" x14ac:dyDescent="0.3">
      <c r="A391" s="971">
        <v>2</v>
      </c>
      <c r="B391" s="554" t="s">
        <v>21</v>
      </c>
      <c r="C391" s="554" t="s">
        <v>1331</v>
      </c>
      <c r="D391" s="968"/>
      <c r="E391" s="555">
        <v>2014</v>
      </c>
      <c r="F391" s="969" t="s">
        <v>1443</v>
      </c>
      <c r="G391" s="970"/>
      <c r="H391" s="971">
        <v>2</v>
      </c>
      <c r="I391" s="972"/>
      <c r="J391" s="973"/>
    </row>
    <row r="392" spans="1:10" ht="21" customHeight="1" x14ac:dyDescent="0.3">
      <c r="A392" s="971">
        <v>3</v>
      </c>
      <c r="B392" s="554" t="s">
        <v>24</v>
      </c>
      <c r="C392" s="554" t="s">
        <v>1328</v>
      </c>
      <c r="D392" s="968"/>
      <c r="E392" s="555">
        <v>2013</v>
      </c>
      <c r="F392" s="969" t="s">
        <v>1434</v>
      </c>
      <c r="G392" s="970"/>
      <c r="H392" s="971">
        <v>3</v>
      </c>
      <c r="I392" s="972"/>
      <c r="J392" s="973"/>
    </row>
    <row r="393" spans="1:10" ht="21" customHeight="1" x14ac:dyDescent="0.3">
      <c r="A393" s="971">
        <v>4</v>
      </c>
      <c r="B393" s="554" t="s">
        <v>24</v>
      </c>
      <c r="C393" s="554" t="s">
        <v>1329</v>
      </c>
      <c r="D393" s="968"/>
      <c r="E393" s="555">
        <v>2013</v>
      </c>
      <c r="F393" s="969" t="s">
        <v>1381</v>
      </c>
      <c r="G393" s="970"/>
      <c r="H393" s="971">
        <v>4</v>
      </c>
      <c r="I393" s="972"/>
      <c r="J393" s="973"/>
    </row>
    <row r="394" spans="1:10" ht="21" customHeight="1" x14ac:dyDescent="0.3">
      <c r="A394" s="971">
        <v>5</v>
      </c>
      <c r="B394" s="554" t="s">
        <v>35</v>
      </c>
      <c r="C394" s="554" t="s">
        <v>1384</v>
      </c>
      <c r="D394" s="968"/>
      <c r="E394" s="555">
        <v>2014</v>
      </c>
      <c r="F394" s="969" t="s">
        <v>1426</v>
      </c>
      <c r="G394" s="970"/>
      <c r="H394" s="971">
        <v>5</v>
      </c>
      <c r="I394" s="972"/>
      <c r="J394" s="973"/>
    </row>
    <row r="395" spans="1:10" ht="21" customHeight="1" x14ac:dyDescent="0.3">
      <c r="A395" s="971">
        <v>6</v>
      </c>
      <c r="B395" s="554"/>
      <c r="C395" s="554"/>
      <c r="D395" s="968"/>
      <c r="E395" s="555"/>
      <c r="F395" s="969"/>
      <c r="G395" s="970"/>
      <c r="H395" s="971">
        <v>6</v>
      </c>
      <c r="I395" s="972"/>
      <c r="J395" s="973"/>
    </row>
    <row r="396" spans="1:10" ht="21" customHeight="1" x14ac:dyDescent="0.3">
      <c r="A396" s="971"/>
      <c r="B396" s="554"/>
      <c r="C396" s="554"/>
      <c r="D396" s="968"/>
      <c r="E396" s="555"/>
      <c r="F396" s="969"/>
      <c r="G396" s="970"/>
      <c r="H396" s="971"/>
      <c r="I396" s="972"/>
      <c r="J396" s="973"/>
    </row>
    <row r="397" spans="1:10" ht="21" customHeight="1" x14ac:dyDescent="0.3">
      <c r="A397" s="971"/>
      <c r="B397" s="554"/>
      <c r="C397" s="554" t="s">
        <v>1571</v>
      </c>
      <c r="D397" s="968"/>
      <c r="E397" s="555"/>
      <c r="F397" s="969"/>
      <c r="G397" s="970"/>
      <c r="H397" s="971"/>
      <c r="I397" s="972"/>
      <c r="J397" s="973"/>
    </row>
    <row r="398" spans="1:10" ht="21" customHeight="1" x14ac:dyDescent="0.3">
      <c r="A398" s="971"/>
      <c r="B398" s="554"/>
      <c r="C398" s="554"/>
      <c r="D398" s="968"/>
      <c r="E398" s="555" t="s">
        <v>1304</v>
      </c>
      <c r="F398" s="969"/>
      <c r="G398" s="970"/>
      <c r="H398" s="971"/>
      <c r="I398" s="972"/>
      <c r="J398" s="973"/>
    </row>
    <row r="399" spans="1:10" ht="21" customHeight="1" x14ac:dyDescent="0.3">
      <c r="A399" s="971"/>
      <c r="B399" s="554"/>
      <c r="C399" s="554"/>
      <c r="D399" s="968"/>
      <c r="E399" s="555"/>
      <c r="F399" s="969"/>
      <c r="G399" s="970"/>
      <c r="H399" s="971"/>
      <c r="I399" s="972"/>
      <c r="J399" s="973"/>
    </row>
    <row r="400" spans="1:10" ht="21" customHeight="1" x14ac:dyDescent="0.3">
      <c r="A400" s="971">
        <v>1</v>
      </c>
      <c r="B400" s="554"/>
      <c r="C400" s="554"/>
      <c r="D400" s="968"/>
      <c r="E400" s="555"/>
      <c r="F400" s="969"/>
      <c r="G400" s="970"/>
      <c r="H400" s="971">
        <v>1</v>
      </c>
      <c r="I400" s="972"/>
      <c r="J400" s="973"/>
    </row>
    <row r="401" spans="1:10" ht="21" customHeight="1" x14ac:dyDescent="0.3">
      <c r="A401" s="971">
        <v>2</v>
      </c>
      <c r="B401" s="554" t="s">
        <v>35</v>
      </c>
      <c r="C401" s="554" t="s">
        <v>1324</v>
      </c>
      <c r="D401" s="968"/>
      <c r="E401" s="555">
        <v>2011</v>
      </c>
      <c r="F401" s="969" t="s">
        <v>1443</v>
      </c>
      <c r="G401" s="970"/>
      <c r="H401" s="971">
        <v>2</v>
      </c>
      <c r="I401" s="972"/>
      <c r="J401" s="973"/>
    </row>
    <row r="402" spans="1:10" ht="21" customHeight="1" x14ac:dyDescent="0.3">
      <c r="A402" s="971">
        <v>3</v>
      </c>
      <c r="B402" s="554" t="s">
        <v>23</v>
      </c>
      <c r="C402" s="554" t="s">
        <v>1326</v>
      </c>
      <c r="D402" s="968"/>
      <c r="E402" s="555">
        <v>2011</v>
      </c>
      <c r="F402" s="969" t="s">
        <v>1426</v>
      </c>
      <c r="G402" s="970"/>
      <c r="H402" s="971">
        <v>3</v>
      </c>
      <c r="I402" s="972"/>
      <c r="J402" s="973"/>
    </row>
    <row r="403" spans="1:10" ht="21" customHeight="1" x14ac:dyDescent="0.3">
      <c r="A403" s="971">
        <v>4</v>
      </c>
      <c r="B403" s="554" t="s">
        <v>23</v>
      </c>
      <c r="C403" s="554" t="s">
        <v>1325</v>
      </c>
      <c r="D403" s="968"/>
      <c r="E403" s="555">
        <v>2011</v>
      </c>
      <c r="F403" s="969" t="s">
        <v>1443</v>
      </c>
      <c r="G403" s="970"/>
      <c r="H403" s="971">
        <v>4</v>
      </c>
      <c r="I403" s="972"/>
      <c r="J403" s="973"/>
    </row>
    <row r="404" spans="1:10" ht="21" customHeight="1" x14ac:dyDescent="0.3">
      <c r="A404" s="971">
        <v>5</v>
      </c>
      <c r="B404" s="554"/>
      <c r="C404" s="554"/>
      <c r="D404" s="968"/>
      <c r="E404" s="555"/>
      <c r="F404" s="969"/>
      <c r="G404" s="970"/>
      <c r="H404" s="971">
        <v>5</v>
      </c>
      <c r="I404" s="972"/>
      <c r="J404" s="973"/>
    </row>
    <row r="405" spans="1:10" ht="21" customHeight="1" x14ac:dyDescent="0.3">
      <c r="A405" s="971">
        <v>6</v>
      </c>
      <c r="B405" s="554"/>
      <c r="C405" s="554"/>
      <c r="D405" s="968"/>
      <c r="E405" s="555"/>
      <c r="F405" s="969"/>
      <c r="G405" s="970"/>
      <c r="H405" s="971">
        <v>6</v>
      </c>
      <c r="I405" s="972"/>
      <c r="J405" s="973"/>
    </row>
    <row r="406" spans="1:10" ht="21" customHeight="1" x14ac:dyDescent="0.3">
      <c r="A406" s="971"/>
      <c r="B406" s="554"/>
      <c r="C406" s="554" t="s">
        <v>1572</v>
      </c>
      <c r="D406" s="968"/>
      <c r="E406" s="555"/>
      <c r="F406" s="969"/>
      <c r="G406" s="970"/>
      <c r="H406" s="971"/>
      <c r="I406" s="972"/>
      <c r="J406" s="973"/>
    </row>
    <row r="407" spans="1:10" ht="21" customHeight="1" x14ac:dyDescent="0.3">
      <c r="A407" s="971"/>
      <c r="B407" s="554"/>
      <c r="C407" s="554"/>
      <c r="D407" s="968"/>
      <c r="E407" s="555" t="s">
        <v>1305</v>
      </c>
      <c r="F407" s="969"/>
      <c r="G407" s="970"/>
      <c r="H407" s="971"/>
      <c r="I407" s="972"/>
      <c r="J407" s="973"/>
    </row>
    <row r="408" spans="1:10" ht="21" customHeight="1" x14ac:dyDescent="0.3">
      <c r="A408" s="971"/>
      <c r="B408" s="554"/>
      <c r="C408" s="554"/>
      <c r="D408" s="968"/>
      <c r="E408" s="555"/>
      <c r="F408" s="969"/>
      <c r="G408" s="970"/>
      <c r="H408" s="971"/>
      <c r="I408" s="972"/>
      <c r="J408" s="973"/>
    </row>
    <row r="409" spans="1:10" ht="21" customHeight="1" x14ac:dyDescent="0.3">
      <c r="A409" s="971">
        <v>1</v>
      </c>
      <c r="B409" s="554"/>
      <c r="C409" s="554"/>
      <c r="D409" s="968"/>
      <c r="E409" s="555"/>
      <c r="F409" s="969"/>
      <c r="G409" s="970"/>
      <c r="H409" s="971">
        <v>1</v>
      </c>
      <c r="I409" s="972"/>
      <c r="J409" s="973"/>
    </row>
    <row r="410" spans="1:10" ht="21" customHeight="1" x14ac:dyDescent="0.3">
      <c r="A410" s="971">
        <v>2</v>
      </c>
      <c r="B410" s="554" t="s">
        <v>23</v>
      </c>
      <c r="C410" s="554" t="s">
        <v>1546</v>
      </c>
      <c r="D410" s="968"/>
      <c r="E410" s="555">
        <v>2010</v>
      </c>
      <c r="F410" s="969" t="s">
        <v>1434</v>
      </c>
      <c r="G410" s="970"/>
      <c r="H410" s="971">
        <v>2</v>
      </c>
      <c r="I410" s="972"/>
      <c r="J410" s="973"/>
    </row>
    <row r="411" spans="1:10" ht="21" customHeight="1" x14ac:dyDescent="0.3">
      <c r="A411" s="971">
        <v>3</v>
      </c>
      <c r="B411" s="554" t="s">
        <v>6</v>
      </c>
      <c r="C411" s="554" t="s">
        <v>1399</v>
      </c>
      <c r="D411" s="968"/>
      <c r="E411" s="555">
        <v>2008</v>
      </c>
      <c r="F411" s="969" t="s">
        <v>1469</v>
      </c>
      <c r="G411" s="970"/>
      <c r="H411" s="971">
        <v>3</v>
      </c>
      <c r="I411" s="972"/>
      <c r="J411" s="973"/>
    </row>
    <row r="412" spans="1:10" ht="21" customHeight="1" x14ac:dyDescent="0.3">
      <c r="A412" s="971">
        <v>4</v>
      </c>
      <c r="B412" s="554" t="s">
        <v>6</v>
      </c>
      <c r="C412" s="554" t="s">
        <v>1400</v>
      </c>
      <c r="D412" s="968"/>
      <c r="E412" s="555">
        <v>2009</v>
      </c>
      <c r="F412" s="969" t="s">
        <v>460</v>
      </c>
      <c r="G412" s="970"/>
      <c r="H412" s="971">
        <v>4</v>
      </c>
      <c r="I412" s="972"/>
      <c r="J412" s="973"/>
    </row>
    <row r="413" spans="1:10" ht="21" customHeight="1" x14ac:dyDescent="0.3">
      <c r="A413" s="971">
        <v>5</v>
      </c>
      <c r="B413" s="554" t="s">
        <v>23</v>
      </c>
      <c r="C413" s="554" t="s">
        <v>1290</v>
      </c>
      <c r="D413" s="968"/>
      <c r="E413" s="555">
        <v>2010</v>
      </c>
      <c r="F413" s="969" t="s">
        <v>1450</v>
      </c>
      <c r="G413" s="970"/>
      <c r="H413" s="971">
        <v>5</v>
      </c>
      <c r="I413" s="972"/>
      <c r="J413" s="973"/>
    </row>
    <row r="414" spans="1:10" ht="21" customHeight="1" x14ac:dyDescent="0.3">
      <c r="A414" s="971">
        <v>6</v>
      </c>
      <c r="B414" s="554"/>
      <c r="C414" s="554"/>
      <c r="D414" s="968"/>
      <c r="E414" s="555"/>
      <c r="F414" s="969"/>
      <c r="G414" s="970"/>
      <c r="H414" s="971">
        <v>6</v>
      </c>
      <c r="I414" s="972"/>
      <c r="J414" s="973"/>
    </row>
    <row r="415" spans="1:10" ht="21" customHeight="1" x14ac:dyDescent="0.3">
      <c r="A415" s="971"/>
      <c r="B415" s="554"/>
      <c r="C415" s="554"/>
      <c r="D415" s="968"/>
      <c r="E415" s="555"/>
      <c r="F415" s="969"/>
      <c r="G415" s="970"/>
      <c r="H415" s="971"/>
      <c r="I415" s="972"/>
      <c r="J415" s="973"/>
    </row>
    <row r="416" spans="1:10" ht="21" customHeight="1" x14ac:dyDescent="0.3">
      <c r="A416" s="971"/>
      <c r="B416" s="554"/>
      <c r="C416" s="554" t="s">
        <v>1573</v>
      </c>
      <c r="D416" s="968"/>
      <c r="E416" s="555"/>
      <c r="F416" s="969"/>
      <c r="G416" s="970"/>
      <c r="H416" s="971"/>
      <c r="I416" s="972"/>
      <c r="J416" s="973"/>
    </row>
    <row r="417" spans="1:10" ht="21" customHeight="1" x14ac:dyDescent="0.3">
      <c r="A417" s="971"/>
      <c r="B417" s="554"/>
      <c r="C417" s="554"/>
      <c r="D417" s="968"/>
      <c r="E417" s="555" t="s">
        <v>1374</v>
      </c>
      <c r="F417" s="969"/>
      <c r="G417" s="970"/>
      <c r="H417" s="971"/>
      <c r="I417" s="972"/>
      <c r="J417" s="973"/>
    </row>
    <row r="418" spans="1:10" ht="21" customHeight="1" x14ac:dyDescent="0.3">
      <c r="A418" s="971"/>
      <c r="B418" s="554"/>
      <c r="C418" s="554"/>
      <c r="D418" s="968"/>
      <c r="E418" s="555"/>
      <c r="F418" s="969"/>
      <c r="G418" s="970"/>
      <c r="H418" s="971"/>
      <c r="I418" s="972"/>
      <c r="J418" s="973"/>
    </row>
    <row r="419" spans="1:10" ht="21" customHeight="1" x14ac:dyDescent="0.3">
      <c r="A419" s="971">
        <v>1</v>
      </c>
      <c r="B419" s="554" t="s">
        <v>21</v>
      </c>
      <c r="C419" s="554" t="s">
        <v>1389</v>
      </c>
      <c r="D419" s="968"/>
      <c r="E419" s="555">
        <v>2013</v>
      </c>
      <c r="F419" s="969" t="s">
        <v>1426</v>
      </c>
      <c r="G419" s="970"/>
      <c r="H419" s="971">
        <v>1</v>
      </c>
      <c r="I419" s="972"/>
      <c r="J419" s="973"/>
    </row>
    <row r="420" spans="1:10" ht="21" customHeight="1" x14ac:dyDescent="0.3">
      <c r="A420" s="971">
        <v>2</v>
      </c>
      <c r="B420" s="554" t="s">
        <v>35</v>
      </c>
      <c r="C420" s="554" t="s">
        <v>1342</v>
      </c>
      <c r="D420" s="968"/>
      <c r="E420" s="555">
        <v>2014</v>
      </c>
      <c r="F420" s="969" t="s">
        <v>1450</v>
      </c>
      <c r="G420" s="970"/>
      <c r="H420" s="971">
        <v>2</v>
      </c>
      <c r="I420" s="972"/>
      <c r="J420" s="973"/>
    </row>
    <row r="421" spans="1:10" ht="21" customHeight="1" x14ac:dyDescent="0.3">
      <c r="A421" s="971">
        <v>3</v>
      </c>
      <c r="B421" s="554" t="s">
        <v>21</v>
      </c>
      <c r="C421" s="554" t="s">
        <v>1388</v>
      </c>
      <c r="D421" s="968"/>
      <c r="E421" s="555">
        <v>2013</v>
      </c>
      <c r="F421" s="969" t="s">
        <v>1443</v>
      </c>
      <c r="G421" s="970"/>
      <c r="H421" s="971">
        <v>3</v>
      </c>
      <c r="I421" s="972"/>
      <c r="J421" s="973"/>
    </row>
    <row r="422" spans="1:10" ht="21" customHeight="1" x14ac:dyDescent="0.3">
      <c r="A422" s="971">
        <v>4</v>
      </c>
      <c r="B422" s="554" t="s">
        <v>35</v>
      </c>
      <c r="C422" s="554" t="s">
        <v>1357</v>
      </c>
      <c r="D422" s="968"/>
      <c r="E422" s="555">
        <v>2011</v>
      </c>
      <c r="F422" s="969" t="s">
        <v>1443</v>
      </c>
      <c r="G422" s="970"/>
      <c r="H422" s="971">
        <v>4</v>
      </c>
      <c r="I422" s="972"/>
      <c r="J422" s="973"/>
    </row>
    <row r="423" spans="1:10" ht="21" customHeight="1" x14ac:dyDescent="0.3">
      <c r="A423" s="971">
        <v>5</v>
      </c>
      <c r="B423" s="554" t="s">
        <v>35</v>
      </c>
      <c r="C423" s="554" t="s">
        <v>1363</v>
      </c>
      <c r="D423" s="968"/>
      <c r="E423" s="555">
        <v>2012</v>
      </c>
      <c r="F423" s="969" t="s">
        <v>1434</v>
      </c>
      <c r="G423" s="970"/>
      <c r="H423" s="971">
        <v>5</v>
      </c>
      <c r="I423" s="972"/>
      <c r="J423" s="973"/>
    </row>
    <row r="424" spans="1:10" ht="21" customHeight="1" x14ac:dyDescent="0.3">
      <c r="A424" s="971">
        <v>6</v>
      </c>
      <c r="B424" s="554" t="s">
        <v>35</v>
      </c>
      <c r="C424" s="554" t="s">
        <v>1362</v>
      </c>
      <c r="D424" s="968"/>
      <c r="E424" s="555">
        <v>2012</v>
      </c>
      <c r="F424" s="969" t="s">
        <v>1443</v>
      </c>
      <c r="G424" s="970"/>
      <c r="H424" s="971">
        <v>6</v>
      </c>
      <c r="I424" s="972"/>
      <c r="J424" s="973"/>
    </row>
    <row r="425" spans="1:10" ht="21" customHeight="1" x14ac:dyDescent="0.3">
      <c r="A425" s="971"/>
      <c r="B425" s="554"/>
      <c r="C425" s="554" t="s">
        <v>1574</v>
      </c>
      <c r="D425" s="968"/>
      <c r="E425" s="555"/>
      <c r="F425" s="969"/>
      <c r="G425" s="970"/>
      <c r="H425" s="971"/>
      <c r="I425" s="972"/>
      <c r="J425" s="973"/>
    </row>
    <row r="426" spans="1:10" ht="21" customHeight="1" x14ac:dyDescent="0.3">
      <c r="A426" s="971"/>
      <c r="B426" s="554"/>
      <c r="C426" s="554"/>
      <c r="D426" s="968"/>
      <c r="E426" s="555" t="s">
        <v>1375</v>
      </c>
      <c r="F426" s="969"/>
      <c r="G426" s="970"/>
      <c r="H426" s="971"/>
      <c r="I426" s="972"/>
      <c r="J426" s="973"/>
    </row>
    <row r="427" spans="1:10" ht="21" customHeight="1" x14ac:dyDescent="0.3">
      <c r="A427" s="971">
        <v>1</v>
      </c>
      <c r="B427" s="554" t="s">
        <v>23</v>
      </c>
      <c r="C427" s="554" t="s">
        <v>1323</v>
      </c>
      <c r="D427" s="968"/>
      <c r="E427" s="555">
        <v>2010</v>
      </c>
      <c r="F427" s="969" t="s">
        <v>1450</v>
      </c>
      <c r="G427" s="970"/>
      <c r="H427" s="971">
        <v>1</v>
      </c>
      <c r="I427" s="972"/>
      <c r="J427" s="973"/>
    </row>
    <row r="428" spans="1:10" ht="21" customHeight="1" x14ac:dyDescent="0.3">
      <c r="A428" s="971">
        <v>2</v>
      </c>
      <c r="B428" s="554" t="s">
        <v>23</v>
      </c>
      <c r="C428" s="554" t="s">
        <v>1301</v>
      </c>
      <c r="D428" s="968"/>
      <c r="E428" s="555">
        <v>2010</v>
      </c>
      <c r="F428" s="969" t="s">
        <v>1426</v>
      </c>
      <c r="G428" s="970"/>
      <c r="H428" s="971">
        <v>2</v>
      </c>
      <c r="I428" s="972"/>
      <c r="J428" s="973"/>
    </row>
    <row r="429" spans="1:10" ht="21" customHeight="1" x14ac:dyDescent="0.3">
      <c r="A429" s="971">
        <v>3</v>
      </c>
      <c r="B429" s="554" t="s">
        <v>23</v>
      </c>
      <c r="C429" s="554" t="s">
        <v>1299</v>
      </c>
      <c r="D429" s="968"/>
      <c r="E429" s="555">
        <v>2010</v>
      </c>
      <c r="F429" s="969" t="s">
        <v>1426</v>
      </c>
      <c r="G429" s="970"/>
      <c r="H429" s="971">
        <v>3</v>
      </c>
      <c r="I429" s="972"/>
      <c r="J429" s="973"/>
    </row>
    <row r="430" spans="1:10" ht="21" customHeight="1" x14ac:dyDescent="0.3">
      <c r="A430" s="971">
        <v>4</v>
      </c>
      <c r="B430" s="554" t="s">
        <v>6</v>
      </c>
      <c r="C430" s="554" t="s">
        <v>1417</v>
      </c>
      <c r="D430" s="968"/>
      <c r="E430" s="555">
        <v>2008</v>
      </c>
      <c r="F430" s="969" t="s">
        <v>1426</v>
      </c>
      <c r="G430" s="970"/>
      <c r="H430" s="971">
        <v>4</v>
      </c>
      <c r="I430" s="972"/>
      <c r="J430" s="973"/>
    </row>
    <row r="431" spans="1:10" ht="21" customHeight="1" x14ac:dyDescent="0.3">
      <c r="A431" s="971">
        <v>5</v>
      </c>
      <c r="B431" s="554" t="s">
        <v>23</v>
      </c>
      <c r="C431" s="554" t="s">
        <v>1313</v>
      </c>
      <c r="D431" s="968"/>
      <c r="E431" s="555">
        <v>2009</v>
      </c>
      <c r="F431" s="969" t="s">
        <v>1426</v>
      </c>
      <c r="G431" s="970"/>
      <c r="H431" s="971">
        <v>5</v>
      </c>
      <c r="I431" s="972"/>
      <c r="J431" s="973"/>
    </row>
    <row r="432" spans="1:10" ht="21" customHeight="1" x14ac:dyDescent="0.3">
      <c r="A432" s="971">
        <v>6</v>
      </c>
      <c r="B432" s="554" t="s">
        <v>23</v>
      </c>
      <c r="C432" s="554" t="s">
        <v>1308</v>
      </c>
      <c r="D432" s="968"/>
      <c r="E432" s="555">
        <v>2009</v>
      </c>
      <c r="F432" s="969" t="s">
        <v>1443</v>
      </c>
      <c r="G432" s="970"/>
      <c r="H432" s="971">
        <v>6</v>
      </c>
      <c r="I432" s="972"/>
      <c r="J432" s="973"/>
    </row>
    <row r="433" spans="1:10" ht="21" customHeight="1" x14ac:dyDescent="0.3">
      <c r="A433" s="971"/>
      <c r="B433" s="554"/>
      <c r="C433" s="554"/>
      <c r="D433" s="968"/>
      <c r="E433" s="555"/>
      <c r="F433" s="969"/>
      <c r="G433" s="970"/>
      <c r="H433" s="971"/>
      <c r="I433" s="972"/>
      <c r="J433" s="973"/>
    </row>
    <row r="434" spans="1:10" ht="21" customHeight="1" x14ac:dyDescent="0.3">
      <c r="A434" s="971"/>
      <c r="B434" s="554"/>
      <c r="C434" s="554" t="s">
        <v>1579</v>
      </c>
      <c r="D434" s="968"/>
      <c r="E434" s="555"/>
      <c r="F434" s="969"/>
      <c r="G434" s="970"/>
      <c r="H434" s="971"/>
      <c r="I434" s="972"/>
      <c r="J434" s="973"/>
    </row>
    <row r="435" spans="1:10" ht="21" customHeight="1" x14ac:dyDescent="0.3">
      <c r="A435" s="971"/>
      <c r="B435" s="554"/>
      <c r="C435" s="554"/>
      <c r="D435" s="968"/>
      <c r="E435" s="555" t="s">
        <v>1376</v>
      </c>
      <c r="F435" s="969"/>
      <c r="G435" s="970"/>
      <c r="H435" s="971"/>
      <c r="I435" s="972"/>
      <c r="J435" s="973"/>
    </row>
    <row r="436" spans="1:10" ht="21" customHeight="1" x14ac:dyDescent="0.3">
      <c r="A436" s="971">
        <v>1</v>
      </c>
      <c r="B436" s="554"/>
      <c r="C436" s="554"/>
      <c r="D436" s="968"/>
      <c r="E436" s="555"/>
      <c r="F436" s="969"/>
      <c r="G436" s="970"/>
      <c r="H436" s="971">
        <v>1</v>
      </c>
      <c r="I436" s="972"/>
      <c r="J436" s="973"/>
    </row>
    <row r="437" spans="1:10" ht="21" customHeight="1" x14ac:dyDescent="0.3">
      <c r="A437" s="971">
        <v>2</v>
      </c>
      <c r="B437" s="554" t="s">
        <v>35</v>
      </c>
      <c r="C437" s="554" t="s">
        <v>1455</v>
      </c>
      <c r="D437" s="968"/>
      <c r="E437" s="555">
        <v>2011</v>
      </c>
      <c r="F437" s="969" t="s">
        <v>1433</v>
      </c>
      <c r="G437" s="970"/>
      <c r="H437" s="971">
        <v>2</v>
      </c>
      <c r="I437" s="972"/>
      <c r="J437" s="973"/>
    </row>
    <row r="438" spans="1:10" ht="21" customHeight="1" x14ac:dyDescent="0.3">
      <c r="A438" s="971">
        <v>3</v>
      </c>
      <c r="B438" s="554" t="s">
        <v>137</v>
      </c>
      <c r="C438" s="554" t="s">
        <v>1405</v>
      </c>
      <c r="D438" s="968"/>
      <c r="E438" s="555">
        <v>2012</v>
      </c>
      <c r="F438" s="969" t="s">
        <v>1433</v>
      </c>
      <c r="G438" s="970"/>
      <c r="H438" s="971">
        <v>3</v>
      </c>
      <c r="I438" s="972"/>
      <c r="J438" s="973"/>
    </row>
    <row r="439" spans="1:10" ht="21" customHeight="1" x14ac:dyDescent="0.3">
      <c r="A439" s="971">
        <v>4</v>
      </c>
      <c r="B439" s="554" t="s">
        <v>24</v>
      </c>
      <c r="C439" s="554" t="s">
        <v>1372</v>
      </c>
      <c r="D439" s="968"/>
      <c r="E439" s="555">
        <v>2012</v>
      </c>
      <c r="F439" s="969" t="s">
        <v>1443</v>
      </c>
      <c r="G439" s="970"/>
      <c r="H439" s="971">
        <v>4</v>
      </c>
      <c r="I439" s="972"/>
      <c r="J439" s="973"/>
    </row>
    <row r="440" spans="1:10" ht="21" customHeight="1" x14ac:dyDescent="0.3">
      <c r="A440" s="971">
        <v>5</v>
      </c>
      <c r="B440" s="554" t="s">
        <v>35</v>
      </c>
      <c r="C440" s="554" t="s">
        <v>1451</v>
      </c>
      <c r="D440" s="968"/>
      <c r="E440" s="555">
        <v>2012</v>
      </c>
      <c r="F440" s="969" t="s">
        <v>1452</v>
      </c>
      <c r="G440" s="970"/>
      <c r="H440" s="971">
        <v>5</v>
      </c>
      <c r="I440" s="972"/>
      <c r="J440" s="973"/>
    </row>
    <row r="441" spans="1:10" ht="21" customHeight="1" x14ac:dyDescent="0.3">
      <c r="A441" s="971">
        <v>6</v>
      </c>
      <c r="B441" s="554"/>
      <c r="C441" s="554"/>
      <c r="D441" s="968"/>
      <c r="E441" s="555"/>
      <c r="F441" s="969"/>
      <c r="G441" s="970"/>
      <c r="H441" s="971">
        <v>6</v>
      </c>
      <c r="I441" s="972"/>
      <c r="J441" s="973"/>
    </row>
    <row r="442" spans="1:10" ht="21" customHeight="1" x14ac:dyDescent="0.3">
      <c r="A442" s="971"/>
      <c r="B442" s="554"/>
      <c r="C442" s="554"/>
      <c r="D442" s="968"/>
      <c r="E442" s="555"/>
      <c r="F442" s="969"/>
      <c r="G442" s="970"/>
      <c r="H442" s="971"/>
      <c r="I442" s="972"/>
      <c r="J442" s="973"/>
    </row>
    <row r="443" spans="1:10" ht="21" customHeight="1" x14ac:dyDescent="0.3">
      <c r="A443" s="971"/>
      <c r="B443" s="554"/>
      <c r="C443" s="554" t="s">
        <v>1580</v>
      </c>
      <c r="D443" s="968"/>
      <c r="E443" s="555"/>
      <c r="F443" s="969"/>
      <c r="G443" s="970"/>
      <c r="H443" s="971"/>
      <c r="I443" s="972"/>
      <c r="J443" s="973"/>
    </row>
    <row r="444" spans="1:10" ht="21" customHeight="1" x14ac:dyDescent="0.3">
      <c r="A444" s="971"/>
      <c r="B444" s="554"/>
      <c r="C444" s="554"/>
      <c r="D444" s="968"/>
      <c r="E444" s="555" t="s">
        <v>1377</v>
      </c>
      <c r="F444" s="969"/>
      <c r="G444" s="970"/>
      <c r="H444" s="971"/>
      <c r="I444" s="972"/>
      <c r="J444" s="973"/>
    </row>
    <row r="445" spans="1:10" ht="21" customHeight="1" x14ac:dyDescent="0.3">
      <c r="A445" s="971">
        <v>1</v>
      </c>
      <c r="B445" s="554"/>
      <c r="C445" s="554"/>
      <c r="D445" s="968"/>
      <c r="E445" s="555"/>
      <c r="F445" s="969"/>
      <c r="G445" s="970"/>
      <c r="H445" s="971">
        <v>1</v>
      </c>
      <c r="I445" s="972"/>
      <c r="J445" s="973"/>
    </row>
    <row r="446" spans="1:10" ht="21" customHeight="1" x14ac:dyDescent="0.3">
      <c r="A446" s="971">
        <v>2</v>
      </c>
      <c r="B446" s="554"/>
      <c r="C446" s="554"/>
      <c r="D446" s="968"/>
      <c r="E446" s="555"/>
      <c r="F446" s="969"/>
      <c r="G446" s="970"/>
      <c r="H446" s="971">
        <v>2</v>
      </c>
      <c r="I446" s="972"/>
      <c r="J446" s="973"/>
    </row>
    <row r="447" spans="1:10" ht="21" customHeight="1" x14ac:dyDescent="0.3">
      <c r="A447" s="971">
        <v>3</v>
      </c>
      <c r="B447" s="554" t="s">
        <v>23</v>
      </c>
      <c r="C447" s="554" t="s">
        <v>1548</v>
      </c>
      <c r="D447" s="968"/>
      <c r="E447" s="555">
        <v>2010</v>
      </c>
      <c r="F447" s="969" t="s">
        <v>460</v>
      </c>
      <c r="G447" s="970"/>
      <c r="H447" s="971">
        <v>3</v>
      </c>
      <c r="I447" s="972"/>
      <c r="J447" s="973"/>
    </row>
    <row r="448" spans="1:10" ht="21" customHeight="1" x14ac:dyDescent="0.3">
      <c r="A448" s="971">
        <v>4</v>
      </c>
      <c r="B448" s="554" t="s">
        <v>6</v>
      </c>
      <c r="C448" s="554" t="s">
        <v>1545</v>
      </c>
      <c r="D448" s="968"/>
      <c r="E448" s="555">
        <v>2010</v>
      </c>
      <c r="F448" s="969" t="s">
        <v>1452</v>
      </c>
      <c r="G448" s="970"/>
      <c r="H448" s="971">
        <v>4</v>
      </c>
      <c r="I448" s="972"/>
      <c r="J448" s="973"/>
    </row>
    <row r="449" spans="1:10" ht="21" customHeight="1" x14ac:dyDescent="0.3">
      <c r="A449" s="971">
        <v>5</v>
      </c>
      <c r="B449" s="554" t="s">
        <v>6</v>
      </c>
      <c r="C449" s="554" t="s">
        <v>1292</v>
      </c>
      <c r="D449" s="968"/>
      <c r="E449" s="555">
        <v>2009</v>
      </c>
      <c r="F449" s="969" t="s">
        <v>1443</v>
      </c>
      <c r="G449" s="970"/>
      <c r="H449" s="971">
        <v>5</v>
      </c>
      <c r="I449" s="972"/>
      <c r="J449" s="973"/>
    </row>
    <row r="450" spans="1:10" ht="21" customHeight="1" x14ac:dyDescent="0.3">
      <c r="A450" s="971">
        <v>6</v>
      </c>
      <c r="B450" s="554"/>
      <c r="C450" s="554"/>
      <c r="D450" s="968"/>
      <c r="E450" s="555"/>
      <c r="F450" s="969"/>
      <c r="G450" s="970"/>
      <c r="H450" s="971">
        <v>6</v>
      </c>
      <c r="I450" s="972"/>
      <c r="J450" s="973"/>
    </row>
    <row r="451" spans="1:10" ht="21" customHeight="1" x14ac:dyDescent="0.3">
      <c r="A451" s="971"/>
      <c r="B451" s="554"/>
      <c r="C451" s="554" t="s">
        <v>1575</v>
      </c>
      <c r="D451" s="968"/>
      <c r="E451" s="555"/>
      <c r="F451" s="969"/>
      <c r="G451" s="970"/>
      <c r="H451" s="971"/>
      <c r="I451" s="972"/>
      <c r="J451" s="973"/>
    </row>
    <row r="452" spans="1:10" ht="21" customHeight="1" x14ac:dyDescent="0.3">
      <c r="A452" s="971"/>
      <c r="B452" s="554"/>
      <c r="C452" s="554"/>
      <c r="D452" s="968"/>
      <c r="E452" s="555" t="s">
        <v>1378</v>
      </c>
      <c r="F452" s="969"/>
      <c r="G452" s="970"/>
      <c r="H452" s="971"/>
      <c r="I452" s="972"/>
      <c r="J452" s="973"/>
    </row>
    <row r="453" spans="1:10" ht="21" customHeight="1" x14ac:dyDescent="0.3">
      <c r="A453" s="971">
        <v>1</v>
      </c>
      <c r="B453" s="554" t="s">
        <v>35</v>
      </c>
      <c r="C453" s="554" t="s">
        <v>1332</v>
      </c>
      <c r="D453" s="968"/>
      <c r="E453" s="555">
        <v>2011</v>
      </c>
      <c r="F453" s="969" t="s">
        <v>1426</v>
      </c>
      <c r="G453" s="970"/>
      <c r="H453" s="971">
        <v>1</v>
      </c>
      <c r="I453" s="972"/>
      <c r="J453" s="973"/>
    </row>
    <row r="454" spans="1:10" ht="21" customHeight="1" x14ac:dyDescent="0.3">
      <c r="A454" s="971">
        <v>2</v>
      </c>
      <c r="B454" s="554" t="s">
        <v>24</v>
      </c>
      <c r="C454" s="554" t="s">
        <v>1356</v>
      </c>
      <c r="D454" s="968"/>
      <c r="E454" s="555">
        <v>2011</v>
      </c>
      <c r="F454" s="969" t="s">
        <v>1250</v>
      </c>
      <c r="G454" s="970"/>
      <c r="H454" s="971">
        <v>2</v>
      </c>
      <c r="I454" s="972"/>
      <c r="J454" s="973"/>
    </row>
    <row r="455" spans="1:10" ht="21" customHeight="1" x14ac:dyDescent="0.3">
      <c r="A455" s="971">
        <v>3</v>
      </c>
      <c r="B455" s="554" t="s">
        <v>24</v>
      </c>
      <c r="C455" s="554" t="s">
        <v>1421</v>
      </c>
      <c r="D455" s="968"/>
      <c r="E455" s="555">
        <v>2011</v>
      </c>
      <c r="F455" s="969" t="s">
        <v>1443</v>
      </c>
      <c r="G455" s="970"/>
      <c r="H455" s="971">
        <v>3</v>
      </c>
      <c r="I455" s="972"/>
      <c r="J455" s="973"/>
    </row>
    <row r="456" spans="1:10" ht="21" customHeight="1" x14ac:dyDescent="0.3">
      <c r="A456" s="971">
        <v>4</v>
      </c>
      <c r="B456" s="554" t="s">
        <v>24</v>
      </c>
      <c r="C456" s="554" t="s">
        <v>1333</v>
      </c>
      <c r="D456" s="968"/>
      <c r="E456" s="555">
        <v>2011</v>
      </c>
      <c r="F456" s="969" t="s">
        <v>1426</v>
      </c>
      <c r="G456" s="970"/>
      <c r="H456" s="971">
        <v>4</v>
      </c>
      <c r="I456" s="972"/>
      <c r="J456" s="973"/>
    </row>
    <row r="457" spans="1:10" ht="21" customHeight="1" x14ac:dyDescent="0.3">
      <c r="A457" s="971">
        <v>5</v>
      </c>
      <c r="B457" s="554" t="s">
        <v>24</v>
      </c>
      <c r="C457" s="554" t="s">
        <v>1353</v>
      </c>
      <c r="D457" s="968"/>
      <c r="E457" s="555">
        <v>2011</v>
      </c>
      <c r="F457" s="969" t="s">
        <v>1250</v>
      </c>
      <c r="G457" s="970"/>
      <c r="H457" s="971">
        <v>5</v>
      </c>
      <c r="I457" s="972"/>
      <c r="J457" s="973"/>
    </row>
    <row r="458" spans="1:10" ht="21" customHeight="1" x14ac:dyDescent="0.3">
      <c r="A458" s="971">
        <v>6</v>
      </c>
      <c r="B458" s="554" t="s">
        <v>20</v>
      </c>
      <c r="C458" s="554" t="s">
        <v>1517</v>
      </c>
      <c r="D458" s="968"/>
      <c r="E458" s="555">
        <v>2011</v>
      </c>
      <c r="F458" s="969" t="s">
        <v>1250</v>
      </c>
      <c r="G458" s="970"/>
      <c r="H458" s="971">
        <v>6</v>
      </c>
      <c r="I458" s="972"/>
      <c r="J458" s="973"/>
    </row>
    <row r="459" spans="1:10" ht="21" customHeight="1" x14ac:dyDescent="0.3">
      <c r="A459" s="971"/>
      <c r="B459" s="554"/>
      <c r="C459" s="554"/>
      <c r="D459" s="968"/>
      <c r="E459" s="555"/>
      <c r="F459" s="969"/>
      <c r="G459" s="970"/>
      <c r="H459" s="971"/>
      <c r="I459" s="972"/>
      <c r="J459" s="973"/>
    </row>
    <row r="460" spans="1:10" ht="21" customHeight="1" x14ac:dyDescent="0.3">
      <c r="A460" s="971"/>
      <c r="B460" s="554"/>
      <c r="C460" s="554" t="s">
        <v>1576</v>
      </c>
      <c r="D460" s="968"/>
      <c r="E460" s="555"/>
      <c r="F460" s="969"/>
      <c r="G460" s="970"/>
      <c r="H460" s="971"/>
      <c r="I460" s="972"/>
      <c r="J460" s="973"/>
    </row>
    <row r="461" spans="1:10" ht="21" customHeight="1" x14ac:dyDescent="0.3">
      <c r="A461" s="971"/>
      <c r="B461" s="554"/>
      <c r="C461" s="554"/>
      <c r="D461" s="968"/>
      <c r="E461" s="555" t="s">
        <v>1419</v>
      </c>
      <c r="F461" s="969"/>
      <c r="G461" s="970"/>
      <c r="H461" s="971"/>
      <c r="I461" s="972"/>
      <c r="J461" s="973"/>
    </row>
    <row r="462" spans="1:10" ht="21" customHeight="1" x14ac:dyDescent="0.3">
      <c r="A462" s="971">
        <v>1</v>
      </c>
      <c r="B462" s="554" t="s">
        <v>20</v>
      </c>
      <c r="C462" s="554" t="s">
        <v>1351</v>
      </c>
      <c r="D462" s="968"/>
      <c r="E462" s="555">
        <v>2011</v>
      </c>
      <c r="F462" s="969" t="s">
        <v>1426</v>
      </c>
      <c r="G462" s="970"/>
      <c r="H462" s="971">
        <v>1</v>
      </c>
      <c r="I462" s="972"/>
      <c r="J462" s="973"/>
    </row>
    <row r="463" spans="1:10" ht="21" customHeight="1" x14ac:dyDescent="0.3">
      <c r="A463" s="971">
        <v>2</v>
      </c>
      <c r="B463" s="554"/>
      <c r="C463" s="554"/>
      <c r="D463" s="968"/>
      <c r="E463" s="555"/>
      <c r="F463" s="969"/>
      <c r="G463" s="970"/>
      <c r="H463" s="971">
        <v>2</v>
      </c>
      <c r="I463" s="972"/>
      <c r="J463" s="973"/>
    </row>
    <row r="464" spans="1:10" ht="21" customHeight="1" x14ac:dyDescent="0.3">
      <c r="A464" s="971">
        <v>3</v>
      </c>
      <c r="B464" s="554" t="s">
        <v>35</v>
      </c>
      <c r="C464" s="554" t="s">
        <v>1550</v>
      </c>
      <c r="D464" s="968"/>
      <c r="E464" s="555">
        <v>2010</v>
      </c>
      <c r="F464" s="969" t="s">
        <v>460</v>
      </c>
      <c r="G464" s="970"/>
      <c r="H464" s="971">
        <v>3</v>
      </c>
      <c r="I464" s="972"/>
      <c r="J464" s="973"/>
    </row>
    <row r="465" spans="1:10" ht="21" customHeight="1" x14ac:dyDescent="0.3">
      <c r="A465" s="971">
        <v>4</v>
      </c>
      <c r="B465" s="554" t="s">
        <v>24</v>
      </c>
      <c r="C465" s="554" t="s">
        <v>1551</v>
      </c>
      <c r="D465" s="968"/>
      <c r="E465" s="555">
        <v>2010</v>
      </c>
      <c r="F465" s="969" t="s">
        <v>1250</v>
      </c>
      <c r="G465" s="970"/>
      <c r="H465" s="971">
        <v>4</v>
      </c>
      <c r="I465" s="972"/>
      <c r="J465" s="973"/>
    </row>
    <row r="466" spans="1:10" ht="21" customHeight="1" x14ac:dyDescent="0.3">
      <c r="A466" s="971">
        <v>5</v>
      </c>
      <c r="B466" s="554" t="s">
        <v>23</v>
      </c>
      <c r="C466" s="554" t="s">
        <v>1535</v>
      </c>
      <c r="D466" s="968"/>
      <c r="E466" s="555">
        <v>2010</v>
      </c>
      <c r="F466" s="969" t="s">
        <v>1450</v>
      </c>
      <c r="G466" s="970"/>
      <c r="H466" s="971">
        <v>5</v>
      </c>
      <c r="I466" s="972"/>
      <c r="J466" s="973"/>
    </row>
    <row r="467" spans="1:10" ht="21" customHeight="1" x14ac:dyDescent="0.3">
      <c r="A467" s="971">
        <v>6</v>
      </c>
      <c r="B467" s="554" t="s">
        <v>137</v>
      </c>
      <c r="C467" s="554" t="s">
        <v>1526</v>
      </c>
      <c r="D467" s="968"/>
      <c r="E467" s="555">
        <v>2010</v>
      </c>
      <c r="F467" s="969" t="s">
        <v>1433</v>
      </c>
      <c r="G467" s="970"/>
      <c r="H467" s="971">
        <v>6</v>
      </c>
      <c r="I467" s="972"/>
      <c r="J467" s="973"/>
    </row>
    <row r="468" spans="1:10" ht="42.6" customHeight="1" x14ac:dyDescent="0.3">
      <c r="A468" s="971"/>
      <c r="B468" s="554"/>
      <c r="C468" s="554"/>
      <c r="D468" s="968"/>
      <c r="E468" s="555"/>
      <c r="F468" s="969"/>
      <c r="G468" s="970"/>
      <c r="H468" s="971"/>
      <c r="I468" s="972"/>
      <c r="J468" s="973"/>
    </row>
    <row r="469" spans="1:10" ht="21" customHeight="1" x14ac:dyDescent="0.3">
      <c r="A469" s="971"/>
      <c r="B469" s="554"/>
      <c r="C469" s="554"/>
      <c r="D469" s="968"/>
      <c r="E469" s="555" t="s">
        <v>1420</v>
      </c>
      <c r="F469" s="969"/>
      <c r="G469" s="970"/>
      <c r="H469" s="971"/>
      <c r="I469" s="972"/>
      <c r="J469" s="973"/>
    </row>
    <row r="470" spans="1:10" ht="21" customHeight="1" x14ac:dyDescent="0.3">
      <c r="A470" s="971">
        <v>1</v>
      </c>
      <c r="B470" s="554" t="s">
        <v>23</v>
      </c>
      <c r="C470" s="554" t="s">
        <v>1311</v>
      </c>
      <c r="D470" s="968"/>
      <c r="E470" s="555">
        <v>2010</v>
      </c>
      <c r="F470" s="969" t="s">
        <v>1443</v>
      </c>
      <c r="G470" s="970"/>
      <c r="H470" s="971">
        <v>1</v>
      </c>
      <c r="I470" s="972"/>
      <c r="J470" s="973"/>
    </row>
    <row r="471" spans="1:10" ht="21" customHeight="1" x14ac:dyDescent="0.3">
      <c r="A471" s="971">
        <v>2</v>
      </c>
      <c r="B471" s="554" t="s">
        <v>23</v>
      </c>
      <c r="C471" s="554" t="s">
        <v>1302</v>
      </c>
      <c r="D471" s="968"/>
      <c r="E471" s="555">
        <v>2009</v>
      </c>
      <c r="F471" s="969" t="s">
        <v>460</v>
      </c>
      <c r="G471" s="970"/>
      <c r="H471" s="971">
        <v>2</v>
      </c>
      <c r="I471" s="972"/>
      <c r="J471" s="973"/>
    </row>
    <row r="472" spans="1:10" ht="21" customHeight="1" x14ac:dyDescent="0.3">
      <c r="A472" s="971">
        <v>3</v>
      </c>
      <c r="B472" s="554" t="s">
        <v>6</v>
      </c>
      <c r="C472" s="554" t="s">
        <v>1540</v>
      </c>
      <c r="D472" s="968"/>
      <c r="E472" s="555">
        <v>2008</v>
      </c>
      <c r="F472" s="969" t="s">
        <v>1426</v>
      </c>
      <c r="G472" s="970"/>
      <c r="H472" s="971">
        <v>3</v>
      </c>
      <c r="I472" s="972"/>
      <c r="J472" s="973"/>
    </row>
    <row r="473" spans="1:10" ht="21" customHeight="1" x14ac:dyDescent="0.3">
      <c r="A473" s="971">
        <v>4</v>
      </c>
      <c r="B473" s="554" t="s">
        <v>6</v>
      </c>
      <c r="C473" s="554" t="s">
        <v>1314</v>
      </c>
      <c r="D473" s="968"/>
      <c r="E473" s="555">
        <v>2009</v>
      </c>
      <c r="F473" s="969" t="s">
        <v>1443</v>
      </c>
      <c r="G473" s="970"/>
      <c r="H473" s="971">
        <v>4</v>
      </c>
      <c r="I473" s="972"/>
      <c r="J473" s="973"/>
    </row>
    <row r="474" spans="1:10" ht="21" customHeight="1" x14ac:dyDescent="0.3">
      <c r="A474" s="971">
        <v>5</v>
      </c>
      <c r="B474" s="554" t="s">
        <v>6</v>
      </c>
      <c r="C474" s="554" t="s">
        <v>1549</v>
      </c>
      <c r="D474" s="968"/>
      <c r="E474" s="555">
        <v>2010</v>
      </c>
      <c r="F474" s="969" t="s">
        <v>460</v>
      </c>
      <c r="G474" s="970"/>
      <c r="H474" s="971">
        <v>5</v>
      </c>
      <c r="I474" s="972"/>
      <c r="J474" s="973"/>
    </row>
    <row r="475" spans="1:10" ht="21" customHeight="1" x14ac:dyDescent="0.3">
      <c r="A475" s="971">
        <v>6</v>
      </c>
      <c r="B475" s="554" t="s">
        <v>24</v>
      </c>
      <c r="C475" s="554" t="s">
        <v>1319</v>
      </c>
      <c r="D475" s="968"/>
      <c r="E475" s="555">
        <v>2010</v>
      </c>
      <c r="F475" s="969" t="s">
        <v>1250</v>
      </c>
      <c r="G475" s="970"/>
      <c r="H475" s="971">
        <v>6</v>
      </c>
      <c r="I475" s="972"/>
      <c r="J475" s="973"/>
    </row>
    <row r="476" spans="1:10" ht="21" customHeight="1" x14ac:dyDescent="0.3">
      <c r="A476" s="971"/>
      <c r="B476" s="554"/>
      <c r="C476" s="554"/>
      <c r="D476" s="968"/>
      <c r="E476" s="555"/>
      <c r="F476" s="969"/>
      <c r="G476" s="970"/>
      <c r="H476" s="971"/>
      <c r="I476" s="972"/>
      <c r="J476" s="973"/>
    </row>
    <row r="477" spans="1:10" ht="21" customHeight="1" x14ac:dyDescent="0.3">
      <c r="A477" s="971"/>
      <c r="B477" s="554"/>
      <c r="C477" s="554"/>
      <c r="D477" s="968"/>
      <c r="E477" s="555"/>
      <c r="F477" s="969"/>
      <c r="G477" s="970"/>
      <c r="H477" s="971"/>
      <c r="I477" s="972"/>
      <c r="J477" s="973"/>
    </row>
    <row r="478" spans="1:10" ht="21" customHeight="1" x14ac:dyDescent="0.3">
      <c r="A478" s="971"/>
      <c r="B478" s="554"/>
      <c r="C478" s="554"/>
      <c r="D478" s="968"/>
      <c r="E478" s="555"/>
      <c r="F478" s="969"/>
      <c r="G478" s="970"/>
      <c r="H478" s="971"/>
      <c r="I478" s="972"/>
      <c r="J478" s="973"/>
    </row>
    <row r="479" spans="1:10" ht="21" customHeight="1" x14ac:dyDescent="0.3">
      <c r="A479" s="971"/>
      <c r="B479" s="554"/>
      <c r="C479" s="554"/>
      <c r="D479" s="968"/>
      <c r="E479" s="555"/>
      <c r="F479" s="969"/>
      <c r="G479" s="970"/>
      <c r="H479" s="971"/>
      <c r="I479" s="972"/>
      <c r="J479" s="973"/>
    </row>
    <row r="480" spans="1:10" ht="21" customHeight="1" x14ac:dyDescent="0.3">
      <c r="A480" s="971"/>
      <c r="B480" s="554"/>
      <c r="C480" s="554"/>
      <c r="D480" s="968"/>
      <c r="E480" s="555"/>
      <c r="F480" s="969"/>
      <c r="G480" s="970"/>
      <c r="H480" s="971"/>
      <c r="I480" s="972"/>
      <c r="J480" s="973"/>
    </row>
    <row r="481" spans="1:10" ht="21" customHeight="1" x14ac:dyDescent="0.3">
      <c r="A481" s="971"/>
      <c r="B481" s="554"/>
      <c r="C481" s="554"/>
      <c r="D481" s="968"/>
      <c r="E481" s="555"/>
      <c r="F481" s="969"/>
      <c r="G481" s="970"/>
      <c r="H481" s="971"/>
      <c r="I481" s="972"/>
      <c r="J481" s="973"/>
    </row>
    <row r="482" spans="1:10" ht="21" customHeight="1" x14ac:dyDescent="0.3">
      <c r="A482" s="971"/>
      <c r="B482" s="554"/>
      <c r="C482" s="554"/>
      <c r="D482" s="968"/>
      <c r="E482" s="555"/>
      <c r="F482" s="969"/>
      <c r="G482" s="970"/>
      <c r="H482" s="971"/>
      <c r="I482" s="972"/>
      <c r="J482" s="973"/>
    </row>
    <row r="483" spans="1:10" ht="21" customHeight="1" x14ac:dyDescent="0.3">
      <c r="A483" s="971"/>
      <c r="B483" s="554"/>
      <c r="C483" s="554"/>
      <c r="D483" s="968"/>
      <c r="E483" s="555"/>
      <c r="F483" s="969"/>
      <c r="G483" s="970"/>
      <c r="H483" s="971"/>
      <c r="I483" s="972"/>
      <c r="J483" s="973"/>
    </row>
    <row r="484" spans="1:10" ht="21" customHeight="1" x14ac:dyDescent="0.3">
      <c r="A484" s="971"/>
      <c r="B484" s="554"/>
      <c r="C484" s="554"/>
      <c r="D484" s="968"/>
      <c r="E484" s="555"/>
      <c r="F484" s="969"/>
      <c r="G484" s="970"/>
      <c r="H484" s="971"/>
      <c r="I484" s="972"/>
      <c r="J484" s="973"/>
    </row>
    <row r="485" spans="1:10" ht="21" customHeight="1" x14ac:dyDescent="0.3">
      <c r="A485" s="971"/>
      <c r="B485" s="554"/>
      <c r="C485" s="554"/>
      <c r="D485" s="968"/>
      <c r="E485" s="555"/>
      <c r="F485" s="969"/>
      <c r="G485" s="970"/>
      <c r="H485" s="971"/>
      <c r="I485" s="972"/>
      <c r="J485" s="973"/>
    </row>
    <row r="486" spans="1:10" ht="21" customHeight="1" x14ac:dyDescent="0.3">
      <c r="A486" s="971"/>
      <c r="B486" s="554"/>
      <c r="C486" s="554"/>
      <c r="D486" s="968"/>
      <c r="E486" s="555"/>
      <c r="F486" s="969"/>
      <c r="G486" s="970"/>
      <c r="H486" s="971"/>
      <c r="I486" s="972"/>
      <c r="J486" s="973"/>
    </row>
    <row r="487" spans="1:10" ht="21" customHeight="1" x14ac:dyDescent="0.3">
      <c r="A487" s="971"/>
      <c r="B487" s="554"/>
      <c r="C487" s="554"/>
      <c r="D487" s="968"/>
      <c r="E487" s="555"/>
      <c r="F487" s="969"/>
      <c r="G487" s="970"/>
      <c r="H487" s="971"/>
      <c r="I487" s="972"/>
      <c r="J487" s="973"/>
    </row>
    <row r="488" spans="1:10" ht="21" customHeight="1" x14ac:dyDescent="0.3">
      <c r="A488" s="971"/>
      <c r="B488" s="554"/>
      <c r="C488" s="554"/>
      <c r="D488" s="968"/>
      <c r="E488" s="555"/>
      <c r="F488" s="969"/>
      <c r="G488" s="970"/>
      <c r="H488" s="971"/>
      <c r="I488" s="972"/>
      <c r="J488" s="973"/>
    </row>
    <row r="489" spans="1:10" ht="21" customHeight="1" x14ac:dyDescent="0.3">
      <c r="A489" s="971"/>
      <c r="B489" s="554"/>
      <c r="C489" s="554"/>
      <c r="D489" s="968"/>
      <c r="E489" s="555"/>
      <c r="F489" s="969"/>
      <c r="G489" s="970"/>
      <c r="H489" s="971"/>
      <c r="I489" s="972"/>
      <c r="J489" s="973"/>
    </row>
    <row r="490" spans="1:10" ht="21" customHeight="1" x14ac:dyDescent="0.3">
      <c r="A490" s="971"/>
      <c r="B490" s="554"/>
      <c r="C490" s="554"/>
      <c r="D490" s="968"/>
      <c r="E490" s="555"/>
      <c r="F490" s="969"/>
      <c r="G490" s="970"/>
      <c r="H490" s="971"/>
      <c r="I490" s="972"/>
      <c r="J490" s="973"/>
    </row>
    <row r="491" spans="1:10" ht="21" customHeight="1" x14ac:dyDescent="0.3">
      <c r="A491" s="971"/>
      <c r="B491" s="554"/>
      <c r="C491" s="554"/>
      <c r="D491" s="968"/>
      <c r="E491" s="555"/>
      <c r="F491" s="969"/>
      <c r="G491" s="970"/>
      <c r="H491" s="971"/>
      <c r="I491" s="972"/>
      <c r="J491" s="973"/>
    </row>
    <row r="492" spans="1:10" ht="21" customHeight="1" x14ac:dyDescent="0.3">
      <c r="A492" s="971"/>
      <c r="B492" s="554"/>
      <c r="C492" s="554"/>
      <c r="D492" s="968"/>
      <c r="E492" s="555"/>
      <c r="F492" s="969"/>
      <c r="G492" s="970"/>
      <c r="H492" s="971"/>
      <c r="I492" s="972"/>
      <c r="J492" s="973"/>
    </row>
    <row r="493" spans="1:10" ht="21" customHeight="1" x14ac:dyDescent="0.3">
      <c r="A493" s="971"/>
      <c r="B493" s="554"/>
      <c r="C493" s="554"/>
      <c r="D493" s="968"/>
      <c r="E493" s="555"/>
      <c r="F493" s="969"/>
      <c r="G493" s="970"/>
      <c r="H493" s="971"/>
      <c r="I493" s="972"/>
      <c r="J493" s="973"/>
    </row>
    <row r="494" spans="1:10" ht="21" customHeight="1" x14ac:dyDescent="0.3">
      <c r="A494" s="971"/>
      <c r="B494" s="554"/>
      <c r="C494" s="554"/>
      <c r="D494" s="968"/>
      <c r="E494" s="555"/>
      <c r="F494" s="969"/>
      <c r="G494" s="970"/>
      <c r="H494" s="971"/>
      <c r="I494" s="972"/>
      <c r="J494" s="973"/>
    </row>
    <row r="495" spans="1:10" ht="21" customHeight="1" x14ac:dyDescent="0.3">
      <c r="A495" s="971"/>
      <c r="B495" s="554"/>
      <c r="C495" s="554"/>
      <c r="D495" s="968"/>
      <c r="E495" s="555"/>
      <c r="F495" s="969"/>
      <c r="G495" s="970"/>
      <c r="H495" s="971"/>
      <c r="I495" s="972"/>
      <c r="J495" s="973"/>
    </row>
    <row r="496" spans="1:10" ht="21" customHeight="1" x14ac:dyDescent="0.3">
      <c r="A496" s="971"/>
      <c r="B496" s="554"/>
      <c r="C496" s="554"/>
      <c r="D496" s="968"/>
      <c r="E496" s="555"/>
      <c r="F496" s="969"/>
      <c r="G496" s="970"/>
      <c r="H496" s="971"/>
      <c r="I496" s="972"/>
      <c r="J496" s="973"/>
    </row>
    <row r="497" spans="1:10" ht="21" customHeight="1" x14ac:dyDescent="0.3">
      <c r="A497" s="971"/>
      <c r="B497" s="554"/>
      <c r="C497" s="554"/>
      <c r="D497" s="968"/>
      <c r="E497" s="555"/>
      <c r="F497" s="969"/>
      <c r="G497" s="970"/>
      <c r="H497" s="971"/>
      <c r="I497" s="972"/>
      <c r="J497" s="973"/>
    </row>
    <row r="498" spans="1:10" ht="21" customHeight="1" x14ac:dyDescent="0.3">
      <c r="A498" s="971"/>
      <c r="B498" s="554"/>
      <c r="C498" s="554"/>
      <c r="D498" s="968"/>
      <c r="E498" s="555"/>
      <c r="F498" s="969"/>
      <c r="G498" s="970"/>
      <c r="H498" s="971"/>
      <c r="I498" s="972"/>
      <c r="J498" s="973"/>
    </row>
    <row r="499" spans="1:10" ht="21" customHeight="1" x14ac:dyDescent="0.3">
      <c r="A499" s="971"/>
      <c r="B499" s="554"/>
      <c r="C499" s="554"/>
      <c r="D499" s="968"/>
      <c r="E499" s="555"/>
      <c r="F499" s="969"/>
      <c r="G499" s="970"/>
      <c r="H499" s="971"/>
      <c r="I499" s="972"/>
      <c r="J499" s="973"/>
    </row>
    <row r="500" spans="1:10" ht="21" customHeight="1" x14ac:dyDescent="0.3">
      <c r="A500" s="971"/>
      <c r="B500" s="554"/>
      <c r="C500" s="554"/>
      <c r="D500" s="968"/>
      <c r="E500" s="555"/>
      <c r="F500" s="969"/>
      <c r="G500" s="970"/>
      <c r="H500" s="971"/>
      <c r="I500" s="972"/>
      <c r="J500" s="973"/>
    </row>
    <row r="501" spans="1:10" ht="21" customHeight="1" x14ac:dyDescent="0.3">
      <c r="A501" s="971"/>
      <c r="B501" s="554"/>
      <c r="C501" s="554"/>
      <c r="D501" s="968"/>
      <c r="E501" s="555"/>
      <c r="F501" s="969"/>
      <c r="G501" s="970"/>
      <c r="H501" s="971"/>
      <c r="I501" s="972"/>
      <c r="J501" s="973"/>
    </row>
    <row r="502" spans="1:10" ht="21" customHeight="1" x14ac:dyDescent="0.3">
      <c r="A502" s="971"/>
      <c r="B502" s="554"/>
      <c r="C502" s="554"/>
      <c r="D502" s="968"/>
      <c r="E502" s="555"/>
      <c r="F502" s="969"/>
      <c r="G502" s="970"/>
      <c r="H502" s="971"/>
      <c r="I502" s="972"/>
      <c r="J502" s="973"/>
    </row>
    <row r="503" spans="1:10" ht="21" customHeight="1" x14ac:dyDescent="0.3">
      <c r="A503" s="971"/>
      <c r="B503" s="554"/>
      <c r="C503" s="554"/>
      <c r="D503" s="968"/>
      <c r="E503" s="555"/>
      <c r="F503" s="969"/>
      <c r="G503" s="970"/>
      <c r="H503" s="971"/>
      <c r="I503" s="972"/>
      <c r="J503" s="973"/>
    </row>
    <row r="504" spans="1:10" ht="21" customHeight="1" x14ac:dyDescent="0.3">
      <c r="A504" s="971"/>
      <c r="B504" s="554"/>
      <c r="C504" s="554"/>
      <c r="D504" s="968"/>
      <c r="E504" s="555"/>
      <c r="F504" s="969"/>
      <c r="G504" s="970"/>
      <c r="H504" s="971"/>
      <c r="I504" s="972"/>
      <c r="J504" s="973"/>
    </row>
    <row r="505" spans="1:10" ht="21" customHeight="1" x14ac:dyDescent="0.3">
      <c r="A505" s="971"/>
      <c r="B505" s="554"/>
      <c r="C505" s="554"/>
      <c r="D505" s="968"/>
      <c r="E505" s="555"/>
      <c r="F505" s="969"/>
      <c r="G505" s="970"/>
      <c r="H505" s="971"/>
      <c r="I505" s="972"/>
      <c r="J505" s="973"/>
    </row>
    <row r="506" spans="1:10" ht="21" customHeight="1" x14ac:dyDescent="0.3">
      <c r="A506" s="971"/>
      <c r="B506" s="554"/>
      <c r="C506" s="554"/>
      <c r="D506" s="968"/>
      <c r="E506" s="555"/>
      <c r="F506" s="969"/>
      <c r="G506" s="970"/>
      <c r="H506" s="971"/>
      <c r="I506" s="972"/>
      <c r="J506" s="973"/>
    </row>
    <row r="507" spans="1:10" ht="21" customHeight="1" x14ac:dyDescent="0.3">
      <c r="A507" s="971"/>
      <c r="B507" s="554"/>
      <c r="C507" s="554"/>
      <c r="D507" s="968"/>
      <c r="E507" s="555"/>
      <c r="F507" s="969"/>
      <c r="G507" s="970"/>
      <c r="H507" s="971"/>
      <c r="I507" s="972"/>
      <c r="J507" s="973"/>
    </row>
    <row r="508" spans="1:10" ht="21" customHeight="1" x14ac:dyDescent="0.3">
      <c r="A508" s="971"/>
      <c r="B508" s="554"/>
      <c r="C508" s="554"/>
      <c r="D508" s="968"/>
      <c r="E508" s="555"/>
      <c r="F508" s="969"/>
      <c r="G508" s="970"/>
      <c r="H508" s="971"/>
      <c r="I508" s="972"/>
      <c r="J508" s="973"/>
    </row>
    <row r="509" spans="1:10" ht="21" customHeight="1" x14ac:dyDescent="0.3">
      <c r="A509" s="971"/>
      <c r="B509" s="554"/>
      <c r="C509" s="554"/>
      <c r="D509" s="968"/>
      <c r="E509" s="555"/>
      <c r="F509" s="969"/>
      <c r="G509" s="970"/>
      <c r="H509" s="971"/>
      <c r="I509" s="972"/>
      <c r="J509" s="973"/>
    </row>
    <row r="510" spans="1:10" ht="21" customHeight="1" x14ac:dyDescent="0.3">
      <c r="A510" s="971"/>
      <c r="B510" s="554"/>
      <c r="C510" s="554"/>
      <c r="D510" s="968"/>
      <c r="E510" s="555"/>
      <c r="F510" s="969"/>
      <c r="G510" s="970"/>
      <c r="H510" s="971"/>
      <c r="I510" s="972"/>
      <c r="J510" s="973"/>
    </row>
    <row r="511" spans="1:10" ht="21" customHeight="1" x14ac:dyDescent="0.3">
      <c r="A511" s="971"/>
      <c r="B511" s="554"/>
      <c r="C511" s="554"/>
      <c r="D511" s="968"/>
      <c r="E511" s="555"/>
      <c r="F511" s="969"/>
      <c r="G511" s="970"/>
      <c r="H511" s="971"/>
      <c r="I511" s="972"/>
      <c r="J511" s="973"/>
    </row>
    <row r="512" spans="1:10" ht="21" customHeight="1" x14ac:dyDescent="0.3">
      <c r="A512" s="971"/>
      <c r="B512" s="554"/>
      <c r="C512" s="554"/>
      <c r="D512" s="968"/>
      <c r="E512" s="555"/>
      <c r="F512" s="969"/>
      <c r="G512" s="970"/>
      <c r="H512" s="971"/>
      <c r="I512" s="972"/>
      <c r="J512" s="973"/>
    </row>
    <row r="513" spans="1:10" ht="21" customHeight="1" x14ac:dyDescent="0.3">
      <c r="A513" s="971"/>
      <c r="B513" s="554"/>
      <c r="C513" s="554"/>
      <c r="D513" s="968"/>
      <c r="E513" s="555"/>
      <c r="F513" s="969"/>
      <c r="G513" s="970"/>
      <c r="H513" s="971"/>
      <c r="I513" s="972"/>
      <c r="J513" s="973"/>
    </row>
    <row r="514" spans="1:10" ht="21" customHeight="1" x14ac:dyDescent="0.3">
      <c r="A514" s="971"/>
      <c r="B514" s="554"/>
      <c r="C514" s="554"/>
      <c r="D514" s="968"/>
      <c r="E514" s="555"/>
      <c r="F514" s="969"/>
      <c r="G514" s="970"/>
      <c r="H514" s="971"/>
      <c r="I514" s="972"/>
      <c r="J514" s="973"/>
    </row>
    <row r="515" spans="1:10" ht="21" customHeight="1" x14ac:dyDescent="0.3">
      <c r="A515" s="971"/>
      <c r="B515" s="554"/>
      <c r="C515" s="554"/>
      <c r="D515" s="968"/>
      <c r="E515" s="555"/>
      <c r="F515" s="969"/>
      <c r="G515" s="970"/>
      <c r="H515" s="971"/>
      <c r="I515" s="972"/>
      <c r="J515" s="973"/>
    </row>
    <row r="516" spans="1:10" ht="21" customHeight="1" x14ac:dyDescent="0.3">
      <c r="A516" s="971"/>
      <c r="B516" s="554"/>
      <c r="C516" s="554"/>
      <c r="D516" s="968"/>
      <c r="E516" s="555"/>
      <c r="F516" s="969"/>
      <c r="G516" s="970"/>
      <c r="H516" s="971"/>
      <c r="I516" s="972"/>
      <c r="J516" s="973"/>
    </row>
    <row r="517" spans="1:10" ht="21" customHeight="1" x14ac:dyDescent="0.3">
      <c r="A517" s="971"/>
      <c r="B517" s="554"/>
      <c r="C517" s="554"/>
      <c r="D517" s="968"/>
      <c r="E517" s="555"/>
      <c r="F517" s="969"/>
      <c r="G517" s="970"/>
      <c r="H517" s="971"/>
      <c r="I517" s="972"/>
      <c r="J517" s="973"/>
    </row>
    <row r="518" spans="1:10" ht="21" customHeight="1" x14ac:dyDescent="0.3">
      <c r="A518" s="971"/>
      <c r="B518" s="554"/>
      <c r="C518" s="554"/>
      <c r="D518" s="968"/>
      <c r="E518" s="555"/>
      <c r="F518" s="969"/>
      <c r="G518" s="970"/>
      <c r="H518" s="971"/>
      <c r="I518" s="972"/>
      <c r="J518" s="973"/>
    </row>
    <row r="519" spans="1:10" ht="21" customHeight="1" x14ac:dyDescent="0.3">
      <c r="A519" s="971"/>
      <c r="B519" s="554"/>
      <c r="C519" s="554"/>
      <c r="D519" s="968"/>
      <c r="E519" s="555"/>
      <c r="F519" s="969"/>
      <c r="G519" s="970"/>
      <c r="H519" s="971"/>
      <c r="I519" s="972"/>
      <c r="J519" s="973"/>
    </row>
    <row r="520" spans="1:10" ht="21" customHeight="1" x14ac:dyDescent="0.3">
      <c r="A520" s="971"/>
      <c r="B520" s="554"/>
      <c r="C520" s="554"/>
      <c r="D520" s="968"/>
      <c r="E520" s="555"/>
      <c r="F520" s="969"/>
      <c r="G520" s="970"/>
      <c r="H520" s="971"/>
      <c r="I520" s="972"/>
      <c r="J520" s="973"/>
    </row>
    <row r="521" spans="1:10" ht="21" customHeight="1" x14ac:dyDescent="0.3">
      <c r="A521" s="971"/>
      <c r="B521" s="554"/>
      <c r="C521" s="554"/>
      <c r="D521" s="968"/>
      <c r="E521" s="555"/>
      <c r="F521" s="969"/>
      <c r="G521" s="970"/>
      <c r="H521" s="971"/>
      <c r="I521" s="972"/>
      <c r="J521" s="973"/>
    </row>
    <row r="522" spans="1:10" ht="21" customHeight="1" x14ac:dyDescent="0.3">
      <c r="A522" s="971"/>
      <c r="B522" s="554"/>
      <c r="C522" s="554"/>
      <c r="D522" s="968"/>
      <c r="E522" s="555"/>
      <c r="F522" s="969"/>
      <c r="G522" s="970"/>
      <c r="H522" s="971"/>
      <c r="I522" s="972"/>
      <c r="J522" s="973"/>
    </row>
    <row r="523" spans="1:10" ht="21" customHeight="1" x14ac:dyDescent="0.3">
      <c r="A523" s="971"/>
      <c r="B523" s="554"/>
      <c r="C523" s="554"/>
      <c r="D523" s="968"/>
      <c r="E523" s="555"/>
      <c r="F523" s="969"/>
      <c r="G523" s="970"/>
      <c r="H523" s="971"/>
      <c r="I523" s="972"/>
      <c r="J523" s="973"/>
    </row>
    <row r="524" spans="1:10" ht="21" customHeight="1" x14ac:dyDescent="0.3">
      <c r="A524" s="971"/>
      <c r="B524" s="554"/>
      <c r="C524" s="554"/>
      <c r="D524" s="968"/>
      <c r="E524" s="555"/>
      <c r="F524" s="969"/>
      <c r="G524" s="970"/>
      <c r="H524" s="971"/>
      <c r="I524" s="972"/>
      <c r="J524" s="973"/>
    </row>
    <row r="525" spans="1:10" ht="21" customHeight="1" x14ac:dyDescent="0.3">
      <c r="H525" s="775"/>
    </row>
    <row r="526" spans="1:10" ht="21" customHeight="1" x14ac:dyDescent="0.3">
      <c r="H526" s="775"/>
    </row>
  </sheetData>
  <conditionalFormatting sqref="C1:C1048576">
    <cfRule type="expression" dxfId="2" priority="21">
      <formula>IF(C1="Заплыв №",TRUE)</formula>
    </cfRule>
  </conditionalFormatting>
  <conditionalFormatting sqref="D1:D1048576">
    <cfRule type="expression" dxfId="1" priority="20">
      <formula>IF(D1&lt;1000,TRUE)</formula>
    </cfRule>
  </conditionalFormatting>
  <conditionalFormatting sqref="A1:C1048576 H1:H526">
    <cfRule type="expression" dxfId="0" priority="19">
      <formula>IF(LEN(A1)&gt;30,TRUE,IF(LEN(B1)&gt;30,TRUE,IF(LEN(C1)&gt;30,TRUE)))</formula>
    </cfRule>
  </conditionalFormatting>
  <pageMargins left="0" right="0" top="0.31496062992125984" bottom="0.39370078740157483" header="0" footer="0.11811023622047245"/>
  <pageSetup paperSize="9" orientation="portrait" verticalDpi="300" r:id="rId1"/>
  <headerFooter>
    <oddFooter>&amp;R&amp;"Times New Roman,полужирный курсив"&amp;8Стр. &amp;P из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6"/>
  <dimension ref="A1:B25"/>
  <sheetViews>
    <sheetView workbookViewId="0">
      <selection activeCell="B1" sqref="B1:B25"/>
    </sheetView>
  </sheetViews>
  <sheetFormatPr defaultRowHeight="14.4" x14ac:dyDescent="0.3"/>
  <sheetData>
    <row r="1" spans="1:2" ht="15" customHeight="1" x14ac:dyDescent="0.3">
      <c r="A1" s="108"/>
      <c r="B1" s="360">
        <v>50</v>
      </c>
    </row>
    <row r="2" spans="1:2" ht="15" customHeight="1" x14ac:dyDescent="0.3">
      <c r="A2" s="133"/>
      <c r="B2" s="360">
        <v>46</v>
      </c>
    </row>
    <row r="3" spans="1:2" ht="15" customHeight="1" x14ac:dyDescent="0.3">
      <c r="A3" s="134"/>
      <c r="B3" s="360">
        <v>42</v>
      </c>
    </row>
    <row r="4" spans="1:2" ht="15" customHeight="1" x14ac:dyDescent="0.3">
      <c r="A4" s="133"/>
      <c r="B4" s="360">
        <v>39</v>
      </c>
    </row>
    <row r="5" spans="1:2" ht="15" customHeight="1" x14ac:dyDescent="0.3">
      <c r="A5" s="108"/>
      <c r="B5" s="360">
        <v>36</v>
      </c>
    </row>
    <row r="6" spans="1:2" ht="15" customHeight="1" x14ac:dyDescent="0.3">
      <c r="A6" s="133"/>
      <c r="B6" s="360">
        <v>33</v>
      </c>
    </row>
    <row r="7" spans="1:2" ht="15" customHeight="1" x14ac:dyDescent="0.3">
      <c r="A7" s="133"/>
      <c r="B7" s="360">
        <v>30</v>
      </c>
    </row>
    <row r="8" spans="1:2" ht="15" customHeight="1" x14ac:dyDescent="0.3">
      <c r="A8" s="6"/>
      <c r="B8" s="360">
        <v>27</v>
      </c>
    </row>
    <row r="9" spans="1:2" ht="15" customHeight="1" x14ac:dyDescent="0.3">
      <c r="A9" s="133"/>
      <c r="B9" s="360">
        <v>24</v>
      </c>
    </row>
    <row r="10" spans="1:2" ht="15" customHeight="1" x14ac:dyDescent="0.3">
      <c r="A10" s="133"/>
      <c r="B10" s="360">
        <v>22</v>
      </c>
    </row>
    <row r="11" spans="1:2" ht="15" customHeight="1" x14ac:dyDescent="0.3">
      <c r="A11" s="133"/>
      <c r="B11" s="360">
        <v>20</v>
      </c>
    </row>
    <row r="12" spans="1:2" ht="15" customHeight="1" x14ac:dyDescent="0.3">
      <c r="A12" s="133"/>
      <c r="B12" s="360">
        <v>18</v>
      </c>
    </row>
    <row r="13" spans="1:2" ht="15" customHeight="1" x14ac:dyDescent="0.3">
      <c r="A13" s="133"/>
      <c r="B13" s="360">
        <v>16</v>
      </c>
    </row>
    <row r="14" spans="1:2" ht="15" customHeight="1" x14ac:dyDescent="0.3">
      <c r="A14" s="133"/>
      <c r="B14" s="360">
        <v>14</v>
      </c>
    </row>
    <row r="15" spans="1:2" ht="15" customHeight="1" x14ac:dyDescent="0.3">
      <c r="A15" s="133"/>
      <c r="B15" s="360">
        <v>12</v>
      </c>
    </row>
    <row r="16" spans="1:2" ht="15" customHeight="1" x14ac:dyDescent="0.3">
      <c r="A16" s="133"/>
      <c r="B16" s="360">
        <v>10</v>
      </c>
    </row>
    <row r="17" spans="1:2" ht="15" customHeight="1" x14ac:dyDescent="0.3">
      <c r="A17" s="133"/>
      <c r="B17" s="360">
        <v>9</v>
      </c>
    </row>
    <row r="18" spans="1:2" ht="15" customHeight="1" x14ac:dyDescent="0.3">
      <c r="A18" s="133"/>
      <c r="B18" s="360">
        <v>8</v>
      </c>
    </row>
    <row r="19" spans="1:2" ht="15" customHeight="1" x14ac:dyDescent="0.3">
      <c r="A19" s="133"/>
      <c r="B19" s="360">
        <v>7</v>
      </c>
    </row>
    <row r="20" spans="1:2" ht="15" customHeight="1" x14ac:dyDescent="0.3">
      <c r="A20" s="133"/>
      <c r="B20" s="360">
        <v>6</v>
      </c>
    </row>
    <row r="21" spans="1:2" ht="15" customHeight="1" x14ac:dyDescent="0.3">
      <c r="A21" s="133"/>
      <c r="B21" s="360">
        <v>5</v>
      </c>
    </row>
    <row r="22" spans="1:2" ht="15" customHeight="1" x14ac:dyDescent="0.3">
      <c r="A22" s="9"/>
      <c r="B22" s="360">
        <v>4</v>
      </c>
    </row>
    <row r="23" spans="1:2" ht="15" customHeight="1" x14ac:dyDescent="0.3">
      <c r="A23" s="9"/>
      <c r="B23" s="360">
        <v>3</v>
      </c>
    </row>
    <row r="24" spans="1:2" ht="15" customHeight="1" x14ac:dyDescent="0.3">
      <c r="A24" s="29"/>
      <c r="B24" s="360">
        <v>2</v>
      </c>
    </row>
    <row r="25" spans="1:2" ht="15" customHeight="1" x14ac:dyDescent="0.3">
      <c r="A25" s="29"/>
      <c r="B25" s="360">
        <v>1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2"/>
  <dimension ref="A1:M33"/>
  <sheetViews>
    <sheetView workbookViewId="0">
      <selection activeCell="P7" sqref="P7"/>
    </sheetView>
  </sheetViews>
  <sheetFormatPr defaultColWidth="9.109375" defaultRowHeight="13.8" x14ac:dyDescent="0.25"/>
  <cols>
    <col min="1" max="1" width="3.109375" style="481" customWidth="1"/>
    <col min="2" max="2" width="10" style="481" customWidth="1"/>
    <col min="3" max="3" width="5.6640625" style="481" customWidth="1"/>
    <col min="4" max="4" width="10" style="481" customWidth="1"/>
    <col min="5" max="5" width="5.6640625" style="481" customWidth="1"/>
    <col min="6" max="6" width="10" style="481" customWidth="1"/>
    <col min="7" max="7" width="5.6640625" style="481" customWidth="1"/>
    <col min="8" max="8" width="10" style="481" customWidth="1"/>
    <col min="9" max="9" width="5.6640625" style="481" customWidth="1"/>
    <col min="10" max="10" width="10" style="481" customWidth="1"/>
    <col min="11" max="11" width="5.6640625" style="481" customWidth="1"/>
    <col min="12" max="12" width="10" style="481" customWidth="1"/>
    <col min="13" max="13" width="5.6640625" style="481" customWidth="1"/>
    <col min="14" max="16384" width="9.109375" style="481"/>
  </cols>
  <sheetData>
    <row r="1" spans="1:13" ht="28.5" customHeight="1" x14ac:dyDescent="0.35">
      <c r="A1" s="490" t="s">
        <v>602</v>
      </c>
      <c r="B1" s="489"/>
      <c r="C1" s="488"/>
      <c r="D1" s="488"/>
    </row>
    <row r="2" spans="1:13" s="482" customFormat="1" ht="21" customHeight="1" x14ac:dyDescent="0.3">
      <c r="A2" s="487"/>
      <c r="B2" s="1469" t="s">
        <v>601</v>
      </c>
      <c r="C2" s="1470"/>
      <c r="D2" s="1469" t="s">
        <v>600</v>
      </c>
      <c r="E2" s="1470"/>
      <c r="F2" s="1469" t="s">
        <v>599</v>
      </c>
      <c r="G2" s="1470"/>
      <c r="H2" s="1469" t="s">
        <v>598</v>
      </c>
      <c r="I2" s="1470"/>
      <c r="J2" s="1469" t="s">
        <v>597</v>
      </c>
      <c r="K2" s="1470"/>
      <c r="L2" s="1469" t="s">
        <v>596</v>
      </c>
      <c r="M2" s="1470"/>
    </row>
    <row r="3" spans="1:13" s="482" customFormat="1" ht="16.5" customHeight="1" x14ac:dyDescent="0.3">
      <c r="A3" s="487"/>
      <c r="B3" s="486" t="s">
        <v>595</v>
      </c>
      <c r="C3" s="485" t="s">
        <v>594</v>
      </c>
      <c r="D3" s="486" t="s">
        <v>595</v>
      </c>
      <c r="E3" s="485" t="s">
        <v>594</v>
      </c>
      <c r="F3" s="486" t="s">
        <v>595</v>
      </c>
      <c r="G3" s="485" t="s">
        <v>594</v>
      </c>
      <c r="H3" s="486" t="s">
        <v>595</v>
      </c>
      <c r="I3" s="485" t="s">
        <v>594</v>
      </c>
      <c r="J3" s="486" t="s">
        <v>595</v>
      </c>
      <c r="K3" s="485" t="s">
        <v>594</v>
      </c>
      <c r="L3" s="486" t="s">
        <v>595</v>
      </c>
      <c r="M3" s="485" t="s">
        <v>594</v>
      </c>
    </row>
    <row r="4" spans="1:13" s="482" customFormat="1" ht="24.9" customHeight="1" x14ac:dyDescent="0.3">
      <c r="A4" s="484">
        <v>1</v>
      </c>
      <c r="B4" s="483"/>
      <c r="C4" s="483"/>
      <c r="D4" s="483"/>
      <c r="E4" s="483"/>
      <c r="F4" s="483"/>
      <c r="G4" s="483"/>
      <c r="H4" s="483"/>
      <c r="I4" s="483"/>
      <c r="J4" s="483"/>
      <c r="K4" s="483"/>
      <c r="L4" s="483"/>
      <c r="M4" s="483"/>
    </row>
    <row r="5" spans="1:13" s="482" customFormat="1" ht="24.9" customHeight="1" x14ac:dyDescent="0.3">
      <c r="A5" s="484">
        <v>2</v>
      </c>
      <c r="B5" s="483"/>
      <c r="C5" s="483"/>
      <c r="D5" s="483"/>
      <c r="E5" s="483"/>
      <c r="F5" s="483"/>
      <c r="G5" s="483"/>
      <c r="H5" s="483"/>
      <c r="I5" s="483"/>
      <c r="J5" s="483"/>
      <c r="K5" s="483"/>
      <c r="L5" s="483"/>
      <c r="M5" s="483"/>
    </row>
    <row r="6" spans="1:13" s="482" customFormat="1" ht="24.9" customHeight="1" x14ac:dyDescent="0.3">
      <c r="A6" s="484">
        <v>3</v>
      </c>
      <c r="B6" s="483"/>
      <c r="C6" s="483"/>
      <c r="D6" s="483"/>
      <c r="E6" s="483"/>
      <c r="F6" s="483"/>
      <c r="G6" s="483"/>
      <c r="H6" s="483"/>
      <c r="I6" s="483"/>
      <c r="J6" s="483"/>
      <c r="K6" s="483"/>
      <c r="L6" s="483"/>
      <c r="M6" s="483"/>
    </row>
    <row r="7" spans="1:13" s="482" customFormat="1" ht="24.9" customHeight="1" x14ac:dyDescent="0.3">
      <c r="A7" s="484">
        <v>4</v>
      </c>
      <c r="B7" s="483"/>
      <c r="C7" s="483"/>
      <c r="D7" s="483"/>
      <c r="E7" s="483"/>
      <c r="F7" s="483"/>
      <c r="G7" s="483"/>
      <c r="H7" s="483"/>
      <c r="I7" s="483"/>
      <c r="J7" s="483"/>
      <c r="K7" s="483"/>
      <c r="L7" s="483"/>
      <c r="M7" s="483"/>
    </row>
    <row r="8" spans="1:13" s="482" customFormat="1" ht="24.9" customHeight="1" x14ac:dyDescent="0.3">
      <c r="A8" s="484">
        <v>5</v>
      </c>
      <c r="B8" s="483"/>
      <c r="C8" s="483"/>
      <c r="D8" s="483"/>
      <c r="E8" s="483"/>
      <c r="F8" s="483"/>
      <c r="G8" s="483"/>
      <c r="H8" s="483"/>
      <c r="I8" s="483"/>
      <c r="J8" s="483"/>
      <c r="K8" s="483"/>
      <c r="L8" s="483"/>
      <c r="M8" s="483"/>
    </row>
    <row r="9" spans="1:13" s="482" customFormat="1" ht="24.9" customHeight="1" x14ac:dyDescent="0.3">
      <c r="A9" s="484">
        <v>6</v>
      </c>
      <c r="B9" s="483"/>
      <c r="C9" s="483"/>
      <c r="D9" s="483"/>
      <c r="E9" s="483"/>
      <c r="F9" s="483"/>
      <c r="G9" s="483"/>
      <c r="H9" s="483"/>
      <c r="I9" s="483"/>
      <c r="J9" s="483"/>
      <c r="K9" s="483"/>
      <c r="L9" s="483"/>
      <c r="M9" s="483"/>
    </row>
    <row r="10" spans="1:13" s="482" customFormat="1" ht="24.9" customHeight="1" x14ac:dyDescent="0.3">
      <c r="A10" s="484">
        <v>7</v>
      </c>
      <c r="B10" s="483"/>
      <c r="C10" s="483"/>
      <c r="D10" s="483"/>
      <c r="E10" s="483"/>
      <c r="F10" s="483"/>
      <c r="G10" s="483"/>
      <c r="H10" s="483"/>
      <c r="I10" s="483"/>
      <c r="J10" s="483"/>
      <c r="K10" s="483"/>
      <c r="L10" s="483"/>
      <c r="M10" s="483"/>
    </row>
    <row r="11" spans="1:13" s="482" customFormat="1" ht="24.9" customHeight="1" x14ac:dyDescent="0.3">
      <c r="A11" s="484">
        <v>8</v>
      </c>
      <c r="B11" s="483"/>
      <c r="C11" s="483"/>
      <c r="D11" s="483"/>
      <c r="E11" s="483"/>
      <c r="F11" s="483"/>
      <c r="G11" s="483"/>
      <c r="H11" s="483"/>
      <c r="I11" s="483"/>
      <c r="J11" s="483"/>
      <c r="K11" s="483"/>
      <c r="L11" s="483"/>
      <c r="M11" s="483"/>
    </row>
    <row r="12" spans="1:13" s="482" customFormat="1" ht="24.9" customHeight="1" x14ac:dyDescent="0.3">
      <c r="A12" s="484">
        <v>9</v>
      </c>
      <c r="B12" s="483"/>
      <c r="C12" s="483"/>
      <c r="D12" s="483"/>
      <c r="E12" s="483"/>
      <c r="F12" s="483"/>
      <c r="G12" s="483"/>
      <c r="H12" s="483"/>
      <c r="I12" s="483"/>
      <c r="J12" s="483"/>
      <c r="K12" s="483"/>
      <c r="L12" s="483"/>
      <c r="M12" s="483"/>
    </row>
    <row r="13" spans="1:13" s="482" customFormat="1" ht="24.9" customHeight="1" x14ac:dyDescent="0.3">
      <c r="A13" s="484">
        <v>10</v>
      </c>
      <c r="B13" s="483"/>
      <c r="C13" s="483"/>
      <c r="D13" s="483"/>
      <c r="E13" s="483"/>
      <c r="F13" s="483"/>
      <c r="G13" s="483"/>
      <c r="H13" s="483"/>
      <c r="I13" s="483"/>
      <c r="J13" s="483"/>
      <c r="K13" s="483"/>
      <c r="L13" s="483"/>
      <c r="M13" s="483"/>
    </row>
    <row r="14" spans="1:13" s="482" customFormat="1" ht="24.9" customHeight="1" x14ac:dyDescent="0.3">
      <c r="A14" s="484">
        <v>11</v>
      </c>
      <c r="B14" s="483"/>
      <c r="C14" s="483"/>
      <c r="D14" s="483"/>
      <c r="E14" s="483"/>
      <c r="F14" s="483"/>
      <c r="G14" s="483"/>
      <c r="H14" s="483"/>
      <c r="I14" s="483"/>
      <c r="J14" s="483"/>
      <c r="K14" s="483"/>
      <c r="L14" s="483"/>
      <c r="M14" s="483"/>
    </row>
    <row r="15" spans="1:13" s="482" customFormat="1" ht="24.9" customHeight="1" x14ac:dyDescent="0.3">
      <c r="A15" s="484">
        <v>12</v>
      </c>
      <c r="B15" s="483"/>
      <c r="C15" s="483"/>
      <c r="D15" s="483"/>
      <c r="E15" s="483"/>
      <c r="F15" s="483"/>
      <c r="G15" s="483"/>
      <c r="H15" s="483"/>
      <c r="I15" s="483"/>
      <c r="J15" s="483"/>
      <c r="K15" s="483"/>
      <c r="L15" s="483"/>
      <c r="M15" s="483"/>
    </row>
    <row r="16" spans="1:13" s="482" customFormat="1" ht="24.9" customHeight="1" x14ac:dyDescent="0.3">
      <c r="A16" s="484">
        <v>13</v>
      </c>
      <c r="B16" s="483"/>
      <c r="C16" s="483"/>
      <c r="D16" s="483"/>
      <c r="E16" s="483"/>
      <c r="F16" s="483"/>
      <c r="G16" s="483"/>
      <c r="H16" s="483"/>
      <c r="I16" s="483"/>
      <c r="J16" s="483"/>
      <c r="K16" s="483"/>
      <c r="L16" s="483"/>
      <c r="M16" s="483"/>
    </row>
    <row r="17" spans="1:13" s="482" customFormat="1" ht="24.9" customHeight="1" x14ac:dyDescent="0.3">
      <c r="A17" s="484">
        <v>14</v>
      </c>
      <c r="B17" s="483"/>
      <c r="C17" s="483"/>
      <c r="D17" s="483"/>
      <c r="E17" s="483"/>
      <c r="F17" s="483"/>
      <c r="G17" s="483"/>
      <c r="H17" s="483"/>
      <c r="I17" s="483"/>
      <c r="J17" s="483"/>
      <c r="K17" s="483"/>
      <c r="L17" s="483"/>
      <c r="M17" s="483"/>
    </row>
    <row r="18" spans="1:13" s="482" customFormat="1" ht="24.9" customHeight="1" x14ac:dyDescent="0.3">
      <c r="A18" s="484">
        <v>15</v>
      </c>
      <c r="B18" s="483"/>
      <c r="C18" s="483"/>
      <c r="D18" s="483"/>
      <c r="E18" s="483"/>
      <c r="F18" s="483"/>
      <c r="G18" s="483"/>
      <c r="H18" s="483"/>
      <c r="I18" s="483"/>
      <c r="J18" s="483"/>
      <c r="K18" s="483"/>
      <c r="L18" s="483"/>
      <c r="M18" s="483"/>
    </row>
    <row r="19" spans="1:13" s="482" customFormat="1" ht="24.9" customHeight="1" x14ac:dyDescent="0.3">
      <c r="A19" s="484">
        <v>16</v>
      </c>
      <c r="B19" s="483"/>
      <c r="C19" s="483"/>
      <c r="D19" s="483"/>
      <c r="E19" s="483"/>
      <c r="F19" s="483"/>
      <c r="G19" s="483"/>
      <c r="H19" s="483"/>
      <c r="I19" s="483"/>
      <c r="J19" s="483"/>
      <c r="K19" s="483"/>
      <c r="L19" s="483"/>
      <c r="M19" s="483"/>
    </row>
    <row r="20" spans="1:13" s="482" customFormat="1" ht="24.9" customHeight="1" x14ac:dyDescent="0.3">
      <c r="A20" s="484">
        <v>17</v>
      </c>
      <c r="B20" s="483"/>
      <c r="C20" s="483"/>
      <c r="D20" s="483"/>
      <c r="E20" s="483"/>
      <c r="F20" s="483"/>
      <c r="G20" s="483"/>
      <c r="H20" s="483"/>
      <c r="I20" s="483"/>
      <c r="J20" s="483"/>
      <c r="K20" s="483"/>
      <c r="L20" s="483"/>
      <c r="M20" s="483"/>
    </row>
    <row r="21" spans="1:13" s="482" customFormat="1" ht="24.9" customHeight="1" x14ac:dyDescent="0.3">
      <c r="A21" s="484">
        <v>18</v>
      </c>
      <c r="B21" s="483"/>
      <c r="C21" s="483"/>
      <c r="D21" s="483"/>
      <c r="E21" s="483"/>
      <c r="F21" s="483"/>
      <c r="G21" s="483"/>
      <c r="H21" s="483"/>
      <c r="I21" s="483"/>
      <c r="J21" s="483"/>
      <c r="K21" s="483"/>
      <c r="L21" s="483"/>
      <c r="M21" s="483"/>
    </row>
    <row r="22" spans="1:13" s="482" customFormat="1" ht="24.9" customHeight="1" x14ac:dyDescent="0.3">
      <c r="A22" s="484">
        <v>19</v>
      </c>
      <c r="B22" s="483"/>
      <c r="C22" s="483"/>
      <c r="D22" s="483"/>
      <c r="E22" s="483"/>
      <c r="F22" s="483"/>
      <c r="G22" s="483"/>
      <c r="H22" s="483"/>
      <c r="I22" s="483"/>
      <c r="J22" s="483"/>
      <c r="K22" s="483"/>
      <c r="L22" s="483"/>
      <c r="M22" s="483"/>
    </row>
    <row r="23" spans="1:13" s="482" customFormat="1" ht="24.9" customHeight="1" x14ac:dyDescent="0.3">
      <c r="A23" s="484">
        <v>20</v>
      </c>
      <c r="B23" s="483"/>
      <c r="C23" s="483"/>
      <c r="D23" s="483"/>
      <c r="E23" s="483"/>
      <c r="F23" s="483"/>
      <c r="G23" s="483"/>
      <c r="H23" s="483"/>
      <c r="I23" s="483"/>
      <c r="J23" s="483"/>
      <c r="K23" s="483"/>
      <c r="L23" s="483"/>
      <c r="M23" s="483"/>
    </row>
    <row r="24" spans="1:13" s="482" customFormat="1" ht="24.9" customHeight="1" x14ac:dyDescent="0.3">
      <c r="A24" s="484">
        <v>21</v>
      </c>
      <c r="B24" s="483"/>
      <c r="C24" s="483"/>
      <c r="D24" s="483"/>
      <c r="E24" s="483"/>
      <c r="F24" s="483"/>
      <c r="G24" s="483"/>
      <c r="H24" s="483"/>
      <c r="I24" s="483"/>
      <c r="J24" s="483"/>
      <c r="K24" s="483"/>
      <c r="L24" s="483"/>
      <c r="M24" s="483"/>
    </row>
    <row r="25" spans="1:13" s="482" customFormat="1" ht="24.9" customHeight="1" x14ac:dyDescent="0.3">
      <c r="A25" s="484">
        <v>22</v>
      </c>
      <c r="B25" s="483"/>
      <c r="C25" s="483"/>
      <c r="D25" s="483"/>
      <c r="E25" s="483"/>
      <c r="F25" s="483"/>
      <c r="G25" s="483"/>
      <c r="H25" s="483"/>
      <c r="I25" s="483"/>
      <c r="J25" s="483"/>
      <c r="K25" s="483"/>
      <c r="L25" s="483"/>
      <c r="M25" s="483"/>
    </row>
    <row r="26" spans="1:13" s="482" customFormat="1" ht="24.9" customHeight="1" x14ac:dyDescent="0.3">
      <c r="A26" s="484">
        <v>23</v>
      </c>
      <c r="B26" s="483"/>
      <c r="C26" s="483"/>
      <c r="D26" s="483"/>
      <c r="E26" s="483"/>
      <c r="F26" s="483"/>
      <c r="G26" s="483"/>
      <c r="H26" s="483"/>
      <c r="I26" s="483"/>
      <c r="J26" s="483"/>
      <c r="K26" s="483"/>
      <c r="L26" s="483"/>
      <c r="M26" s="483"/>
    </row>
    <row r="27" spans="1:13" s="482" customFormat="1" ht="24.9" customHeight="1" x14ac:dyDescent="0.3">
      <c r="A27" s="484">
        <v>24</v>
      </c>
      <c r="B27" s="483"/>
      <c r="C27" s="483"/>
      <c r="D27" s="483"/>
      <c r="E27" s="483"/>
      <c r="F27" s="483"/>
      <c r="G27" s="483"/>
      <c r="H27" s="483"/>
      <c r="I27" s="483"/>
      <c r="J27" s="483"/>
      <c r="K27" s="483"/>
      <c r="L27" s="483"/>
      <c r="M27" s="483"/>
    </row>
    <row r="28" spans="1:13" s="482" customFormat="1" ht="24.9" customHeight="1" x14ac:dyDescent="0.3">
      <c r="A28" s="484">
        <v>25</v>
      </c>
      <c r="B28" s="483"/>
      <c r="C28" s="483"/>
      <c r="D28" s="483"/>
      <c r="E28" s="483"/>
      <c r="F28" s="483"/>
      <c r="G28" s="483"/>
      <c r="H28" s="483"/>
      <c r="I28" s="483"/>
      <c r="J28" s="483"/>
      <c r="K28" s="483"/>
      <c r="L28" s="483"/>
      <c r="M28" s="483"/>
    </row>
    <row r="29" spans="1:13" s="482" customFormat="1" ht="24.9" customHeight="1" x14ac:dyDescent="0.3">
      <c r="A29" s="484">
        <v>26</v>
      </c>
      <c r="B29" s="483"/>
      <c r="C29" s="483"/>
      <c r="D29" s="483"/>
      <c r="E29" s="483"/>
      <c r="F29" s="483"/>
      <c r="G29" s="483"/>
      <c r="H29" s="483"/>
      <c r="I29" s="483"/>
      <c r="J29" s="483"/>
      <c r="K29" s="483"/>
      <c r="L29" s="483"/>
      <c r="M29" s="483"/>
    </row>
    <row r="30" spans="1:13" s="482" customFormat="1" ht="24.9" customHeight="1" x14ac:dyDescent="0.3">
      <c r="A30" s="484">
        <v>27</v>
      </c>
      <c r="B30" s="483"/>
      <c r="C30" s="483"/>
      <c r="D30" s="483"/>
      <c r="E30" s="483"/>
      <c r="F30" s="483"/>
      <c r="G30" s="483"/>
      <c r="H30" s="483"/>
      <c r="I30" s="483"/>
      <c r="J30" s="483"/>
      <c r="K30" s="483"/>
      <c r="L30" s="483"/>
      <c r="M30" s="483"/>
    </row>
    <row r="31" spans="1:13" s="482" customFormat="1" ht="24.9" customHeight="1" x14ac:dyDescent="0.3">
      <c r="A31" s="484">
        <v>28</v>
      </c>
      <c r="B31" s="483"/>
      <c r="C31" s="483"/>
      <c r="D31" s="483"/>
      <c r="E31" s="483"/>
      <c r="F31" s="483"/>
      <c r="G31" s="483"/>
      <c r="H31" s="483"/>
      <c r="I31" s="483"/>
      <c r="J31" s="483"/>
      <c r="K31" s="483"/>
      <c r="L31" s="483"/>
      <c r="M31" s="483"/>
    </row>
    <row r="32" spans="1:13" s="482" customFormat="1" ht="24.9" customHeight="1" x14ac:dyDescent="0.3">
      <c r="A32" s="484">
        <v>29</v>
      </c>
      <c r="B32" s="483"/>
      <c r="C32" s="483"/>
      <c r="D32" s="483"/>
      <c r="E32" s="483"/>
      <c r="F32" s="483"/>
      <c r="G32" s="483"/>
      <c r="H32" s="483"/>
      <c r="I32" s="483"/>
      <c r="J32" s="483"/>
      <c r="K32" s="483"/>
      <c r="L32" s="483"/>
      <c r="M32" s="483"/>
    </row>
    <row r="33" spans="1:13" s="482" customFormat="1" ht="24.9" customHeight="1" x14ac:dyDescent="0.3">
      <c r="A33" s="484">
        <v>30</v>
      </c>
      <c r="B33" s="483"/>
      <c r="C33" s="483"/>
      <c r="D33" s="483"/>
      <c r="E33" s="483"/>
      <c r="F33" s="483"/>
      <c r="G33" s="483"/>
      <c r="H33" s="483"/>
      <c r="I33" s="483"/>
      <c r="J33" s="483"/>
      <c r="K33" s="483"/>
      <c r="L33" s="483"/>
      <c r="M33" s="483"/>
    </row>
  </sheetData>
  <mergeCells count="6">
    <mergeCell ref="B2:C2"/>
    <mergeCell ref="L2:M2"/>
    <mergeCell ref="J2:K2"/>
    <mergeCell ref="H2:I2"/>
    <mergeCell ref="F2:G2"/>
    <mergeCell ref="D2:E2"/>
  </mergeCells>
  <pageMargins left="0.27559055118110237" right="0.31496062992125984" top="0.35433070866141736" bottom="0.35433070866141736" header="0.31496062992125984" footer="0.31496062992125984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3"/>
  <dimension ref="A1:H28"/>
  <sheetViews>
    <sheetView topLeftCell="A10" workbookViewId="0">
      <selection activeCell="K16" sqref="K16"/>
    </sheetView>
  </sheetViews>
  <sheetFormatPr defaultColWidth="9.109375" defaultRowHeight="18" customHeight="1" x14ac:dyDescent="0.3"/>
  <cols>
    <col min="1" max="1" width="8.5546875" style="188" customWidth="1"/>
    <col min="2" max="2" width="15.6640625" style="188" customWidth="1"/>
    <col min="3" max="3" width="8.5546875" style="188" customWidth="1"/>
    <col min="4" max="4" width="15.6640625" style="188" customWidth="1"/>
    <col min="5" max="5" width="8.5546875" style="188" customWidth="1"/>
    <col min="6" max="6" width="15.6640625" style="188" customWidth="1"/>
    <col min="7" max="7" width="8.5546875" style="188" customWidth="1"/>
    <col min="8" max="8" width="15.6640625" style="188" customWidth="1"/>
    <col min="9" max="16384" width="9.109375" style="188"/>
  </cols>
  <sheetData>
    <row r="1" spans="1:8" ht="35.25" customHeight="1" thickTop="1" x14ac:dyDescent="0.4">
      <c r="A1" s="1471" t="s">
        <v>252</v>
      </c>
      <c r="B1" s="1472"/>
      <c r="C1" s="1472"/>
      <c r="D1" s="1472"/>
      <c r="E1" s="1471" t="str">
        <f>A1</f>
        <v>Заплыв __________ дорожка_____</v>
      </c>
      <c r="F1" s="1472"/>
      <c r="G1" s="1472"/>
      <c r="H1" s="1473"/>
    </row>
    <row r="2" spans="1:8" ht="30" customHeight="1" x14ac:dyDescent="0.3">
      <c r="A2" s="260">
        <v>100</v>
      </c>
      <c r="B2" s="258"/>
      <c r="C2" s="258">
        <f>900</f>
        <v>900</v>
      </c>
      <c r="D2" s="268"/>
      <c r="E2" s="260">
        <v>100</v>
      </c>
      <c r="F2" s="258"/>
      <c r="G2" s="258">
        <f>900</f>
        <v>900</v>
      </c>
      <c r="H2" s="261"/>
    </row>
    <row r="3" spans="1:8" ht="30" customHeight="1" x14ac:dyDescent="0.3">
      <c r="A3" s="260">
        <f>A2+100</f>
        <v>200</v>
      </c>
      <c r="B3" s="259"/>
      <c r="C3" s="258">
        <f>C2+100</f>
        <v>1000</v>
      </c>
      <c r="D3" s="269"/>
      <c r="E3" s="260">
        <f>E2+100</f>
        <v>200</v>
      </c>
      <c r="F3" s="259"/>
      <c r="G3" s="258">
        <f t="shared" ref="G3:G8" si="0">G2+100</f>
        <v>1000</v>
      </c>
      <c r="H3" s="262"/>
    </row>
    <row r="4" spans="1:8" ht="30" customHeight="1" x14ac:dyDescent="0.3">
      <c r="A4" s="260">
        <f t="shared" ref="A4:C17" si="1">A3+100</f>
        <v>300</v>
      </c>
      <c r="B4" s="258"/>
      <c r="C4" s="258">
        <f t="shared" si="1"/>
        <v>1100</v>
      </c>
      <c r="D4" s="268"/>
      <c r="E4" s="260">
        <f t="shared" ref="E4:E9" si="2">E3+100</f>
        <v>300</v>
      </c>
      <c r="F4" s="258"/>
      <c r="G4" s="258">
        <f t="shared" si="0"/>
        <v>1100</v>
      </c>
      <c r="H4" s="261"/>
    </row>
    <row r="5" spans="1:8" ht="30" customHeight="1" x14ac:dyDescent="0.3">
      <c r="A5" s="260">
        <f t="shared" si="1"/>
        <v>400</v>
      </c>
      <c r="B5" s="259"/>
      <c r="C5" s="258">
        <f t="shared" si="1"/>
        <v>1200</v>
      </c>
      <c r="D5" s="269"/>
      <c r="E5" s="260">
        <f t="shared" si="2"/>
        <v>400</v>
      </c>
      <c r="F5" s="259"/>
      <c r="G5" s="258">
        <f t="shared" si="0"/>
        <v>1200</v>
      </c>
      <c r="H5" s="262"/>
    </row>
    <row r="6" spans="1:8" ht="30" customHeight="1" x14ac:dyDescent="0.3">
      <c r="A6" s="260">
        <f t="shared" si="1"/>
        <v>500</v>
      </c>
      <c r="B6" s="258"/>
      <c r="C6" s="258">
        <f t="shared" si="1"/>
        <v>1300</v>
      </c>
      <c r="D6" s="268"/>
      <c r="E6" s="260">
        <f t="shared" si="2"/>
        <v>500</v>
      </c>
      <c r="F6" s="258"/>
      <c r="G6" s="258">
        <f t="shared" si="0"/>
        <v>1300</v>
      </c>
      <c r="H6" s="261"/>
    </row>
    <row r="7" spans="1:8" ht="30" customHeight="1" x14ac:dyDescent="0.3">
      <c r="A7" s="260">
        <f t="shared" si="1"/>
        <v>600</v>
      </c>
      <c r="B7" s="259"/>
      <c r="C7" s="258">
        <f t="shared" si="1"/>
        <v>1400</v>
      </c>
      <c r="D7" s="269"/>
      <c r="E7" s="260">
        <f t="shared" si="2"/>
        <v>600</v>
      </c>
      <c r="F7" s="259"/>
      <c r="G7" s="258">
        <f t="shared" si="0"/>
        <v>1400</v>
      </c>
      <c r="H7" s="262"/>
    </row>
    <row r="8" spans="1:8" ht="30" customHeight="1" x14ac:dyDescent="0.3">
      <c r="A8" s="260">
        <f t="shared" si="1"/>
        <v>700</v>
      </c>
      <c r="B8" s="258"/>
      <c r="C8" s="258">
        <f t="shared" si="1"/>
        <v>1500</v>
      </c>
      <c r="D8" s="268"/>
      <c r="E8" s="260">
        <f t="shared" si="2"/>
        <v>700</v>
      </c>
      <c r="F8" s="258"/>
      <c r="G8" s="258">
        <f t="shared" si="0"/>
        <v>1500</v>
      </c>
      <c r="H8" s="261"/>
    </row>
    <row r="9" spans="1:8" ht="30" customHeight="1" thickBot="1" x14ac:dyDescent="0.35">
      <c r="A9" s="263">
        <f t="shared" si="1"/>
        <v>800</v>
      </c>
      <c r="B9" s="266"/>
      <c r="C9" s="264"/>
      <c r="D9" s="270"/>
      <c r="E9" s="263">
        <f t="shared" si="2"/>
        <v>800</v>
      </c>
      <c r="F9" s="266"/>
      <c r="G9" s="264"/>
      <c r="H9" s="267"/>
    </row>
    <row r="10" spans="1:8" ht="35.25" customHeight="1" thickTop="1" x14ac:dyDescent="0.4">
      <c r="A10" s="1471" t="str">
        <f>A1</f>
        <v>Заплыв __________ дорожка_____</v>
      </c>
      <c r="B10" s="1472"/>
      <c r="C10" s="1472"/>
      <c r="D10" s="1472"/>
      <c r="E10" s="1471" t="str">
        <f>A1</f>
        <v>Заплыв __________ дорожка_____</v>
      </c>
      <c r="F10" s="1472"/>
      <c r="G10" s="1472"/>
      <c r="H10" s="1473"/>
    </row>
    <row r="11" spans="1:8" ht="30" customHeight="1" x14ac:dyDescent="0.3">
      <c r="A11" s="260">
        <v>100</v>
      </c>
      <c r="B11" s="258"/>
      <c r="C11" s="258">
        <v>900</v>
      </c>
      <c r="D11" s="268"/>
      <c r="E11" s="260">
        <v>100</v>
      </c>
      <c r="F11" s="258"/>
      <c r="G11" s="258">
        <v>900</v>
      </c>
      <c r="H11" s="261"/>
    </row>
    <row r="12" spans="1:8" ht="30" customHeight="1" x14ac:dyDescent="0.3">
      <c r="A12" s="260">
        <f t="shared" si="1"/>
        <v>200</v>
      </c>
      <c r="B12" s="259"/>
      <c r="C12" s="258">
        <f t="shared" si="1"/>
        <v>1000</v>
      </c>
      <c r="D12" s="269"/>
      <c r="E12" s="260">
        <f t="shared" ref="E12:E17" si="3">E11+100</f>
        <v>200</v>
      </c>
      <c r="F12" s="259"/>
      <c r="G12" s="258">
        <f t="shared" ref="G12:G17" si="4">G11+100</f>
        <v>1000</v>
      </c>
      <c r="H12" s="262"/>
    </row>
    <row r="13" spans="1:8" ht="30" customHeight="1" x14ac:dyDescent="0.3">
      <c r="A13" s="260">
        <f t="shared" si="1"/>
        <v>300</v>
      </c>
      <c r="B13" s="258"/>
      <c r="C13" s="258">
        <f t="shared" si="1"/>
        <v>1100</v>
      </c>
      <c r="D13" s="268"/>
      <c r="E13" s="260">
        <f t="shared" si="3"/>
        <v>300</v>
      </c>
      <c r="F13" s="258"/>
      <c r="G13" s="258">
        <f t="shared" si="4"/>
        <v>1100</v>
      </c>
      <c r="H13" s="261"/>
    </row>
    <row r="14" spans="1:8" ht="30" customHeight="1" x14ac:dyDescent="0.3">
      <c r="A14" s="260">
        <f t="shared" si="1"/>
        <v>400</v>
      </c>
      <c r="B14" s="259"/>
      <c r="C14" s="258">
        <f t="shared" si="1"/>
        <v>1200</v>
      </c>
      <c r="D14" s="269"/>
      <c r="E14" s="260">
        <f t="shared" si="3"/>
        <v>400</v>
      </c>
      <c r="F14" s="259"/>
      <c r="G14" s="258">
        <f t="shared" si="4"/>
        <v>1200</v>
      </c>
      <c r="H14" s="262"/>
    </row>
    <row r="15" spans="1:8" ht="30" customHeight="1" x14ac:dyDescent="0.3">
      <c r="A15" s="260">
        <f t="shared" si="1"/>
        <v>500</v>
      </c>
      <c r="B15" s="258"/>
      <c r="C15" s="258">
        <f t="shared" si="1"/>
        <v>1300</v>
      </c>
      <c r="D15" s="268"/>
      <c r="E15" s="260">
        <f t="shared" si="3"/>
        <v>500</v>
      </c>
      <c r="F15" s="258"/>
      <c r="G15" s="258">
        <f t="shared" si="4"/>
        <v>1300</v>
      </c>
      <c r="H15" s="261"/>
    </row>
    <row r="16" spans="1:8" ht="30" customHeight="1" x14ac:dyDescent="0.3">
      <c r="A16" s="260">
        <f t="shared" si="1"/>
        <v>600</v>
      </c>
      <c r="B16" s="259"/>
      <c r="C16" s="258">
        <f t="shared" si="1"/>
        <v>1400</v>
      </c>
      <c r="D16" s="269"/>
      <c r="E16" s="260">
        <f t="shared" si="3"/>
        <v>600</v>
      </c>
      <c r="F16" s="259"/>
      <c r="G16" s="258">
        <f t="shared" si="4"/>
        <v>1400</v>
      </c>
      <c r="H16" s="262"/>
    </row>
    <row r="17" spans="1:8" ht="30" customHeight="1" x14ac:dyDescent="0.3">
      <c r="A17" s="260">
        <f t="shared" si="1"/>
        <v>700</v>
      </c>
      <c r="B17" s="258"/>
      <c r="C17" s="258">
        <f t="shared" si="1"/>
        <v>1500</v>
      </c>
      <c r="D17" s="268"/>
      <c r="E17" s="260">
        <f t="shared" si="3"/>
        <v>700</v>
      </c>
      <c r="F17" s="258"/>
      <c r="G17" s="258">
        <f t="shared" si="4"/>
        <v>1500</v>
      </c>
      <c r="H17" s="261"/>
    </row>
    <row r="18" spans="1:8" ht="30" customHeight="1" thickBot="1" x14ac:dyDescent="0.35">
      <c r="A18" s="263">
        <v>800</v>
      </c>
      <c r="B18" s="264"/>
      <c r="C18" s="264"/>
      <c r="D18" s="271"/>
      <c r="E18" s="263">
        <v>800</v>
      </c>
      <c r="F18" s="264"/>
      <c r="G18" s="264"/>
      <c r="H18" s="265"/>
    </row>
    <row r="19" spans="1:8" ht="35.25" customHeight="1" thickTop="1" x14ac:dyDescent="0.4">
      <c r="A19" s="1471" t="str">
        <f>A1</f>
        <v>Заплыв __________ дорожка_____</v>
      </c>
      <c r="B19" s="1472"/>
      <c r="C19" s="1472"/>
      <c r="D19" s="1472"/>
      <c r="E19" s="1471" t="str">
        <f>A1</f>
        <v>Заплыв __________ дорожка_____</v>
      </c>
      <c r="F19" s="1472"/>
      <c r="G19" s="1472"/>
      <c r="H19" s="1473"/>
    </row>
    <row r="20" spans="1:8" ht="30" customHeight="1" x14ac:dyDescent="0.3">
      <c r="A20" s="260">
        <v>100</v>
      </c>
      <c r="B20" s="259"/>
      <c r="C20" s="258">
        <v>900</v>
      </c>
      <c r="D20" s="269"/>
      <c r="E20" s="260">
        <v>100</v>
      </c>
      <c r="F20" s="259"/>
      <c r="G20" s="258">
        <v>900</v>
      </c>
      <c r="H20" s="262"/>
    </row>
    <row r="21" spans="1:8" ht="30" customHeight="1" x14ac:dyDescent="0.3">
      <c r="A21" s="260">
        <f t="shared" ref="A21:A27" si="5">A20+100</f>
        <v>200</v>
      </c>
      <c r="B21" s="258"/>
      <c r="C21" s="258">
        <f t="shared" ref="C21:C26" si="6">C20+100</f>
        <v>1000</v>
      </c>
      <c r="D21" s="268"/>
      <c r="E21" s="260">
        <f t="shared" ref="E21:E27" si="7">E20+100</f>
        <v>200</v>
      </c>
      <c r="F21" s="258"/>
      <c r="G21" s="258">
        <f t="shared" ref="G21:G26" si="8">G20+100</f>
        <v>1000</v>
      </c>
      <c r="H21" s="261"/>
    </row>
    <row r="22" spans="1:8" ht="30" customHeight="1" x14ac:dyDescent="0.3">
      <c r="A22" s="260">
        <f t="shared" si="5"/>
        <v>300</v>
      </c>
      <c r="B22" s="259"/>
      <c r="C22" s="258">
        <f t="shared" si="6"/>
        <v>1100</v>
      </c>
      <c r="D22" s="269"/>
      <c r="E22" s="260">
        <f t="shared" si="7"/>
        <v>300</v>
      </c>
      <c r="F22" s="259"/>
      <c r="G22" s="258">
        <f t="shared" si="8"/>
        <v>1100</v>
      </c>
      <c r="H22" s="262"/>
    </row>
    <row r="23" spans="1:8" ht="30" customHeight="1" x14ac:dyDescent="0.3">
      <c r="A23" s="260">
        <f t="shared" si="5"/>
        <v>400</v>
      </c>
      <c r="B23" s="258"/>
      <c r="C23" s="258">
        <f t="shared" si="6"/>
        <v>1200</v>
      </c>
      <c r="D23" s="268"/>
      <c r="E23" s="260">
        <f t="shared" si="7"/>
        <v>400</v>
      </c>
      <c r="F23" s="258"/>
      <c r="G23" s="258">
        <f t="shared" si="8"/>
        <v>1200</v>
      </c>
      <c r="H23" s="261"/>
    </row>
    <row r="24" spans="1:8" ht="30" customHeight="1" x14ac:dyDescent="0.3">
      <c r="A24" s="260">
        <f t="shared" si="5"/>
        <v>500</v>
      </c>
      <c r="B24" s="259"/>
      <c r="C24" s="258">
        <f t="shared" si="6"/>
        <v>1300</v>
      </c>
      <c r="D24" s="269"/>
      <c r="E24" s="260">
        <f t="shared" si="7"/>
        <v>500</v>
      </c>
      <c r="F24" s="259"/>
      <c r="G24" s="258">
        <f t="shared" si="8"/>
        <v>1300</v>
      </c>
      <c r="H24" s="262"/>
    </row>
    <row r="25" spans="1:8" ht="30" customHeight="1" x14ac:dyDescent="0.3">
      <c r="A25" s="260">
        <f t="shared" si="5"/>
        <v>600</v>
      </c>
      <c r="B25" s="258"/>
      <c r="C25" s="258">
        <f t="shared" si="6"/>
        <v>1400</v>
      </c>
      <c r="D25" s="268"/>
      <c r="E25" s="260">
        <f t="shared" si="7"/>
        <v>600</v>
      </c>
      <c r="F25" s="258"/>
      <c r="G25" s="258">
        <f t="shared" si="8"/>
        <v>1400</v>
      </c>
      <c r="H25" s="261"/>
    </row>
    <row r="26" spans="1:8" ht="30" customHeight="1" x14ac:dyDescent="0.3">
      <c r="A26" s="260">
        <f t="shared" si="5"/>
        <v>700</v>
      </c>
      <c r="B26" s="259"/>
      <c r="C26" s="258">
        <f t="shared" si="6"/>
        <v>1500</v>
      </c>
      <c r="D26" s="269"/>
      <c r="E26" s="260">
        <f t="shared" si="7"/>
        <v>700</v>
      </c>
      <c r="F26" s="259"/>
      <c r="G26" s="258">
        <f t="shared" si="8"/>
        <v>1500</v>
      </c>
      <c r="H26" s="262"/>
    </row>
    <row r="27" spans="1:8" ht="30" customHeight="1" thickBot="1" x14ac:dyDescent="0.35">
      <c r="A27" s="263">
        <f t="shared" si="5"/>
        <v>800</v>
      </c>
      <c r="B27" s="264"/>
      <c r="C27" s="264"/>
      <c r="D27" s="271"/>
      <c r="E27" s="263">
        <f t="shared" si="7"/>
        <v>800</v>
      </c>
      <c r="F27" s="264"/>
      <c r="G27" s="264"/>
      <c r="H27" s="265"/>
    </row>
    <row r="28" spans="1:8" ht="18" customHeight="1" thickTop="1" x14ac:dyDescent="0.3"/>
  </sheetData>
  <mergeCells count="6">
    <mergeCell ref="A1:D1"/>
    <mergeCell ref="E1:H1"/>
    <mergeCell ref="A10:D10"/>
    <mergeCell ref="E10:H10"/>
    <mergeCell ref="A19:D19"/>
    <mergeCell ref="E19:H19"/>
  </mergeCells>
  <pageMargins left="0.23622047244094491" right="0.23622047244094491" top="0.23622047244094491" bottom="0.23622047244094491" header="0" footer="0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109"/>
  <sheetViews>
    <sheetView view="pageBreakPreview" topLeftCell="A14" zoomScale="115" zoomScaleNormal="97" zoomScaleSheetLayoutView="115" zoomScalePageLayoutView="75" workbookViewId="0">
      <pane xSplit="3" ySplit="5" topLeftCell="D31" activePane="bottomRight" state="frozen"/>
      <selection activeCell="A14" sqref="A14"/>
      <selection pane="topRight" activeCell="D14" sqref="D14"/>
      <selection pane="bottomLeft" activeCell="A19" sqref="A19"/>
      <selection pane="bottomRight" activeCell="C79" sqref="C79:V79"/>
    </sheetView>
  </sheetViews>
  <sheetFormatPr defaultColWidth="5.44140625" defaultRowHeight="18" x14ac:dyDescent="0.3"/>
  <cols>
    <col min="1" max="1" width="5" style="822" customWidth="1"/>
    <col min="2" max="2" width="17.33203125" style="822" customWidth="1"/>
    <col min="3" max="3" width="10.109375" style="822" customWidth="1"/>
    <col min="4" max="4" width="9.6640625" style="822" customWidth="1"/>
    <col min="5" max="22" width="9.33203125" style="822" customWidth="1"/>
    <col min="23" max="256" width="5.44140625" style="822"/>
    <col min="257" max="257" width="5" style="822" customWidth="1"/>
    <col min="258" max="258" width="17.33203125" style="822" customWidth="1"/>
    <col min="259" max="259" width="10.109375" style="822" customWidth="1"/>
    <col min="260" max="260" width="9.6640625" style="822" customWidth="1"/>
    <col min="261" max="278" width="9.33203125" style="822" customWidth="1"/>
    <col min="279" max="512" width="5.44140625" style="822"/>
    <col min="513" max="513" width="5" style="822" customWidth="1"/>
    <col min="514" max="514" width="17.33203125" style="822" customWidth="1"/>
    <col min="515" max="515" width="10.109375" style="822" customWidth="1"/>
    <col min="516" max="516" width="9.6640625" style="822" customWidth="1"/>
    <col min="517" max="534" width="9.33203125" style="822" customWidth="1"/>
    <col min="535" max="768" width="5.44140625" style="822"/>
    <col min="769" max="769" width="5" style="822" customWidth="1"/>
    <col min="770" max="770" width="17.33203125" style="822" customWidth="1"/>
    <col min="771" max="771" width="10.109375" style="822" customWidth="1"/>
    <col min="772" max="772" width="9.6640625" style="822" customWidth="1"/>
    <col min="773" max="790" width="9.33203125" style="822" customWidth="1"/>
    <col min="791" max="1024" width="5.44140625" style="822"/>
    <col min="1025" max="1025" width="5" style="822" customWidth="1"/>
    <col min="1026" max="1026" width="17.33203125" style="822" customWidth="1"/>
    <col min="1027" max="1027" width="10.109375" style="822" customWidth="1"/>
    <col min="1028" max="1028" width="9.6640625" style="822" customWidth="1"/>
    <col min="1029" max="1046" width="9.33203125" style="822" customWidth="1"/>
    <col min="1047" max="1280" width="5.44140625" style="822"/>
    <col min="1281" max="1281" width="5" style="822" customWidth="1"/>
    <col min="1282" max="1282" width="17.33203125" style="822" customWidth="1"/>
    <col min="1283" max="1283" width="10.109375" style="822" customWidth="1"/>
    <col min="1284" max="1284" width="9.6640625" style="822" customWidth="1"/>
    <col min="1285" max="1302" width="9.33203125" style="822" customWidth="1"/>
    <col min="1303" max="1536" width="5.44140625" style="822"/>
    <col min="1537" max="1537" width="5" style="822" customWidth="1"/>
    <col min="1538" max="1538" width="17.33203125" style="822" customWidth="1"/>
    <col min="1539" max="1539" width="10.109375" style="822" customWidth="1"/>
    <col min="1540" max="1540" width="9.6640625" style="822" customWidth="1"/>
    <col min="1541" max="1558" width="9.33203125" style="822" customWidth="1"/>
    <col min="1559" max="1792" width="5.44140625" style="822"/>
    <col min="1793" max="1793" width="5" style="822" customWidth="1"/>
    <col min="1794" max="1794" width="17.33203125" style="822" customWidth="1"/>
    <col min="1795" max="1795" width="10.109375" style="822" customWidth="1"/>
    <col min="1796" max="1796" width="9.6640625" style="822" customWidth="1"/>
    <col min="1797" max="1814" width="9.33203125" style="822" customWidth="1"/>
    <col min="1815" max="2048" width="5.44140625" style="822"/>
    <col min="2049" max="2049" width="5" style="822" customWidth="1"/>
    <col min="2050" max="2050" width="17.33203125" style="822" customWidth="1"/>
    <col min="2051" max="2051" width="10.109375" style="822" customWidth="1"/>
    <col min="2052" max="2052" width="9.6640625" style="822" customWidth="1"/>
    <col min="2053" max="2070" width="9.33203125" style="822" customWidth="1"/>
    <col min="2071" max="2304" width="5.44140625" style="822"/>
    <col min="2305" max="2305" width="5" style="822" customWidth="1"/>
    <col min="2306" max="2306" width="17.33203125" style="822" customWidth="1"/>
    <col min="2307" max="2307" width="10.109375" style="822" customWidth="1"/>
    <col min="2308" max="2308" width="9.6640625" style="822" customWidth="1"/>
    <col min="2309" max="2326" width="9.33203125" style="822" customWidth="1"/>
    <col min="2327" max="2560" width="5.44140625" style="822"/>
    <col min="2561" max="2561" width="5" style="822" customWidth="1"/>
    <col min="2562" max="2562" width="17.33203125" style="822" customWidth="1"/>
    <col min="2563" max="2563" width="10.109375" style="822" customWidth="1"/>
    <col min="2564" max="2564" width="9.6640625" style="822" customWidth="1"/>
    <col min="2565" max="2582" width="9.33203125" style="822" customWidth="1"/>
    <col min="2583" max="2816" width="5.44140625" style="822"/>
    <col min="2817" max="2817" width="5" style="822" customWidth="1"/>
    <col min="2818" max="2818" width="17.33203125" style="822" customWidth="1"/>
    <col min="2819" max="2819" width="10.109375" style="822" customWidth="1"/>
    <col min="2820" max="2820" width="9.6640625" style="822" customWidth="1"/>
    <col min="2821" max="2838" width="9.33203125" style="822" customWidth="1"/>
    <col min="2839" max="3072" width="5.44140625" style="822"/>
    <col min="3073" max="3073" width="5" style="822" customWidth="1"/>
    <col min="3074" max="3074" width="17.33203125" style="822" customWidth="1"/>
    <col min="3075" max="3075" width="10.109375" style="822" customWidth="1"/>
    <col min="3076" max="3076" width="9.6640625" style="822" customWidth="1"/>
    <col min="3077" max="3094" width="9.33203125" style="822" customWidth="1"/>
    <col min="3095" max="3328" width="5.44140625" style="822"/>
    <col min="3329" max="3329" width="5" style="822" customWidth="1"/>
    <col min="3330" max="3330" width="17.33203125" style="822" customWidth="1"/>
    <col min="3331" max="3331" width="10.109375" style="822" customWidth="1"/>
    <col min="3332" max="3332" width="9.6640625" style="822" customWidth="1"/>
    <col min="3333" max="3350" width="9.33203125" style="822" customWidth="1"/>
    <col min="3351" max="3584" width="5.44140625" style="822"/>
    <col min="3585" max="3585" width="5" style="822" customWidth="1"/>
    <col min="3586" max="3586" width="17.33203125" style="822" customWidth="1"/>
    <col min="3587" max="3587" width="10.109375" style="822" customWidth="1"/>
    <col min="3588" max="3588" width="9.6640625" style="822" customWidth="1"/>
    <col min="3589" max="3606" width="9.33203125" style="822" customWidth="1"/>
    <col min="3607" max="3840" width="5.44140625" style="822"/>
    <col min="3841" max="3841" width="5" style="822" customWidth="1"/>
    <col min="3842" max="3842" width="17.33203125" style="822" customWidth="1"/>
    <col min="3843" max="3843" width="10.109375" style="822" customWidth="1"/>
    <col min="3844" max="3844" width="9.6640625" style="822" customWidth="1"/>
    <col min="3845" max="3862" width="9.33203125" style="822" customWidth="1"/>
    <col min="3863" max="4096" width="5.44140625" style="822"/>
    <col min="4097" max="4097" width="5" style="822" customWidth="1"/>
    <col min="4098" max="4098" width="17.33203125" style="822" customWidth="1"/>
    <col min="4099" max="4099" width="10.109375" style="822" customWidth="1"/>
    <col min="4100" max="4100" width="9.6640625" style="822" customWidth="1"/>
    <col min="4101" max="4118" width="9.33203125" style="822" customWidth="1"/>
    <col min="4119" max="4352" width="5.44140625" style="822"/>
    <col min="4353" max="4353" width="5" style="822" customWidth="1"/>
    <col min="4354" max="4354" width="17.33203125" style="822" customWidth="1"/>
    <col min="4355" max="4355" width="10.109375" style="822" customWidth="1"/>
    <col min="4356" max="4356" width="9.6640625" style="822" customWidth="1"/>
    <col min="4357" max="4374" width="9.33203125" style="822" customWidth="1"/>
    <col min="4375" max="4608" width="5.44140625" style="822"/>
    <col min="4609" max="4609" width="5" style="822" customWidth="1"/>
    <col min="4610" max="4610" width="17.33203125" style="822" customWidth="1"/>
    <col min="4611" max="4611" width="10.109375" style="822" customWidth="1"/>
    <col min="4612" max="4612" width="9.6640625" style="822" customWidth="1"/>
    <col min="4613" max="4630" width="9.33203125" style="822" customWidth="1"/>
    <col min="4631" max="4864" width="5.44140625" style="822"/>
    <col min="4865" max="4865" width="5" style="822" customWidth="1"/>
    <col min="4866" max="4866" width="17.33203125" style="822" customWidth="1"/>
    <col min="4867" max="4867" width="10.109375" style="822" customWidth="1"/>
    <col min="4868" max="4868" width="9.6640625" style="822" customWidth="1"/>
    <col min="4869" max="4886" width="9.33203125" style="822" customWidth="1"/>
    <col min="4887" max="5120" width="5.44140625" style="822"/>
    <col min="5121" max="5121" width="5" style="822" customWidth="1"/>
    <col min="5122" max="5122" width="17.33203125" style="822" customWidth="1"/>
    <col min="5123" max="5123" width="10.109375" style="822" customWidth="1"/>
    <col min="5124" max="5124" width="9.6640625" style="822" customWidth="1"/>
    <col min="5125" max="5142" width="9.33203125" style="822" customWidth="1"/>
    <col min="5143" max="5376" width="5.44140625" style="822"/>
    <col min="5377" max="5377" width="5" style="822" customWidth="1"/>
    <col min="5378" max="5378" width="17.33203125" style="822" customWidth="1"/>
    <col min="5379" max="5379" width="10.109375" style="822" customWidth="1"/>
    <col min="5380" max="5380" width="9.6640625" style="822" customWidth="1"/>
    <col min="5381" max="5398" width="9.33203125" style="822" customWidth="1"/>
    <col min="5399" max="5632" width="5.44140625" style="822"/>
    <col min="5633" max="5633" width="5" style="822" customWidth="1"/>
    <col min="5634" max="5634" width="17.33203125" style="822" customWidth="1"/>
    <col min="5635" max="5635" width="10.109375" style="822" customWidth="1"/>
    <col min="5636" max="5636" width="9.6640625" style="822" customWidth="1"/>
    <col min="5637" max="5654" width="9.33203125" style="822" customWidth="1"/>
    <col min="5655" max="5888" width="5.44140625" style="822"/>
    <col min="5889" max="5889" width="5" style="822" customWidth="1"/>
    <col min="5890" max="5890" width="17.33203125" style="822" customWidth="1"/>
    <col min="5891" max="5891" width="10.109375" style="822" customWidth="1"/>
    <col min="5892" max="5892" width="9.6640625" style="822" customWidth="1"/>
    <col min="5893" max="5910" width="9.33203125" style="822" customWidth="1"/>
    <col min="5911" max="6144" width="5.44140625" style="822"/>
    <col min="6145" max="6145" width="5" style="822" customWidth="1"/>
    <col min="6146" max="6146" width="17.33203125" style="822" customWidth="1"/>
    <col min="6147" max="6147" width="10.109375" style="822" customWidth="1"/>
    <col min="6148" max="6148" width="9.6640625" style="822" customWidth="1"/>
    <col min="6149" max="6166" width="9.33203125" style="822" customWidth="1"/>
    <col min="6167" max="6400" width="5.44140625" style="822"/>
    <col min="6401" max="6401" width="5" style="822" customWidth="1"/>
    <col min="6402" max="6402" width="17.33203125" style="822" customWidth="1"/>
    <col min="6403" max="6403" width="10.109375" style="822" customWidth="1"/>
    <col min="6404" max="6404" width="9.6640625" style="822" customWidth="1"/>
    <col min="6405" max="6422" width="9.33203125" style="822" customWidth="1"/>
    <col min="6423" max="6656" width="5.44140625" style="822"/>
    <col min="6657" max="6657" width="5" style="822" customWidth="1"/>
    <col min="6658" max="6658" width="17.33203125" style="822" customWidth="1"/>
    <col min="6659" max="6659" width="10.109375" style="822" customWidth="1"/>
    <col min="6660" max="6660" width="9.6640625" style="822" customWidth="1"/>
    <col min="6661" max="6678" width="9.33203125" style="822" customWidth="1"/>
    <col min="6679" max="6912" width="5.44140625" style="822"/>
    <col min="6913" max="6913" width="5" style="822" customWidth="1"/>
    <col min="6914" max="6914" width="17.33203125" style="822" customWidth="1"/>
    <col min="6915" max="6915" width="10.109375" style="822" customWidth="1"/>
    <col min="6916" max="6916" width="9.6640625" style="822" customWidth="1"/>
    <col min="6917" max="6934" width="9.33203125" style="822" customWidth="1"/>
    <col min="6935" max="7168" width="5.44140625" style="822"/>
    <col min="7169" max="7169" width="5" style="822" customWidth="1"/>
    <col min="7170" max="7170" width="17.33203125" style="822" customWidth="1"/>
    <col min="7171" max="7171" width="10.109375" style="822" customWidth="1"/>
    <col min="7172" max="7172" width="9.6640625" style="822" customWidth="1"/>
    <col min="7173" max="7190" width="9.33203125" style="822" customWidth="1"/>
    <col min="7191" max="7424" width="5.44140625" style="822"/>
    <col min="7425" max="7425" width="5" style="822" customWidth="1"/>
    <col min="7426" max="7426" width="17.33203125" style="822" customWidth="1"/>
    <col min="7427" max="7427" width="10.109375" style="822" customWidth="1"/>
    <col min="7428" max="7428" width="9.6640625" style="822" customWidth="1"/>
    <col min="7429" max="7446" width="9.33203125" style="822" customWidth="1"/>
    <col min="7447" max="7680" width="5.44140625" style="822"/>
    <col min="7681" max="7681" width="5" style="822" customWidth="1"/>
    <col min="7682" max="7682" width="17.33203125" style="822" customWidth="1"/>
    <col min="7683" max="7683" width="10.109375" style="822" customWidth="1"/>
    <col min="7684" max="7684" width="9.6640625" style="822" customWidth="1"/>
    <col min="7685" max="7702" width="9.33203125" style="822" customWidth="1"/>
    <col min="7703" max="7936" width="5.44140625" style="822"/>
    <col min="7937" max="7937" width="5" style="822" customWidth="1"/>
    <col min="7938" max="7938" width="17.33203125" style="822" customWidth="1"/>
    <col min="7939" max="7939" width="10.109375" style="822" customWidth="1"/>
    <col min="7940" max="7940" width="9.6640625" style="822" customWidth="1"/>
    <col min="7941" max="7958" width="9.33203125" style="822" customWidth="1"/>
    <col min="7959" max="8192" width="5.44140625" style="822"/>
    <col min="8193" max="8193" width="5" style="822" customWidth="1"/>
    <col min="8194" max="8194" width="17.33203125" style="822" customWidth="1"/>
    <col min="8195" max="8195" width="10.109375" style="822" customWidth="1"/>
    <col min="8196" max="8196" width="9.6640625" style="822" customWidth="1"/>
    <col min="8197" max="8214" width="9.33203125" style="822" customWidth="1"/>
    <col min="8215" max="8448" width="5.44140625" style="822"/>
    <col min="8449" max="8449" width="5" style="822" customWidth="1"/>
    <col min="8450" max="8450" width="17.33203125" style="822" customWidth="1"/>
    <col min="8451" max="8451" width="10.109375" style="822" customWidth="1"/>
    <col min="8452" max="8452" width="9.6640625" style="822" customWidth="1"/>
    <col min="8453" max="8470" width="9.33203125" style="822" customWidth="1"/>
    <col min="8471" max="8704" width="5.44140625" style="822"/>
    <col min="8705" max="8705" width="5" style="822" customWidth="1"/>
    <col min="8706" max="8706" width="17.33203125" style="822" customWidth="1"/>
    <col min="8707" max="8707" width="10.109375" style="822" customWidth="1"/>
    <col min="8708" max="8708" width="9.6640625" style="822" customWidth="1"/>
    <col min="8709" max="8726" width="9.33203125" style="822" customWidth="1"/>
    <col min="8727" max="8960" width="5.44140625" style="822"/>
    <col min="8961" max="8961" width="5" style="822" customWidth="1"/>
    <col min="8962" max="8962" width="17.33203125" style="822" customWidth="1"/>
    <col min="8963" max="8963" width="10.109375" style="822" customWidth="1"/>
    <col min="8964" max="8964" width="9.6640625" style="822" customWidth="1"/>
    <col min="8965" max="8982" width="9.33203125" style="822" customWidth="1"/>
    <col min="8983" max="9216" width="5.44140625" style="822"/>
    <col min="9217" max="9217" width="5" style="822" customWidth="1"/>
    <col min="9218" max="9218" width="17.33203125" style="822" customWidth="1"/>
    <col min="9219" max="9219" width="10.109375" style="822" customWidth="1"/>
    <col min="9220" max="9220" width="9.6640625" style="822" customWidth="1"/>
    <col min="9221" max="9238" width="9.33203125" style="822" customWidth="1"/>
    <col min="9239" max="9472" width="5.44140625" style="822"/>
    <col min="9473" max="9473" width="5" style="822" customWidth="1"/>
    <col min="9474" max="9474" width="17.33203125" style="822" customWidth="1"/>
    <col min="9475" max="9475" width="10.109375" style="822" customWidth="1"/>
    <col min="9476" max="9476" width="9.6640625" style="822" customWidth="1"/>
    <col min="9477" max="9494" width="9.33203125" style="822" customWidth="1"/>
    <col min="9495" max="9728" width="5.44140625" style="822"/>
    <col min="9729" max="9729" width="5" style="822" customWidth="1"/>
    <col min="9730" max="9730" width="17.33203125" style="822" customWidth="1"/>
    <col min="9731" max="9731" width="10.109375" style="822" customWidth="1"/>
    <col min="9732" max="9732" width="9.6640625" style="822" customWidth="1"/>
    <col min="9733" max="9750" width="9.33203125" style="822" customWidth="1"/>
    <col min="9751" max="9984" width="5.44140625" style="822"/>
    <col min="9985" max="9985" width="5" style="822" customWidth="1"/>
    <col min="9986" max="9986" width="17.33203125" style="822" customWidth="1"/>
    <col min="9987" max="9987" width="10.109375" style="822" customWidth="1"/>
    <col min="9988" max="9988" width="9.6640625" style="822" customWidth="1"/>
    <col min="9989" max="10006" width="9.33203125" style="822" customWidth="1"/>
    <col min="10007" max="10240" width="5.44140625" style="822"/>
    <col min="10241" max="10241" width="5" style="822" customWidth="1"/>
    <col min="10242" max="10242" width="17.33203125" style="822" customWidth="1"/>
    <col min="10243" max="10243" width="10.109375" style="822" customWidth="1"/>
    <col min="10244" max="10244" width="9.6640625" style="822" customWidth="1"/>
    <col min="10245" max="10262" width="9.33203125" style="822" customWidth="1"/>
    <col min="10263" max="10496" width="5.44140625" style="822"/>
    <col min="10497" max="10497" width="5" style="822" customWidth="1"/>
    <col min="10498" max="10498" width="17.33203125" style="822" customWidth="1"/>
    <col min="10499" max="10499" width="10.109375" style="822" customWidth="1"/>
    <col min="10500" max="10500" width="9.6640625" style="822" customWidth="1"/>
    <col min="10501" max="10518" width="9.33203125" style="822" customWidth="1"/>
    <col min="10519" max="10752" width="5.44140625" style="822"/>
    <col min="10753" max="10753" width="5" style="822" customWidth="1"/>
    <col min="10754" max="10754" width="17.33203125" style="822" customWidth="1"/>
    <col min="10755" max="10755" width="10.109375" style="822" customWidth="1"/>
    <col min="10756" max="10756" width="9.6640625" style="822" customWidth="1"/>
    <col min="10757" max="10774" width="9.33203125" style="822" customWidth="1"/>
    <col min="10775" max="11008" width="5.44140625" style="822"/>
    <col min="11009" max="11009" width="5" style="822" customWidth="1"/>
    <col min="11010" max="11010" width="17.33203125" style="822" customWidth="1"/>
    <col min="11011" max="11011" width="10.109375" style="822" customWidth="1"/>
    <col min="11012" max="11012" width="9.6640625" style="822" customWidth="1"/>
    <col min="11013" max="11030" width="9.33203125" style="822" customWidth="1"/>
    <col min="11031" max="11264" width="5.44140625" style="822"/>
    <col min="11265" max="11265" width="5" style="822" customWidth="1"/>
    <col min="11266" max="11266" width="17.33203125" style="822" customWidth="1"/>
    <col min="11267" max="11267" width="10.109375" style="822" customWidth="1"/>
    <col min="11268" max="11268" width="9.6640625" style="822" customWidth="1"/>
    <col min="11269" max="11286" width="9.33203125" style="822" customWidth="1"/>
    <col min="11287" max="11520" width="5.44140625" style="822"/>
    <col min="11521" max="11521" width="5" style="822" customWidth="1"/>
    <col min="11522" max="11522" width="17.33203125" style="822" customWidth="1"/>
    <col min="11523" max="11523" width="10.109375" style="822" customWidth="1"/>
    <col min="11524" max="11524" width="9.6640625" style="822" customWidth="1"/>
    <col min="11525" max="11542" width="9.33203125" style="822" customWidth="1"/>
    <col min="11543" max="11776" width="5.44140625" style="822"/>
    <col min="11777" max="11777" width="5" style="822" customWidth="1"/>
    <col min="11778" max="11778" width="17.33203125" style="822" customWidth="1"/>
    <col min="11779" max="11779" width="10.109375" style="822" customWidth="1"/>
    <col min="11780" max="11780" width="9.6640625" style="822" customWidth="1"/>
    <col min="11781" max="11798" width="9.33203125" style="822" customWidth="1"/>
    <col min="11799" max="12032" width="5.44140625" style="822"/>
    <col min="12033" max="12033" width="5" style="822" customWidth="1"/>
    <col min="12034" max="12034" width="17.33203125" style="822" customWidth="1"/>
    <col min="12035" max="12035" width="10.109375" style="822" customWidth="1"/>
    <col min="12036" max="12036" width="9.6640625" style="822" customWidth="1"/>
    <col min="12037" max="12054" width="9.33203125" style="822" customWidth="1"/>
    <col min="12055" max="12288" width="5.44140625" style="822"/>
    <col min="12289" max="12289" width="5" style="822" customWidth="1"/>
    <col min="12290" max="12290" width="17.33203125" style="822" customWidth="1"/>
    <col min="12291" max="12291" width="10.109375" style="822" customWidth="1"/>
    <col min="12292" max="12292" width="9.6640625" style="822" customWidth="1"/>
    <col min="12293" max="12310" width="9.33203125" style="822" customWidth="1"/>
    <col min="12311" max="12544" width="5.44140625" style="822"/>
    <col min="12545" max="12545" width="5" style="822" customWidth="1"/>
    <col min="12546" max="12546" width="17.33203125" style="822" customWidth="1"/>
    <col min="12547" max="12547" width="10.109375" style="822" customWidth="1"/>
    <col min="12548" max="12548" width="9.6640625" style="822" customWidth="1"/>
    <col min="12549" max="12566" width="9.33203125" style="822" customWidth="1"/>
    <col min="12567" max="12800" width="5.44140625" style="822"/>
    <col min="12801" max="12801" width="5" style="822" customWidth="1"/>
    <col min="12802" max="12802" width="17.33203125" style="822" customWidth="1"/>
    <col min="12803" max="12803" width="10.109375" style="822" customWidth="1"/>
    <col min="12804" max="12804" width="9.6640625" style="822" customWidth="1"/>
    <col min="12805" max="12822" width="9.33203125" style="822" customWidth="1"/>
    <col min="12823" max="13056" width="5.44140625" style="822"/>
    <col min="13057" max="13057" width="5" style="822" customWidth="1"/>
    <col min="13058" max="13058" width="17.33203125" style="822" customWidth="1"/>
    <col min="13059" max="13059" width="10.109375" style="822" customWidth="1"/>
    <col min="13060" max="13060" width="9.6640625" style="822" customWidth="1"/>
    <col min="13061" max="13078" width="9.33203125" style="822" customWidth="1"/>
    <col min="13079" max="13312" width="5.44140625" style="822"/>
    <col min="13313" max="13313" width="5" style="822" customWidth="1"/>
    <col min="13314" max="13314" width="17.33203125" style="822" customWidth="1"/>
    <col min="13315" max="13315" width="10.109375" style="822" customWidth="1"/>
    <col min="13316" max="13316" width="9.6640625" style="822" customWidth="1"/>
    <col min="13317" max="13334" width="9.33203125" style="822" customWidth="1"/>
    <col min="13335" max="13568" width="5.44140625" style="822"/>
    <col min="13569" max="13569" width="5" style="822" customWidth="1"/>
    <col min="13570" max="13570" width="17.33203125" style="822" customWidth="1"/>
    <col min="13571" max="13571" width="10.109375" style="822" customWidth="1"/>
    <col min="13572" max="13572" width="9.6640625" style="822" customWidth="1"/>
    <col min="13573" max="13590" width="9.33203125" style="822" customWidth="1"/>
    <col min="13591" max="13824" width="5.44140625" style="822"/>
    <col min="13825" max="13825" width="5" style="822" customWidth="1"/>
    <col min="13826" max="13826" width="17.33203125" style="822" customWidth="1"/>
    <col min="13827" max="13827" width="10.109375" style="822" customWidth="1"/>
    <col min="13828" max="13828" width="9.6640625" style="822" customWidth="1"/>
    <col min="13829" max="13846" width="9.33203125" style="822" customWidth="1"/>
    <col min="13847" max="14080" width="5.44140625" style="822"/>
    <col min="14081" max="14081" width="5" style="822" customWidth="1"/>
    <col min="14082" max="14082" width="17.33203125" style="822" customWidth="1"/>
    <col min="14083" max="14083" width="10.109375" style="822" customWidth="1"/>
    <col min="14084" max="14084" width="9.6640625" style="822" customWidth="1"/>
    <col min="14085" max="14102" width="9.33203125" style="822" customWidth="1"/>
    <col min="14103" max="14336" width="5.44140625" style="822"/>
    <col min="14337" max="14337" width="5" style="822" customWidth="1"/>
    <col min="14338" max="14338" width="17.33203125" style="822" customWidth="1"/>
    <col min="14339" max="14339" width="10.109375" style="822" customWidth="1"/>
    <col min="14340" max="14340" width="9.6640625" style="822" customWidth="1"/>
    <col min="14341" max="14358" width="9.33203125" style="822" customWidth="1"/>
    <col min="14359" max="14592" width="5.44140625" style="822"/>
    <col min="14593" max="14593" width="5" style="822" customWidth="1"/>
    <col min="14594" max="14594" width="17.33203125" style="822" customWidth="1"/>
    <col min="14595" max="14595" width="10.109375" style="822" customWidth="1"/>
    <col min="14596" max="14596" width="9.6640625" style="822" customWidth="1"/>
    <col min="14597" max="14614" width="9.33203125" style="822" customWidth="1"/>
    <col min="14615" max="14848" width="5.44140625" style="822"/>
    <col min="14849" max="14849" width="5" style="822" customWidth="1"/>
    <col min="14850" max="14850" width="17.33203125" style="822" customWidth="1"/>
    <col min="14851" max="14851" width="10.109375" style="822" customWidth="1"/>
    <col min="14852" max="14852" width="9.6640625" style="822" customWidth="1"/>
    <col min="14853" max="14870" width="9.33203125" style="822" customWidth="1"/>
    <col min="14871" max="15104" width="5.44140625" style="822"/>
    <col min="15105" max="15105" width="5" style="822" customWidth="1"/>
    <col min="15106" max="15106" width="17.33203125" style="822" customWidth="1"/>
    <col min="15107" max="15107" width="10.109375" style="822" customWidth="1"/>
    <col min="15108" max="15108" width="9.6640625" style="822" customWidth="1"/>
    <col min="15109" max="15126" width="9.33203125" style="822" customWidth="1"/>
    <col min="15127" max="15360" width="5.44140625" style="822"/>
    <col min="15361" max="15361" width="5" style="822" customWidth="1"/>
    <col min="15362" max="15362" width="17.33203125" style="822" customWidth="1"/>
    <col min="15363" max="15363" width="10.109375" style="822" customWidth="1"/>
    <col min="15364" max="15364" width="9.6640625" style="822" customWidth="1"/>
    <col min="15365" max="15382" width="9.33203125" style="822" customWidth="1"/>
    <col min="15383" max="15616" width="5.44140625" style="822"/>
    <col min="15617" max="15617" width="5" style="822" customWidth="1"/>
    <col min="15618" max="15618" width="17.33203125" style="822" customWidth="1"/>
    <col min="15619" max="15619" width="10.109375" style="822" customWidth="1"/>
    <col min="15620" max="15620" width="9.6640625" style="822" customWidth="1"/>
    <col min="15621" max="15638" width="9.33203125" style="822" customWidth="1"/>
    <col min="15639" max="15872" width="5.44140625" style="822"/>
    <col min="15873" max="15873" width="5" style="822" customWidth="1"/>
    <col min="15874" max="15874" width="17.33203125" style="822" customWidth="1"/>
    <col min="15875" max="15875" width="10.109375" style="822" customWidth="1"/>
    <col min="15876" max="15876" width="9.6640625" style="822" customWidth="1"/>
    <col min="15877" max="15894" width="9.33203125" style="822" customWidth="1"/>
    <col min="15895" max="16128" width="5.44140625" style="822"/>
    <col min="16129" max="16129" width="5" style="822" customWidth="1"/>
    <col min="16130" max="16130" width="17.33203125" style="822" customWidth="1"/>
    <col min="16131" max="16131" width="10.109375" style="822" customWidth="1"/>
    <col min="16132" max="16132" width="9.6640625" style="822" customWidth="1"/>
    <col min="16133" max="16150" width="9.33203125" style="822" customWidth="1"/>
    <col min="16151" max="16384" width="5.44140625" style="822"/>
  </cols>
  <sheetData>
    <row r="1" spans="1:22" s="814" customFormat="1" ht="25.5" customHeight="1" x14ac:dyDescent="0.45">
      <c r="A1" s="1534" t="s">
        <v>641</v>
      </c>
      <c r="B1" s="1534"/>
      <c r="C1" s="1534"/>
      <c r="D1" s="1534"/>
      <c r="E1" s="1534"/>
      <c r="F1" s="1534"/>
      <c r="G1" s="1534"/>
      <c r="H1" s="1534"/>
      <c r="I1" s="1534"/>
      <c r="J1" s="1534"/>
      <c r="K1" s="1534"/>
      <c r="L1" s="1534"/>
      <c r="M1" s="1534"/>
      <c r="N1" s="1534"/>
      <c r="O1" s="1534"/>
      <c r="P1" s="1534"/>
      <c r="Q1" s="1534"/>
      <c r="R1" s="1534"/>
      <c r="S1" s="1534"/>
      <c r="T1" s="1534"/>
      <c r="U1" s="1534"/>
      <c r="V1" s="1534"/>
    </row>
    <row r="2" spans="1:22" s="814" customFormat="1" ht="24" customHeight="1" x14ac:dyDescent="0.45">
      <c r="A2" s="815"/>
      <c r="B2" s="815"/>
      <c r="C2" s="815"/>
      <c r="D2" s="815"/>
      <c r="E2" s="815"/>
      <c r="F2" s="815"/>
      <c r="G2" s="815"/>
      <c r="H2" s="815"/>
      <c r="I2" s="815"/>
      <c r="J2" s="815"/>
      <c r="K2" s="815"/>
      <c r="L2" s="815"/>
      <c r="M2" s="815"/>
      <c r="N2" s="815"/>
      <c r="O2" s="815"/>
      <c r="P2" s="815"/>
      <c r="Q2" s="815"/>
      <c r="R2" s="815"/>
      <c r="S2" s="815"/>
      <c r="T2" s="815"/>
      <c r="U2" s="815"/>
      <c r="V2" s="815"/>
    </row>
    <row r="3" spans="1:22" s="814" customFormat="1" ht="31.5" customHeight="1" x14ac:dyDescent="0.45">
      <c r="A3" s="815"/>
      <c r="B3" s="815"/>
      <c r="C3" s="1535" t="s">
        <v>642</v>
      </c>
      <c r="D3" s="1536"/>
      <c r="E3" s="1536"/>
      <c r="F3" s="1536"/>
      <c r="G3" s="1536"/>
      <c r="H3" s="1536"/>
      <c r="I3" s="1536"/>
      <c r="J3" s="1536"/>
      <c r="K3" s="1536"/>
      <c r="L3" s="1536"/>
      <c r="M3" s="1536"/>
      <c r="N3" s="1536"/>
      <c r="O3" s="1536"/>
      <c r="P3" s="1536"/>
      <c r="Q3" s="1536"/>
      <c r="R3" s="1536"/>
      <c r="S3" s="1536"/>
      <c r="T3" s="1536"/>
      <c r="U3" s="1536"/>
      <c r="V3" s="1536"/>
    </row>
    <row r="4" spans="1:22" s="814" customFormat="1" ht="22.5" customHeight="1" x14ac:dyDescent="0.45">
      <c r="A4" s="815"/>
      <c r="B4" s="815"/>
      <c r="C4" s="1537" t="s">
        <v>643</v>
      </c>
      <c r="D4" s="1536"/>
      <c r="E4" s="1536"/>
      <c r="F4" s="1536"/>
      <c r="G4" s="1536"/>
      <c r="H4" s="1536"/>
      <c r="I4" s="1536"/>
      <c r="J4" s="1536"/>
      <c r="K4" s="1536"/>
      <c r="L4" s="1536"/>
      <c r="M4" s="1536"/>
      <c r="N4" s="1536"/>
      <c r="O4" s="1536"/>
      <c r="P4" s="1536"/>
      <c r="Q4" s="1536"/>
      <c r="R4" s="1536"/>
      <c r="S4" s="1536"/>
      <c r="T4" s="1536"/>
      <c r="U4" s="1536"/>
      <c r="V4" s="1536"/>
    </row>
    <row r="5" spans="1:22" s="814" customFormat="1" ht="32.25" customHeight="1" x14ac:dyDescent="0.45">
      <c r="A5" s="815"/>
      <c r="B5" s="815"/>
      <c r="C5" s="1537" t="s">
        <v>644</v>
      </c>
      <c r="D5" s="1536"/>
      <c r="E5" s="1536"/>
      <c r="F5" s="1536"/>
      <c r="G5" s="1536"/>
      <c r="H5" s="1536"/>
      <c r="I5" s="1536"/>
      <c r="J5" s="1536"/>
      <c r="K5" s="1536"/>
      <c r="L5" s="1536"/>
      <c r="M5" s="1536"/>
      <c r="N5" s="1536"/>
      <c r="O5" s="1536"/>
      <c r="P5" s="1536"/>
      <c r="Q5" s="1536"/>
      <c r="R5" s="1536"/>
      <c r="S5" s="1536"/>
      <c r="T5" s="1536"/>
      <c r="U5" s="1536"/>
      <c r="V5" s="1536"/>
    </row>
    <row r="6" spans="1:22" s="814" customFormat="1" ht="22.5" customHeight="1" x14ac:dyDescent="0.45">
      <c r="A6" s="815"/>
      <c r="B6" s="815"/>
      <c r="C6" s="1537" t="s">
        <v>645</v>
      </c>
      <c r="D6" s="1536"/>
      <c r="E6" s="1536"/>
      <c r="F6" s="1536"/>
      <c r="G6" s="1536"/>
      <c r="H6" s="1536"/>
      <c r="I6" s="1536"/>
      <c r="J6" s="1536"/>
      <c r="K6" s="1536"/>
      <c r="L6" s="1536"/>
      <c r="M6" s="1536"/>
      <c r="N6" s="1536"/>
      <c r="O6" s="1536"/>
      <c r="P6" s="1536"/>
      <c r="Q6" s="1536"/>
      <c r="R6" s="1536"/>
      <c r="S6" s="1536"/>
      <c r="T6" s="1536"/>
      <c r="U6" s="1536"/>
      <c r="V6" s="1536"/>
    </row>
    <row r="7" spans="1:22" s="814" customFormat="1" ht="36.75" customHeight="1" x14ac:dyDescent="0.45">
      <c r="A7" s="815"/>
      <c r="B7" s="815"/>
      <c r="C7" s="1537" t="s">
        <v>646</v>
      </c>
      <c r="D7" s="1536"/>
      <c r="E7" s="1536"/>
      <c r="F7" s="1536"/>
      <c r="G7" s="1536"/>
      <c r="H7" s="1536"/>
      <c r="I7" s="1536"/>
      <c r="J7" s="1536"/>
      <c r="K7" s="1536"/>
      <c r="L7" s="1536"/>
      <c r="M7" s="1536"/>
      <c r="N7" s="1536"/>
      <c r="O7" s="1536"/>
      <c r="P7" s="1536"/>
      <c r="Q7" s="1536"/>
      <c r="R7" s="1536"/>
      <c r="S7" s="1536"/>
      <c r="T7" s="1536"/>
      <c r="U7" s="1536"/>
      <c r="V7" s="1536"/>
    </row>
    <row r="8" spans="1:22" s="814" customFormat="1" ht="72.900000000000006" customHeight="1" x14ac:dyDescent="0.45">
      <c r="A8" s="815"/>
      <c r="B8" s="815"/>
      <c r="C8" s="1542" t="s">
        <v>1043</v>
      </c>
      <c r="D8" s="1536"/>
      <c r="E8" s="1536"/>
      <c r="F8" s="1536"/>
      <c r="G8" s="1536"/>
      <c r="H8" s="1536"/>
      <c r="I8" s="1536"/>
      <c r="J8" s="1536"/>
      <c r="K8" s="1536"/>
      <c r="L8" s="1536"/>
      <c r="M8" s="1536"/>
      <c r="N8" s="1536"/>
      <c r="O8" s="1536"/>
      <c r="P8" s="1536"/>
      <c r="Q8" s="1536"/>
      <c r="R8" s="1536"/>
      <c r="S8" s="1536"/>
      <c r="T8" s="1536"/>
      <c r="U8" s="1536"/>
      <c r="V8" s="1536"/>
    </row>
    <row r="9" spans="1:22" s="814" customFormat="1" ht="48.75" customHeight="1" x14ac:dyDescent="0.45">
      <c r="A9" s="815"/>
      <c r="B9" s="815"/>
      <c r="C9" s="1537" t="s">
        <v>647</v>
      </c>
      <c r="D9" s="1536"/>
      <c r="E9" s="1536"/>
      <c r="F9" s="1536"/>
      <c r="G9" s="1536"/>
      <c r="H9" s="1536"/>
      <c r="I9" s="1536"/>
      <c r="J9" s="1536"/>
      <c r="K9" s="1536"/>
      <c r="L9" s="1536"/>
      <c r="M9" s="1536"/>
      <c r="N9" s="1536"/>
      <c r="O9" s="1536"/>
      <c r="P9" s="1536"/>
      <c r="Q9" s="1536"/>
      <c r="R9" s="1536"/>
      <c r="S9" s="1536"/>
      <c r="T9" s="1536"/>
      <c r="U9" s="1536"/>
      <c r="V9" s="1536"/>
    </row>
    <row r="10" spans="1:22" s="814" customFormat="1" ht="72" customHeight="1" x14ac:dyDescent="0.45">
      <c r="A10" s="815"/>
      <c r="B10" s="815"/>
      <c r="C10" s="1542" t="s">
        <v>1044</v>
      </c>
      <c r="D10" s="1543"/>
      <c r="E10" s="1543"/>
      <c r="F10" s="1543"/>
      <c r="G10" s="1543"/>
      <c r="H10" s="1543"/>
      <c r="I10" s="1543"/>
      <c r="J10" s="1543"/>
      <c r="K10" s="1543"/>
      <c r="L10" s="1543"/>
      <c r="M10" s="1543"/>
      <c r="N10" s="1543"/>
      <c r="O10" s="1543"/>
      <c r="P10" s="1543"/>
      <c r="Q10" s="1543"/>
      <c r="R10" s="1543"/>
      <c r="S10" s="1543"/>
      <c r="T10" s="1543"/>
      <c r="U10" s="1543"/>
      <c r="V10" s="1543"/>
    </row>
    <row r="11" spans="1:22" s="814" customFormat="1" ht="51.75" customHeight="1" x14ac:dyDescent="0.45">
      <c r="A11" s="815"/>
      <c r="B11" s="815"/>
      <c r="C11" s="1537" t="s">
        <v>648</v>
      </c>
      <c r="D11" s="1536"/>
      <c r="E11" s="1536"/>
      <c r="F11" s="1536"/>
      <c r="G11" s="1536"/>
      <c r="H11" s="1536"/>
      <c r="I11" s="1536"/>
      <c r="J11" s="1536"/>
      <c r="K11" s="1536"/>
      <c r="L11" s="1536"/>
      <c r="M11" s="1536"/>
      <c r="N11" s="1536"/>
      <c r="O11" s="1536"/>
      <c r="P11" s="1536"/>
      <c r="Q11" s="1536"/>
      <c r="R11" s="1536"/>
      <c r="S11" s="1536"/>
      <c r="T11" s="1536"/>
      <c r="U11" s="1536"/>
      <c r="V11" s="1536"/>
    </row>
    <row r="12" spans="1:22" s="814" customFormat="1" ht="43.5" customHeight="1" x14ac:dyDescent="0.45">
      <c r="A12" s="815"/>
      <c r="B12" s="815"/>
      <c r="C12" s="1537" t="s">
        <v>979</v>
      </c>
      <c r="D12" s="1536"/>
      <c r="E12" s="1536"/>
      <c r="F12" s="1536"/>
      <c r="G12" s="1536"/>
      <c r="H12" s="1536"/>
      <c r="I12" s="1536"/>
      <c r="J12" s="1536"/>
      <c r="K12" s="1536"/>
      <c r="L12" s="1536"/>
      <c r="M12" s="1536"/>
      <c r="N12" s="1536"/>
      <c r="O12" s="1536"/>
      <c r="P12" s="1536"/>
      <c r="Q12" s="1536"/>
      <c r="R12" s="1536"/>
      <c r="S12" s="1536"/>
      <c r="T12" s="1536"/>
      <c r="U12" s="1536"/>
      <c r="V12" s="1536"/>
    </row>
    <row r="13" spans="1:22" s="814" customFormat="1" ht="27" customHeight="1" thickBot="1" x14ac:dyDescent="0.45">
      <c r="A13" s="816"/>
      <c r="B13" s="816"/>
      <c r="C13" s="816"/>
      <c r="D13" s="1544"/>
      <c r="E13" s="1544"/>
      <c r="F13" s="1544"/>
      <c r="G13" s="1544"/>
      <c r="H13" s="1544"/>
      <c r="I13" s="1544"/>
      <c r="J13" s="1544"/>
      <c r="K13" s="1544"/>
      <c r="L13" s="1544"/>
      <c r="M13" s="1544"/>
      <c r="N13" s="1544"/>
      <c r="O13" s="1544"/>
      <c r="P13" s="1544"/>
      <c r="Q13" s="1544"/>
      <c r="R13" s="1544"/>
      <c r="S13" s="1544"/>
      <c r="T13" s="1544"/>
      <c r="U13" s="1544"/>
      <c r="V13" s="1544"/>
    </row>
    <row r="14" spans="1:22" s="814" customFormat="1" ht="24" customHeight="1" thickBot="1" x14ac:dyDescent="0.35">
      <c r="A14" s="1538" t="s">
        <v>1</v>
      </c>
      <c r="B14" s="1530" t="s">
        <v>649</v>
      </c>
      <c r="C14" s="1539" t="s">
        <v>650</v>
      </c>
      <c r="D14" s="1530" t="s">
        <v>132</v>
      </c>
      <c r="E14" s="1530" t="s">
        <v>32</v>
      </c>
      <c r="F14" s="1541"/>
      <c r="G14" s="1530" t="s">
        <v>33</v>
      </c>
      <c r="H14" s="1541"/>
      <c r="I14" s="1530" t="s">
        <v>34</v>
      </c>
      <c r="J14" s="1541"/>
      <c r="K14" s="1530" t="s">
        <v>133</v>
      </c>
      <c r="L14" s="1541"/>
      <c r="M14" s="1541"/>
      <c r="N14" s="1541"/>
      <c r="O14" s="1541"/>
      <c r="P14" s="1541"/>
      <c r="Q14" s="1545" t="s">
        <v>134</v>
      </c>
      <c r="R14" s="1546"/>
      <c r="S14" s="1546"/>
      <c r="T14" s="1546"/>
      <c r="U14" s="1546"/>
      <c r="V14" s="1547"/>
    </row>
    <row r="15" spans="1:22" s="814" customFormat="1" ht="27" customHeight="1" thickBot="1" x14ac:dyDescent="0.35">
      <c r="A15" s="1538"/>
      <c r="B15" s="1530"/>
      <c r="C15" s="1540"/>
      <c r="D15" s="1541"/>
      <c r="E15" s="1541"/>
      <c r="F15" s="1541"/>
      <c r="G15" s="1541"/>
      <c r="H15" s="1541"/>
      <c r="I15" s="1541"/>
      <c r="J15" s="1541"/>
      <c r="K15" s="1530" t="s">
        <v>135</v>
      </c>
      <c r="L15" s="1530"/>
      <c r="M15" s="1530" t="s">
        <v>136</v>
      </c>
      <c r="N15" s="1530"/>
      <c r="O15" s="1530" t="s">
        <v>137</v>
      </c>
      <c r="P15" s="1530"/>
      <c r="Q15" s="1530" t="s">
        <v>135</v>
      </c>
      <c r="R15" s="1530"/>
      <c r="S15" s="1530" t="s">
        <v>136</v>
      </c>
      <c r="T15" s="1530"/>
      <c r="U15" s="1530" t="s">
        <v>137</v>
      </c>
      <c r="V15" s="1531"/>
    </row>
    <row r="16" spans="1:22" s="814" customFormat="1" ht="39" customHeight="1" thickBot="1" x14ac:dyDescent="0.35">
      <c r="A16" s="1538"/>
      <c r="B16" s="1530"/>
      <c r="C16" s="1529"/>
      <c r="D16" s="1541"/>
      <c r="E16" s="817" t="s">
        <v>251</v>
      </c>
      <c r="F16" s="817" t="s">
        <v>250</v>
      </c>
      <c r="G16" s="817" t="s">
        <v>251</v>
      </c>
      <c r="H16" s="817" t="s">
        <v>250</v>
      </c>
      <c r="I16" s="817" t="s">
        <v>251</v>
      </c>
      <c r="J16" s="817" t="s">
        <v>250</v>
      </c>
      <c r="K16" s="817" t="s">
        <v>251</v>
      </c>
      <c r="L16" s="817" t="s">
        <v>250</v>
      </c>
      <c r="M16" s="817" t="s">
        <v>251</v>
      </c>
      <c r="N16" s="817" t="s">
        <v>250</v>
      </c>
      <c r="O16" s="817" t="s">
        <v>251</v>
      </c>
      <c r="P16" s="817" t="s">
        <v>250</v>
      </c>
      <c r="Q16" s="817" t="s">
        <v>251</v>
      </c>
      <c r="R16" s="817" t="s">
        <v>250</v>
      </c>
      <c r="S16" s="817" t="s">
        <v>251</v>
      </c>
      <c r="T16" s="817" t="s">
        <v>250</v>
      </c>
      <c r="U16" s="817" t="s">
        <v>251</v>
      </c>
      <c r="V16" s="818" t="s">
        <v>250</v>
      </c>
    </row>
    <row r="17" spans="1:22" s="814" customFormat="1" ht="19.8" thickBot="1" x14ac:dyDescent="0.35">
      <c r="A17" s="819">
        <v>1</v>
      </c>
      <c r="B17" s="817">
        <f>A17+1</f>
        <v>2</v>
      </c>
      <c r="C17" s="817">
        <f>B17+1</f>
        <v>3</v>
      </c>
      <c r="D17" s="817">
        <f t="shared" ref="D17:U17" si="0">C17+1</f>
        <v>4</v>
      </c>
      <c r="E17" s="817">
        <f t="shared" si="0"/>
        <v>5</v>
      </c>
      <c r="F17" s="817">
        <f t="shared" si="0"/>
        <v>6</v>
      </c>
      <c r="G17" s="817">
        <f t="shared" si="0"/>
        <v>7</v>
      </c>
      <c r="H17" s="817">
        <f t="shared" si="0"/>
        <v>8</v>
      </c>
      <c r="I17" s="817">
        <f t="shared" si="0"/>
        <v>9</v>
      </c>
      <c r="J17" s="817">
        <f t="shared" si="0"/>
        <v>10</v>
      </c>
      <c r="K17" s="817">
        <f t="shared" si="0"/>
        <v>11</v>
      </c>
      <c r="L17" s="817">
        <f t="shared" si="0"/>
        <v>12</v>
      </c>
      <c r="M17" s="817">
        <f t="shared" si="0"/>
        <v>13</v>
      </c>
      <c r="N17" s="817">
        <f t="shared" si="0"/>
        <v>14</v>
      </c>
      <c r="O17" s="817">
        <f t="shared" si="0"/>
        <v>15</v>
      </c>
      <c r="P17" s="817">
        <f t="shared" si="0"/>
        <v>16</v>
      </c>
      <c r="Q17" s="817">
        <f t="shared" si="0"/>
        <v>17</v>
      </c>
      <c r="R17" s="817">
        <f t="shared" si="0"/>
        <v>18</v>
      </c>
      <c r="S17" s="817">
        <f t="shared" si="0"/>
        <v>19</v>
      </c>
      <c r="T17" s="817">
        <f t="shared" si="0"/>
        <v>20</v>
      </c>
      <c r="U17" s="817">
        <f t="shared" si="0"/>
        <v>21</v>
      </c>
      <c r="V17" s="818">
        <f>U17+1</f>
        <v>22</v>
      </c>
    </row>
    <row r="18" spans="1:22" ht="18.75" hidden="1" customHeight="1" x14ac:dyDescent="0.3">
      <c r="A18" s="820"/>
      <c r="B18" s="821"/>
      <c r="C18" s="821"/>
      <c r="D18" s="1532"/>
      <c r="E18" s="1532"/>
      <c r="F18" s="1532"/>
      <c r="G18" s="1532"/>
      <c r="H18" s="1532"/>
      <c r="I18" s="1532"/>
      <c r="J18" s="1532"/>
      <c r="K18" s="1532"/>
      <c r="L18" s="1532"/>
      <c r="M18" s="1532"/>
      <c r="N18" s="1532"/>
      <c r="O18" s="1532"/>
      <c r="P18" s="1532"/>
      <c r="Q18" s="1532"/>
      <c r="R18" s="1532"/>
      <c r="S18" s="1532"/>
      <c r="T18" s="1532"/>
      <c r="U18" s="1532"/>
      <c r="V18" s="1533"/>
    </row>
    <row r="19" spans="1:22" ht="67.5" customHeight="1" thickBot="1" x14ac:dyDescent="0.35">
      <c r="A19" s="823">
        <v>1</v>
      </c>
      <c r="B19" s="824" t="s">
        <v>651</v>
      </c>
      <c r="C19" s="825"/>
      <c r="D19" s="826" t="s">
        <v>652</v>
      </c>
      <c r="E19" s="827">
        <v>185</v>
      </c>
      <c r="F19" s="827">
        <v>155</v>
      </c>
      <c r="G19" s="827">
        <v>155</v>
      </c>
      <c r="H19" s="827">
        <v>128</v>
      </c>
      <c r="I19" s="827">
        <v>130</v>
      </c>
      <c r="J19" s="827">
        <v>103</v>
      </c>
      <c r="K19" s="827">
        <v>115</v>
      </c>
      <c r="L19" s="827">
        <v>88</v>
      </c>
      <c r="M19" s="827">
        <v>96</v>
      </c>
      <c r="N19" s="827">
        <v>71</v>
      </c>
      <c r="O19" s="827">
        <v>76</v>
      </c>
      <c r="P19" s="827">
        <v>53</v>
      </c>
      <c r="Q19" s="828"/>
      <c r="R19" s="828"/>
      <c r="S19" s="828"/>
      <c r="T19" s="828"/>
      <c r="U19" s="828"/>
      <c r="V19" s="829"/>
    </row>
    <row r="20" spans="1:22" ht="66.75" customHeight="1" thickBot="1" x14ac:dyDescent="0.35">
      <c r="A20" s="823">
        <v>2</v>
      </c>
      <c r="B20" s="824" t="s">
        <v>1162</v>
      </c>
      <c r="C20" s="825"/>
      <c r="D20" s="826" t="s">
        <v>652</v>
      </c>
      <c r="E20" s="827">
        <v>248</v>
      </c>
      <c r="F20" s="827">
        <v>219</v>
      </c>
      <c r="G20" s="827">
        <v>208</v>
      </c>
      <c r="H20" s="827">
        <v>178</v>
      </c>
      <c r="I20" s="827">
        <v>180</v>
      </c>
      <c r="J20" s="827">
        <v>148</v>
      </c>
      <c r="K20" s="827">
        <v>148</v>
      </c>
      <c r="L20" s="827">
        <v>115</v>
      </c>
      <c r="M20" s="827">
        <v>104</v>
      </c>
      <c r="N20" s="827">
        <v>82</v>
      </c>
      <c r="O20" s="827">
        <v>85</v>
      </c>
      <c r="P20" s="827">
        <v>64</v>
      </c>
      <c r="Q20" s="828"/>
      <c r="R20" s="828"/>
      <c r="S20" s="828"/>
      <c r="T20" s="828"/>
      <c r="U20" s="828"/>
      <c r="V20" s="829"/>
    </row>
    <row r="21" spans="1:22" ht="60" customHeight="1" thickBot="1" x14ac:dyDescent="0.35">
      <c r="A21" s="823">
        <f>A20+1</f>
        <v>3</v>
      </c>
      <c r="B21" s="824" t="s">
        <v>654</v>
      </c>
      <c r="C21" s="825"/>
      <c r="D21" s="826" t="s">
        <v>652</v>
      </c>
      <c r="E21" s="830">
        <v>72</v>
      </c>
      <c r="F21" s="830">
        <v>55</v>
      </c>
      <c r="G21" s="831">
        <v>66</v>
      </c>
      <c r="H21" s="831">
        <v>50</v>
      </c>
      <c r="I21" s="831">
        <v>60</v>
      </c>
      <c r="J21" s="831">
        <v>45</v>
      </c>
      <c r="K21" s="832">
        <v>54</v>
      </c>
      <c r="L21" s="831">
        <v>40</v>
      </c>
      <c r="M21" s="831">
        <v>48</v>
      </c>
      <c r="N21" s="831">
        <v>35</v>
      </c>
      <c r="O21" s="831">
        <v>42</v>
      </c>
      <c r="P21" s="831">
        <v>30</v>
      </c>
      <c r="Q21" s="828"/>
      <c r="R21" s="828"/>
      <c r="S21" s="828"/>
      <c r="T21" s="828"/>
      <c r="U21" s="828"/>
      <c r="V21" s="829"/>
    </row>
    <row r="22" spans="1:22" ht="90.6" thickBot="1" x14ac:dyDescent="0.35">
      <c r="A22" s="823">
        <f>A21+1</f>
        <v>4</v>
      </c>
      <c r="B22" s="824" t="s">
        <v>655</v>
      </c>
      <c r="C22" s="825"/>
      <c r="D22" s="826" t="s">
        <v>652</v>
      </c>
      <c r="E22" s="830">
        <v>85</v>
      </c>
      <c r="F22" s="830">
        <v>76</v>
      </c>
      <c r="G22" s="831">
        <v>79</v>
      </c>
      <c r="H22" s="831">
        <v>70</v>
      </c>
      <c r="I22" s="831">
        <v>73</v>
      </c>
      <c r="J22" s="831">
        <v>64</v>
      </c>
      <c r="K22" s="832">
        <v>67</v>
      </c>
      <c r="L22" s="831">
        <v>58</v>
      </c>
      <c r="M22" s="831">
        <v>61</v>
      </c>
      <c r="N22" s="831">
        <v>52</v>
      </c>
      <c r="O22" s="831">
        <v>55</v>
      </c>
      <c r="P22" s="831">
        <v>46</v>
      </c>
      <c r="Q22" s="828"/>
      <c r="R22" s="828"/>
      <c r="S22" s="828"/>
      <c r="T22" s="828"/>
      <c r="U22" s="828"/>
      <c r="V22" s="829"/>
    </row>
    <row r="23" spans="1:22" ht="72.599999999999994" thickBot="1" x14ac:dyDescent="0.35">
      <c r="A23" s="823">
        <f>A22+1</f>
        <v>5</v>
      </c>
      <c r="B23" s="824" t="s">
        <v>656</v>
      </c>
      <c r="C23" s="825"/>
      <c r="D23" s="826" t="s">
        <v>652</v>
      </c>
      <c r="E23" s="830">
        <v>97</v>
      </c>
      <c r="F23" s="830">
        <v>80</v>
      </c>
      <c r="G23" s="831">
        <v>90</v>
      </c>
      <c r="H23" s="831">
        <v>74</v>
      </c>
      <c r="I23" s="831">
        <v>83</v>
      </c>
      <c r="J23" s="831">
        <v>68</v>
      </c>
      <c r="K23" s="832">
        <v>76</v>
      </c>
      <c r="L23" s="831">
        <v>62</v>
      </c>
      <c r="M23" s="831">
        <v>67</v>
      </c>
      <c r="N23" s="831">
        <v>56</v>
      </c>
      <c r="O23" s="831">
        <v>60</v>
      </c>
      <c r="P23" s="831">
        <v>50</v>
      </c>
      <c r="Q23" s="828"/>
      <c r="R23" s="828"/>
      <c r="S23" s="828"/>
      <c r="T23" s="828"/>
      <c r="U23" s="828"/>
      <c r="V23" s="829"/>
    </row>
    <row r="24" spans="1:22" ht="54" customHeight="1" x14ac:dyDescent="0.3">
      <c r="A24" s="1512">
        <v>6</v>
      </c>
      <c r="B24" s="1514" t="s">
        <v>1163</v>
      </c>
      <c r="C24" s="833" t="s">
        <v>628</v>
      </c>
      <c r="D24" s="834" t="s">
        <v>1045</v>
      </c>
      <c r="E24" s="835"/>
      <c r="F24" s="835"/>
      <c r="G24" s="835"/>
      <c r="H24" s="835"/>
      <c r="I24" s="836">
        <v>4.5833333333333338E-4</v>
      </c>
      <c r="J24" s="836">
        <v>4.8148148148148155E-4</v>
      </c>
      <c r="K24" s="837">
        <v>4.884259259259259E-4</v>
      </c>
      <c r="L24" s="836">
        <v>5.2083333333333333E-4</v>
      </c>
      <c r="M24" s="836">
        <v>5.2777777777777773E-4</v>
      </c>
      <c r="N24" s="836">
        <v>5.6250000000000007E-4</v>
      </c>
      <c r="O24" s="836">
        <v>5.7291666666666667E-4</v>
      </c>
      <c r="P24" s="836">
        <v>6.134259259259259E-4</v>
      </c>
      <c r="Q24" s="835"/>
      <c r="R24" s="835"/>
      <c r="S24" s="835"/>
      <c r="T24" s="835"/>
      <c r="U24" s="835"/>
      <c r="V24" s="838"/>
    </row>
    <row r="25" spans="1:22" ht="54" customHeight="1" thickBot="1" x14ac:dyDescent="0.35">
      <c r="A25" s="1513"/>
      <c r="B25" s="1515"/>
      <c r="C25" s="839" t="s">
        <v>629</v>
      </c>
      <c r="D25" s="840" t="s">
        <v>1045</v>
      </c>
      <c r="E25" s="841" t="s">
        <v>1164</v>
      </c>
      <c r="F25" s="841" t="s">
        <v>1165</v>
      </c>
      <c r="G25" s="841" t="s">
        <v>1166</v>
      </c>
      <c r="H25" s="841" t="s">
        <v>1167</v>
      </c>
      <c r="I25" s="842" t="s">
        <v>662</v>
      </c>
      <c r="J25" s="842" t="s">
        <v>663</v>
      </c>
      <c r="K25" s="843" t="s">
        <v>664</v>
      </c>
      <c r="L25" s="843" t="s">
        <v>665</v>
      </c>
      <c r="M25" s="843" t="s">
        <v>666</v>
      </c>
      <c r="N25" s="843" t="s">
        <v>667</v>
      </c>
      <c r="O25" s="843" t="s">
        <v>668</v>
      </c>
      <c r="P25" s="843" t="s">
        <v>669</v>
      </c>
      <c r="Q25" s="844"/>
      <c r="R25" s="844"/>
      <c r="S25" s="844"/>
      <c r="T25" s="844"/>
      <c r="U25" s="844"/>
      <c r="V25" s="845"/>
    </row>
    <row r="26" spans="1:22" ht="56.25" customHeight="1" x14ac:dyDescent="0.3">
      <c r="A26" s="1512">
        <v>7</v>
      </c>
      <c r="B26" s="1514" t="s">
        <v>166</v>
      </c>
      <c r="C26" s="833" t="s">
        <v>628</v>
      </c>
      <c r="D26" s="834" t="s">
        <v>1045</v>
      </c>
      <c r="E26" s="835"/>
      <c r="F26" s="835"/>
      <c r="G26" s="835"/>
      <c r="H26" s="835"/>
      <c r="I26" s="846">
        <v>1.1689814814814816E-3</v>
      </c>
      <c r="J26" s="846">
        <v>1.3368055555555555E-3</v>
      </c>
      <c r="K26" s="836">
        <v>1.3020833333333333E-3</v>
      </c>
      <c r="L26" s="836">
        <v>1.4756944444444444E-3</v>
      </c>
      <c r="M26" s="836">
        <v>1.417824074074074E-3</v>
      </c>
      <c r="N26" s="836">
        <v>1.5740740740740741E-3</v>
      </c>
      <c r="O26" s="836">
        <v>1.5277777777777779E-3</v>
      </c>
      <c r="P26" s="836">
        <v>1.6956018518518518E-3</v>
      </c>
      <c r="Q26" s="836">
        <v>1.6840277777777776E-3</v>
      </c>
      <c r="R26" s="836">
        <v>1.8634259259259261E-3</v>
      </c>
      <c r="S26" s="836">
        <v>1.8518518518518517E-3</v>
      </c>
      <c r="T26" s="836">
        <v>2.0254629629629629E-3</v>
      </c>
      <c r="U26" s="836">
        <v>2.0138888888888888E-3</v>
      </c>
      <c r="V26" s="847">
        <v>2.1990740740740742E-3</v>
      </c>
    </row>
    <row r="27" spans="1:22" ht="57" customHeight="1" thickBot="1" x14ac:dyDescent="0.35">
      <c r="A27" s="1513"/>
      <c r="B27" s="1515"/>
      <c r="C27" s="839" t="s">
        <v>629</v>
      </c>
      <c r="D27" s="840" t="s">
        <v>1045</v>
      </c>
      <c r="E27" s="841" t="s">
        <v>1168</v>
      </c>
      <c r="F27" s="841" t="s">
        <v>1169</v>
      </c>
      <c r="G27" s="841" t="s">
        <v>1170</v>
      </c>
      <c r="H27" s="841" t="s">
        <v>1171</v>
      </c>
      <c r="I27" s="841" t="s">
        <v>774</v>
      </c>
      <c r="J27" s="841" t="s">
        <v>779</v>
      </c>
      <c r="K27" s="843" t="s">
        <v>676</v>
      </c>
      <c r="L27" s="842" t="s">
        <v>677</v>
      </c>
      <c r="M27" s="842" t="s">
        <v>678</v>
      </c>
      <c r="N27" s="842" t="s">
        <v>679</v>
      </c>
      <c r="O27" s="842" t="s">
        <v>680</v>
      </c>
      <c r="P27" s="848" t="s">
        <v>681</v>
      </c>
      <c r="Q27" s="849" t="s">
        <v>1046</v>
      </c>
      <c r="R27" s="849" t="s">
        <v>1047</v>
      </c>
      <c r="S27" s="849" t="s">
        <v>1048</v>
      </c>
      <c r="T27" s="849" t="s">
        <v>1049</v>
      </c>
      <c r="U27" s="849" t="s">
        <v>1050</v>
      </c>
      <c r="V27" s="850" t="s">
        <v>1051</v>
      </c>
    </row>
    <row r="28" spans="1:22" ht="54.75" customHeight="1" x14ac:dyDescent="0.3">
      <c r="A28" s="1512">
        <v>8</v>
      </c>
      <c r="B28" s="1514" t="s">
        <v>682</v>
      </c>
      <c r="C28" s="833" t="s">
        <v>628</v>
      </c>
      <c r="D28" s="834" t="s">
        <v>1045</v>
      </c>
      <c r="E28" s="835"/>
      <c r="F28" s="835"/>
      <c r="G28" s="835"/>
      <c r="H28" s="835"/>
      <c r="I28" s="846">
        <v>2.6770833333333334E-3</v>
      </c>
      <c r="J28" s="846">
        <v>3.0092592592592588E-3</v>
      </c>
      <c r="K28" s="836">
        <v>2.9687500000000005E-3</v>
      </c>
      <c r="L28" s="836">
        <v>3.2870370370370367E-3</v>
      </c>
      <c r="M28" s="836">
        <v>3.2002314814814814E-3</v>
      </c>
      <c r="N28" s="836">
        <v>3.4490740740740745E-3</v>
      </c>
      <c r="O28" s="836">
        <v>3.472222222222222E-3</v>
      </c>
      <c r="P28" s="836">
        <v>3.8657407407407408E-3</v>
      </c>
      <c r="Q28" s="836">
        <v>3.7962962962962963E-3</v>
      </c>
      <c r="R28" s="836">
        <v>4.108796296296297E-3</v>
      </c>
      <c r="S28" s="836">
        <v>4.0798611111111114E-3</v>
      </c>
      <c r="T28" s="836">
        <v>4.5370370370370365E-3</v>
      </c>
      <c r="U28" s="836">
        <v>4.4907407407407405E-3</v>
      </c>
      <c r="V28" s="847">
        <v>4.8611111111111112E-3</v>
      </c>
    </row>
    <row r="29" spans="1:22" ht="55.5" customHeight="1" thickBot="1" x14ac:dyDescent="0.35">
      <c r="A29" s="1513"/>
      <c r="B29" s="1515"/>
      <c r="C29" s="839" t="s">
        <v>629</v>
      </c>
      <c r="D29" s="840" t="s">
        <v>1045</v>
      </c>
      <c r="E29" s="841" t="s">
        <v>1172</v>
      </c>
      <c r="F29" s="841" t="s">
        <v>1173</v>
      </c>
      <c r="G29" s="841" t="s">
        <v>1174</v>
      </c>
      <c r="H29" s="841" t="s">
        <v>1175</v>
      </c>
      <c r="I29" s="841" t="s">
        <v>1176</v>
      </c>
      <c r="J29" s="841" t="s">
        <v>1177</v>
      </c>
      <c r="K29" s="843" t="s">
        <v>689</v>
      </c>
      <c r="L29" s="842" t="s">
        <v>690</v>
      </c>
      <c r="M29" s="842" t="s">
        <v>691</v>
      </c>
      <c r="N29" s="842" t="s">
        <v>692</v>
      </c>
      <c r="O29" s="842" t="s">
        <v>693</v>
      </c>
      <c r="P29" s="842" t="s">
        <v>694</v>
      </c>
      <c r="Q29" s="843" t="s">
        <v>1052</v>
      </c>
      <c r="R29" s="843" t="s">
        <v>1053</v>
      </c>
      <c r="S29" s="843" t="s">
        <v>1054</v>
      </c>
      <c r="T29" s="843" t="s">
        <v>1055</v>
      </c>
      <c r="U29" s="843" t="s">
        <v>1056</v>
      </c>
      <c r="V29" s="851" t="s">
        <v>857</v>
      </c>
    </row>
    <row r="30" spans="1:22" ht="55.5" customHeight="1" x14ac:dyDescent="0.3">
      <c r="A30" s="1512">
        <v>9</v>
      </c>
      <c r="B30" s="1514" t="s">
        <v>695</v>
      </c>
      <c r="C30" s="833" t="s">
        <v>628</v>
      </c>
      <c r="D30" s="834" t="s">
        <v>1045</v>
      </c>
      <c r="E30" s="835"/>
      <c r="F30" s="835"/>
      <c r="G30" s="835"/>
      <c r="H30" s="835"/>
      <c r="I30" s="836">
        <v>2.4074074074074077E-4</v>
      </c>
      <c r="J30" s="836">
        <v>2.9861111111111109E-4</v>
      </c>
      <c r="K30" s="836">
        <v>2.6620370370370372E-4</v>
      </c>
      <c r="L30" s="836">
        <v>3.2407407407407406E-4</v>
      </c>
      <c r="M30" s="836">
        <v>2.9513888888888889E-4</v>
      </c>
      <c r="N30" s="836">
        <v>3.5069444444444444E-4</v>
      </c>
      <c r="O30" s="836">
        <v>3.4259259259259263E-4</v>
      </c>
      <c r="P30" s="836">
        <v>4.0509259259259258E-4</v>
      </c>
      <c r="Q30" s="836">
        <v>3.8194444444444446E-4</v>
      </c>
      <c r="R30" s="836">
        <v>4.4560185185185192E-4</v>
      </c>
      <c r="S30" s="836">
        <v>4.1898148148148155E-4</v>
      </c>
      <c r="T30" s="836">
        <v>4.7453703703703704E-4</v>
      </c>
      <c r="U30" s="836">
        <v>4.5138888888888892E-4</v>
      </c>
      <c r="V30" s="847">
        <v>5.2083333333333333E-4</v>
      </c>
    </row>
    <row r="31" spans="1:22" ht="55.5" customHeight="1" thickBot="1" x14ac:dyDescent="0.35">
      <c r="A31" s="1513"/>
      <c r="B31" s="1515"/>
      <c r="C31" s="839" t="s">
        <v>629</v>
      </c>
      <c r="D31" s="840" t="s">
        <v>1045</v>
      </c>
      <c r="E31" s="841" t="s">
        <v>743</v>
      </c>
      <c r="F31" s="841" t="s">
        <v>637</v>
      </c>
      <c r="G31" s="841" t="s">
        <v>744</v>
      </c>
      <c r="H31" s="841" t="s">
        <v>699</v>
      </c>
      <c r="I31" s="842" t="s">
        <v>699</v>
      </c>
      <c r="J31" s="842" t="s">
        <v>700</v>
      </c>
      <c r="K31" s="843" t="s">
        <v>701</v>
      </c>
      <c r="L31" s="842" t="s">
        <v>702</v>
      </c>
      <c r="M31" s="842" t="s">
        <v>703</v>
      </c>
      <c r="N31" s="842" t="s">
        <v>704</v>
      </c>
      <c r="O31" s="842" t="s">
        <v>705</v>
      </c>
      <c r="P31" s="842" t="s">
        <v>706</v>
      </c>
      <c r="Q31" s="843" t="s">
        <v>1057</v>
      </c>
      <c r="R31" s="843" t="s">
        <v>1058</v>
      </c>
      <c r="S31" s="843" t="s">
        <v>827</v>
      </c>
      <c r="T31" s="843" t="s">
        <v>1059</v>
      </c>
      <c r="U31" s="843" t="s">
        <v>1060</v>
      </c>
      <c r="V31" s="851" t="s">
        <v>665</v>
      </c>
    </row>
    <row r="32" spans="1:22" ht="53.25" customHeight="1" x14ac:dyDescent="0.3">
      <c r="A32" s="1512">
        <f>A30+1</f>
        <v>10</v>
      </c>
      <c r="B32" s="1514" t="s">
        <v>164</v>
      </c>
      <c r="C32" s="833" t="s">
        <v>628</v>
      </c>
      <c r="D32" s="834" t="s">
        <v>1045</v>
      </c>
      <c r="E32" s="835"/>
      <c r="F32" s="835"/>
      <c r="G32" s="835"/>
      <c r="H32" s="835"/>
      <c r="I32" s="836">
        <v>1.8749999999999998E-4</v>
      </c>
      <c r="J32" s="836">
        <v>2.1064814814814815E-4</v>
      </c>
      <c r="K32" s="836">
        <v>2.0023148148148146E-4</v>
      </c>
      <c r="L32" s="836">
        <v>2.2453703703703701E-4</v>
      </c>
      <c r="M32" s="836">
        <v>2.175925925925926E-4</v>
      </c>
      <c r="N32" s="836">
        <v>2.4421296296296295E-4</v>
      </c>
      <c r="O32" s="836">
        <v>2.3611111111111109E-4</v>
      </c>
      <c r="P32" s="836">
        <v>2.6504629629629626E-4</v>
      </c>
      <c r="Q32" s="835"/>
      <c r="R32" s="835"/>
      <c r="S32" s="835"/>
      <c r="T32" s="835"/>
      <c r="U32" s="835"/>
      <c r="V32" s="838"/>
    </row>
    <row r="33" spans="1:22" ht="53.25" customHeight="1" thickBot="1" x14ac:dyDescent="0.35">
      <c r="A33" s="1513"/>
      <c r="B33" s="1529"/>
      <c r="C33" s="839" t="s">
        <v>629</v>
      </c>
      <c r="D33" s="840" t="s">
        <v>1045</v>
      </c>
      <c r="E33" s="852" t="s">
        <v>630</v>
      </c>
      <c r="F33" s="852" t="s">
        <v>631</v>
      </c>
      <c r="G33" s="842" t="s">
        <v>632</v>
      </c>
      <c r="H33" s="842" t="s">
        <v>633</v>
      </c>
      <c r="I33" s="842" t="s">
        <v>634</v>
      </c>
      <c r="J33" s="842" t="s">
        <v>635</v>
      </c>
      <c r="K33" s="843" t="s">
        <v>633</v>
      </c>
      <c r="L33" s="842" t="s">
        <v>636</v>
      </c>
      <c r="M33" s="842" t="s">
        <v>637</v>
      </c>
      <c r="N33" s="842" t="s">
        <v>638</v>
      </c>
      <c r="O33" s="842" t="s">
        <v>639</v>
      </c>
      <c r="P33" s="842" t="s">
        <v>640</v>
      </c>
      <c r="Q33" s="853"/>
      <c r="R33" s="853"/>
      <c r="S33" s="853"/>
      <c r="T33" s="853"/>
      <c r="U33" s="853"/>
      <c r="V33" s="854"/>
    </row>
    <row r="34" spans="1:22" ht="54.75" customHeight="1" x14ac:dyDescent="0.3">
      <c r="A34" s="1512">
        <v>11</v>
      </c>
      <c r="B34" s="1514" t="s">
        <v>1178</v>
      </c>
      <c r="C34" s="833" t="s">
        <v>628</v>
      </c>
      <c r="D34" s="834" t="s">
        <v>1045</v>
      </c>
      <c r="E34" s="835"/>
      <c r="F34" s="835"/>
      <c r="G34" s="835"/>
      <c r="H34" s="835"/>
      <c r="I34" s="846">
        <v>2.465277777777778E-4</v>
      </c>
      <c r="J34" s="846">
        <v>2.8472222222222223E-4</v>
      </c>
      <c r="K34" s="846">
        <v>2.6620370370370372E-4</v>
      </c>
      <c r="L34" s="846">
        <v>3.0555555555555555E-4</v>
      </c>
      <c r="M34" s="846">
        <v>2.8703703703703703E-4</v>
      </c>
      <c r="N34" s="846">
        <v>3.2407407407407406E-4</v>
      </c>
      <c r="O34" s="846">
        <v>3.0671296296296295E-4</v>
      </c>
      <c r="P34" s="846">
        <v>3.5300925925925924E-4</v>
      </c>
      <c r="Q34" s="837">
        <v>3.4490740740740743E-4</v>
      </c>
      <c r="R34" s="836">
        <v>3.8773148148148152E-4</v>
      </c>
      <c r="S34" s="836">
        <v>3.7499999999999995E-4</v>
      </c>
      <c r="T34" s="836">
        <v>4.2476851851851855E-4</v>
      </c>
      <c r="U34" s="855" t="s">
        <v>707</v>
      </c>
      <c r="V34" s="847">
        <v>4.6064814814814818E-4</v>
      </c>
    </row>
    <row r="35" spans="1:22" ht="56.25" customHeight="1" thickBot="1" x14ac:dyDescent="0.35">
      <c r="A35" s="1513"/>
      <c r="B35" s="1515"/>
      <c r="C35" s="839" t="s">
        <v>629</v>
      </c>
      <c r="D35" s="840" t="s">
        <v>1045</v>
      </c>
      <c r="E35" s="841" t="s">
        <v>1179</v>
      </c>
      <c r="F35" s="841" t="s">
        <v>1180</v>
      </c>
      <c r="G35" s="841" t="s">
        <v>1181</v>
      </c>
      <c r="H35" s="841" t="s">
        <v>1182</v>
      </c>
      <c r="I35" s="841" t="s">
        <v>1183</v>
      </c>
      <c r="J35" s="841" t="s">
        <v>1184</v>
      </c>
      <c r="K35" s="841" t="s">
        <v>1185</v>
      </c>
      <c r="L35" s="841" t="s">
        <v>1186</v>
      </c>
      <c r="M35" s="841" t="s">
        <v>752</v>
      </c>
      <c r="N35" s="841" t="s">
        <v>702</v>
      </c>
      <c r="O35" s="841" t="s">
        <v>1187</v>
      </c>
      <c r="P35" s="841" t="s">
        <v>1188</v>
      </c>
      <c r="Q35" s="843" t="s">
        <v>1061</v>
      </c>
      <c r="R35" s="843" t="s">
        <v>1062</v>
      </c>
      <c r="S35" s="843" t="s">
        <v>1063</v>
      </c>
      <c r="T35" s="843" t="s">
        <v>1064</v>
      </c>
      <c r="U35" s="843" t="s">
        <v>1065</v>
      </c>
      <c r="V35" s="851" t="s">
        <v>756</v>
      </c>
    </row>
    <row r="36" spans="1:22" ht="55.5" customHeight="1" x14ac:dyDescent="0.3">
      <c r="A36" s="1512">
        <v>12</v>
      </c>
      <c r="B36" s="1514" t="s">
        <v>1189</v>
      </c>
      <c r="C36" s="833" t="s">
        <v>628</v>
      </c>
      <c r="D36" s="834" t="s">
        <v>1045</v>
      </c>
      <c r="E36" s="835"/>
      <c r="F36" s="835"/>
      <c r="G36" s="835"/>
      <c r="H36" s="835"/>
      <c r="I36" s="846">
        <v>5.4745370370370375E-4</v>
      </c>
      <c r="J36" s="846">
        <v>6.168981481481481E-4</v>
      </c>
      <c r="K36" s="846">
        <v>5.8796296296296287E-4</v>
      </c>
      <c r="L36" s="846">
        <v>6.6319444444444444E-4</v>
      </c>
      <c r="M36" s="846">
        <v>6.4699074074074073E-4</v>
      </c>
      <c r="N36" s="846">
        <v>7.164351851851853E-4</v>
      </c>
      <c r="O36" s="846">
        <v>6.9907407407407407E-4</v>
      </c>
      <c r="P36" s="846">
        <v>7.8472222222222214E-4</v>
      </c>
      <c r="Q36" s="836">
        <v>7.6388888888888893E-4</v>
      </c>
      <c r="R36" s="836">
        <v>8.5069444444444461E-4</v>
      </c>
      <c r="S36" s="836">
        <v>8.3333333333333339E-4</v>
      </c>
      <c r="T36" s="836">
        <v>9.2129629629629636E-4</v>
      </c>
      <c r="U36" s="836">
        <v>9.0856481481481485E-4</v>
      </c>
      <c r="V36" s="847">
        <v>9.9537037037037042E-4</v>
      </c>
    </row>
    <row r="37" spans="1:22" ht="57" customHeight="1" thickBot="1" x14ac:dyDescent="0.35">
      <c r="A37" s="1513"/>
      <c r="B37" s="1515"/>
      <c r="C37" s="839" t="s">
        <v>629</v>
      </c>
      <c r="D37" s="840" t="s">
        <v>1045</v>
      </c>
      <c r="E37" s="841" t="s">
        <v>1190</v>
      </c>
      <c r="F37" s="841" t="s">
        <v>1191</v>
      </c>
      <c r="G37" s="841" t="s">
        <v>1192</v>
      </c>
      <c r="H37" s="841" t="s">
        <v>1193</v>
      </c>
      <c r="I37" s="841" t="s">
        <v>1194</v>
      </c>
      <c r="J37" s="841" t="s">
        <v>1195</v>
      </c>
      <c r="K37" s="841" t="s">
        <v>1193</v>
      </c>
      <c r="L37" s="841" t="s">
        <v>1196</v>
      </c>
      <c r="M37" s="841" t="s">
        <v>1197</v>
      </c>
      <c r="N37" s="841" t="s">
        <v>1198</v>
      </c>
      <c r="O37" s="841" t="s">
        <v>1199</v>
      </c>
      <c r="P37" s="841" t="s">
        <v>1200</v>
      </c>
      <c r="Q37" s="843" t="s">
        <v>1066</v>
      </c>
      <c r="R37" s="843" t="s">
        <v>1067</v>
      </c>
      <c r="S37" s="843" t="s">
        <v>1068</v>
      </c>
      <c r="T37" s="843" t="s">
        <v>1069</v>
      </c>
      <c r="U37" s="843" t="s">
        <v>1070</v>
      </c>
      <c r="V37" s="851" t="s">
        <v>1071</v>
      </c>
    </row>
    <row r="38" spans="1:22" ht="53.25" customHeight="1" x14ac:dyDescent="0.3">
      <c r="A38" s="1512">
        <v>13</v>
      </c>
      <c r="B38" s="1514" t="s">
        <v>1201</v>
      </c>
      <c r="C38" s="833" t="s">
        <v>628</v>
      </c>
      <c r="D38" s="834" t="s">
        <v>1045</v>
      </c>
      <c r="E38" s="835"/>
      <c r="F38" s="835"/>
      <c r="G38" s="835"/>
      <c r="H38" s="835"/>
      <c r="I38" s="846">
        <v>1.224537037037037E-3</v>
      </c>
      <c r="J38" s="846">
        <v>1.3611111111111109E-3</v>
      </c>
      <c r="K38" s="846">
        <v>1.3263888888888891E-3</v>
      </c>
      <c r="L38" s="846">
        <v>1.4733796296296294E-3</v>
      </c>
      <c r="M38" s="846">
        <v>1.4328703703703706E-3</v>
      </c>
      <c r="N38" s="846">
        <v>1.5775462962962963E-3</v>
      </c>
      <c r="O38" s="846">
        <v>1.5578703703703703E-3</v>
      </c>
      <c r="P38" s="846">
        <v>1.712962962962963E-3</v>
      </c>
      <c r="Q38" s="836">
        <v>1.71875E-3</v>
      </c>
      <c r="R38" s="836">
        <v>1.8981481481481482E-3</v>
      </c>
      <c r="S38" s="836">
        <v>1.8750000000000001E-3</v>
      </c>
      <c r="T38" s="836">
        <v>2.0659722222222221E-3</v>
      </c>
      <c r="U38" s="836">
        <v>2.0254629629629629E-3</v>
      </c>
      <c r="V38" s="847">
        <v>2.2222222222222222E-3</v>
      </c>
    </row>
    <row r="39" spans="1:22" ht="53.25" customHeight="1" thickBot="1" x14ac:dyDescent="0.35">
      <c r="A39" s="1513"/>
      <c r="B39" s="1515"/>
      <c r="C39" s="839" t="s">
        <v>629</v>
      </c>
      <c r="D39" s="840" t="s">
        <v>1045</v>
      </c>
      <c r="E39" s="841" t="s">
        <v>1202</v>
      </c>
      <c r="F39" s="841" t="s">
        <v>1203</v>
      </c>
      <c r="G39" s="841" t="s">
        <v>1204</v>
      </c>
      <c r="H39" s="841" t="s">
        <v>1205</v>
      </c>
      <c r="I39" s="841" t="s">
        <v>1206</v>
      </c>
      <c r="J39" s="841" t="s">
        <v>1207</v>
      </c>
      <c r="K39" s="841" t="s">
        <v>1208</v>
      </c>
      <c r="L39" s="841" t="s">
        <v>1209</v>
      </c>
      <c r="M39" s="841" t="s">
        <v>1210</v>
      </c>
      <c r="N39" s="841" t="s">
        <v>1211</v>
      </c>
      <c r="O39" s="841" t="s">
        <v>1212</v>
      </c>
      <c r="P39" s="841" t="s">
        <v>1213</v>
      </c>
      <c r="Q39" s="843" t="s">
        <v>1072</v>
      </c>
      <c r="R39" s="843" t="s">
        <v>1073</v>
      </c>
      <c r="S39" s="843" t="s">
        <v>1074</v>
      </c>
      <c r="T39" s="843" t="s">
        <v>1075</v>
      </c>
      <c r="U39" s="843" t="s">
        <v>1049</v>
      </c>
      <c r="V39" s="851" t="s">
        <v>1076</v>
      </c>
    </row>
    <row r="40" spans="1:22" ht="54.75" customHeight="1" x14ac:dyDescent="0.3">
      <c r="A40" s="1512">
        <v>14</v>
      </c>
      <c r="B40" s="1514" t="s">
        <v>1214</v>
      </c>
      <c r="C40" s="833" t="s">
        <v>628</v>
      </c>
      <c r="D40" s="834" t="s">
        <v>1045</v>
      </c>
      <c r="E40" s="856"/>
      <c r="F40" s="856"/>
      <c r="G40" s="856"/>
      <c r="H40" s="856"/>
      <c r="I40" s="857" t="s">
        <v>1215</v>
      </c>
      <c r="J40" s="857" t="s">
        <v>1216</v>
      </c>
      <c r="K40" s="855" t="s">
        <v>1080</v>
      </c>
      <c r="L40" s="855" t="s">
        <v>1081</v>
      </c>
      <c r="M40" s="855" t="s">
        <v>1082</v>
      </c>
      <c r="N40" s="855" t="s">
        <v>1083</v>
      </c>
      <c r="O40" s="855" t="s">
        <v>1083</v>
      </c>
      <c r="P40" s="855" t="s">
        <v>1084</v>
      </c>
      <c r="Q40" s="855" t="s">
        <v>1085</v>
      </c>
      <c r="R40" s="855" t="s">
        <v>1086</v>
      </c>
      <c r="S40" s="855" t="s">
        <v>1087</v>
      </c>
      <c r="T40" s="855" t="s">
        <v>1088</v>
      </c>
      <c r="U40" s="855" t="s">
        <v>1089</v>
      </c>
      <c r="V40" s="858" t="s">
        <v>1090</v>
      </c>
    </row>
    <row r="41" spans="1:22" ht="56.25" customHeight="1" thickBot="1" x14ac:dyDescent="0.35">
      <c r="A41" s="1513"/>
      <c r="B41" s="1515"/>
      <c r="C41" s="839" t="s">
        <v>629</v>
      </c>
      <c r="D41" s="840" t="s">
        <v>1045</v>
      </c>
      <c r="E41" s="841" t="s">
        <v>1217</v>
      </c>
      <c r="F41" s="841" t="s">
        <v>1218</v>
      </c>
      <c r="G41" s="841" t="s">
        <v>1219</v>
      </c>
      <c r="H41" s="841" t="s">
        <v>1220</v>
      </c>
      <c r="I41" s="841" t="s">
        <v>1221</v>
      </c>
      <c r="J41" s="841" t="s">
        <v>1222</v>
      </c>
      <c r="K41" s="843" t="s">
        <v>686</v>
      </c>
      <c r="L41" s="842" t="s">
        <v>1096</v>
      </c>
      <c r="M41" s="842" t="s">
        <v>1097</v>
      </c>
      <c r="N41" s="842" t="s">
        <v>1098</v>
      </c>
      <c r="O41" s="842" t="s">
        <v>1098</v>
      </c>
      <c r="P41" s="842" t="s">
        <v>1099</v>
      </c>
      <c r="Q41" s="849" t="s">
        <v>1100</v>
      </c>
      <c r="R41" s="849" t="s">
        <v>1101</v>
      </c>
      <c r="S41" s="849" t="s">
        <v>1102</v>
      </c>
      <c r="T41" s="849" t="s">
        <v>1103</v>
      </c>
      <c r="U41" s="849" t="s">
        <v>1104</v>
      </c>
      <c r="V41" s="850" t="s">
        <v>1105</v>
      </c>
    </row>
    <row r="42" spans="1:22" ht="101.25" customHeight="1" x14ac:dyDescent="0.3">
      <c r="A42" s="1512">
        <f>A40+1</f>
        <v>15</v>
      </c>
      <c r="B42" s="1514" t="s">
        <v>1106</v>
      </c>
      <c r="C42" s="833" t="s">
        <v>628</v>
      </c>
      <c r="D42" s="834" t="s">
        <v>1045</v>
      </c>
      <c r="E42" s="835"/>
      <c r="F42" s="835"/>
      <c r="G42" s="835"/>
      <c r="H42" s="835"/>
      <c r="I42" s="837">
        <v>5.5671296296296296E-4</v>
      </c>
      <c r="J42" s="836">
        <v>6.2268518518518521E-4</v>
      </c>
      <c r="K42" s="836">
        <v>5.9606481481481479E-4</v>
      </c>
      <c r="L42" s="836">
        <v>6.6666666666666664E-4</v>
      </c>
      <c r="M42" s="836">
        <v>6.4814814814814813E-4</v>
      </c>
      <c r="N42" s="836">
        <v>7.175925925925927E-4</v>
      </c>
      <c r="O42" s="836">
        <v>7.0023148148148147E-4</v>
      </c>
      <c r="P42" s="836">
        <v>7.8703703703703705E-4</v>
      </c>
      <c r="Q42" s="836">
        <v>7.6388888888888893E-4</v>
      </c>
      <c r="R42" s="836">
        <v>8.5069444444444461E-4</v>
      </c>
      <c r="S42" s="836">
        <v>8.3333333333333339E-4</v>
      </c>
      <c r="T42" s="836">
        <v>9.2129629629629636E-4</v>
      </c>
      <c r="U42" s="836">
        <v>9.0856481481481485E-4</v>
      </c>
      <c r="V42" s="847">
        <v>9.9537037037037042E-4</v>
      </c>
    </row>
    <row r="43" spans="1:22" ht="101.25" customHeight="1" thickBot="1" x14ac:dyDescent="0.35">
      <c r="A43" s="1513"/>
      <c r="B43" s="1529"/>
      <c r="C43" s="839" t="s">
        <v>629</v>
      </c>
      <c r="D43" s="840" t="s">
        <v>1045</v>
      </c>
      <c r="E43" s="852" t="s">
        <v>720</v>
      </c>
      <c r="F43" s="852" t="s">
        <v>667</v>
      </c>
      <c r="G43" s="842" t="s">
        <v>721</v>
      </c>
      <c r="H43" s="842" t="s">
        <v>722</v>
      </c>
      <c r="I43" s="842" t="s">
        <v>723</v>
      </c>
      <c r="J43" s="842" t="s">
        <v>724</v>
      </c>
      <c r="K43" s="843" t="s">
        <v>725</v>
      </c>
      <c r="L43" s="842" t="s">
        <v>726</v>
      </c>
      <c r="M43" s="842" t="s">
        <v>727</v>
      </c>
      <c r="N43" s="842" t="s">
        <v>728</v>
      </c>
      <c r="O43" s="842" t="s">
        <v>729</v>
      </c>
      <c r="P43" s="842" t="s">
        <v>730</v>
      </c>
      <c r="Q43" s="843" t="s">
        <v>1066</v>
      </c>
      <c r="R43" s="843" t="s">
        <v>1067</v>
      </c>
      <c r="S43" s="843" t="s">
        <v>1068</v>
      </c>
      <c r="T43" s="843" t="s">
        <v>1069</v>
      </c>
      <c r="U43" s="843" t="s">
        <v>1070</v>
      </c>
      <c r="V43" s="851" t="s">
        <v>1071</v>
      </c>
    </row>
    <row r="44" spans="1:22" ht="53.25" customHeight="1" x14ac:dyDescent="0.3">
      <c r="A44" s="1512">
        <f>A42+1</f>
        <v>16</v>
      </c>
      <c r="B44" s="1514" t="s">
        <v>138</v>
      </c>
      <c r="C44" s="833" t="s">
        <v>628</v>
      </c>
      <c r="D44" s="834" t="s">
        <v>1045</v>
      </c>
      <c r="E44" s="835"/>
      <c r="F44" s="835"/>
      <c r="G44" s="835"/>
      <c r="H44" s="835"/>
      <c r="I44" s="836">
        <v>2.0370370370370369E-4</v>
      </c>
      <c r="J44" s="836">
        <v>2.2800925925925926E-4</v>
      </c>
      <c r="K44" s="836">
        <v>2.1412037037037038E-4</v>
      </c>
      <c r="L44" s="836">
        <v>2.4421296296296295E-4</v>
      </c>
      <c r="M44" s="836">
        <v>2.3263888888888889E-4</v>
      </c>
      <c r="N44" s="836">
        <v>2.6504629629629626E-4</v>
      </c>
      <c r="O44" s="836">
        <v>2.5347222222222221E-4</v>
      </c>
      <c r="P44" s="836">
        <v>2.8703703703703703E-4</v>
      </c>
      <c r="Q44" s="855" t="s">
        <v>139</v>
      </c>
      <c r="R44" s="855" t="s">
        <v>140</v>
      </c>
      <c r="S44" s="855" t="s">
        <v>141</v>
      </c>
      <c r="T44" s="855" t="s">
        <v>142</v>
      </c>
      <c r="U44" s="855" t="s">
        <v>143</v>
      </c>
      <c r="V44" s="858" t="s">
        <v>144</v>
      </c>
    </row>
    <row r="45" spans="1:22" ht="53.25" customHeight="1" thickBot="1" x14ac:dyDescent="0.35">
      <c r="A45" s="1513"/>
      <c r="B45" s="1529"/>
      <c r="C45" s="839" t="s">
        <v>629</v>
      </c>
      <c r="D45" s="840" t="s">
        <v>1045</v>
      </c>
      <c r="E45" s="852" t="s">
        <v>743</v>
      </c>
      <c r="F45" s="852" t="s">
        <v>744</v>
      </c>
      <c r="G45" s="842" t="s">
        <v>745</v>
      </c>
      <c r="H45" s="842" t="s">
        <v>746</v>
      </c>
      <c r="I45" s="842" t="s">
        <v>747</v>
      </c>
      <c r="J45" s="842" t="s">
        <v>748</v>
      </c>
      <c r="K45" s="843" t="s">
        <v>749</v>
      </c>
      <c r="L45" s="842" t="s">
        <v>638</v>
      </c>
      <c r="M45" s="842" t="s">
        <v>750</v>
      </c>
      <c r="N45" s="842" t="s">
        <v>640</v>
      </c>
      <c r="O45" s="842" t="s">
        <v>751</v>
      </c>
      <c r="P45" s="842" t="s">
        <v>752</v>
      </c>
      <c r="Q45" s="843" t="s">
        <v>1107</v>
      </c>
      <c r="R45" s="843" t="s">
        <v>1108</v>
      </c>
      <c r="S45" s="843" t="s">
        <v>1109</v>
      </c>
      <c r="T45" s="843" t="s">
        <v>1110</v>
      </c>
      <c r="U45" s="843" t="s">
        <v>1111</v>
      </c>
      <c r="V45" s="851" t="s">
        <v>1063</v>
      </c>
    </row>
    <row r="46" spans="1:22" ht="55.5" customHeight="1" x14ac:dyDescent="0.3">
      <c r="A46" s="1512">
        <f>A44+1</f>
        <v>17</v>
      </c>
      <c r="B46" s="1514" t="s">
        <v>145</v>
      </c>
      <c r="C46" s="833" t="s">
        <v>628</v>
      </c>
      <c r="D46" s="834" t="s">
        <v>1045</v>
      </c>
      <c r="E46" s="835"/>
      <c r="F46" s="835"/>
      <c r="G46" s="835"/>
      <c r="H46" s="835"/>
      <c r="I46" s="836">
        <v>4.5601851851851852E-4</v>
      </c>
      <c r="J46" s="836">
        <v>5.0694444444444441E-4</v>
      </c>
      <c r="K46" s="836">
        <v>4.895833333333333E-4</v>
      </c>
      <c r="L46" s="836">
        <v>5.4398148148148144E-4</v>
      </c>
      <c r="M46" s="836">
        <v>5.3125000000000004E-4</v>
      </c>
      <c r="N46" s="836">
        <v>5.9027777777777778E-4</v>
      </c>
      <c r="O46" s="836">
        <v>5.7638888888888887E-4</v>
      </c>
      <c r="P46" s="836">
        <v>6.3888888888888893E-4</v>
      </c>
      <c r="Q46" s="855" t="s">
        <v>146</v>
      </c>
      <c r="R46" s="855" t="s">
        <v>753</v>
      </c>
      <c r="S46" s="855" t="s">
        <v>147</v>
      </c>
      <c r="T46" s="855" t="s">
        <v>754</v>
      </c>
      <c r="U46" s="855" t="s">
        <v>148</v>
      </c>
      <c r="V46" s="847">
        <v>8.1481481481481476E-4</v>
      </c>
    </row>
    <row r="47" spans="1:22" ht="55.5" customHeight="1" thickBot="1" x14ac:dyDescent="0.35">
      <c r="A47" s="1513"/>
      <c r="B47" s="1529"/>
      <c r="C47" s="839" t="s">
        <v>629</v>
      </c>
      <c r="D47" s="840" t="s">
        <v>1045</v>
      </c>
      <c r="E47" s="852" t="s">
        <v>755</v>
      </c>
      <c r="F47" s="852" t="s">
        <v>756</v>
      </c>
      <c r="G47" s="842" t="s">
        <v>757</v>
      </c>
      <c r="H47" s="842" t="s">
        <v>758</v>
      </c>
      <c r="I47" s="842" t="s">
        <v>759</v>
      </c>
      <c r="J47" s="842" t="s">
        <v>720</v>
      </c>
      <c r="K47" s="843" t="s">
        <v>760</v>
      </c>
      <c r="L47" s="842" t="s">
        <v>761</v>
      </c>
      <c r="M47" s="842" t="s">
        <v>762</v>
      </c>
      <c r="N47" s="842" t="s">
        <v>763</v>
      </c>
      <c r="O47" s="842" t="s">
        <v>764</v>
      </c>
      <c r="P47" s="842" t="s">
        <v>765</v>
      </c>
      <c r="Q47" s="843" t="s">
        <v>1112</v>
      </c>
      <c r="R47" s="843" t="s">
        <v>1113</v>
      </c>
      <c r="S47" s="843" t="s">
        <v>1114</v>
      </c>
      <c r="T47" s="843" t="s">
        <v>1115</v>
      </c>
      <c r="U47" s="843" t="s">
        <v>1116</v>
      </c>
      <c r="V47" s="851" t="s">
        <v>1117</v>
      </c>
    </row>
    <row r="48" spans="1:22" ht="54.75" customHeight="1" x14ac:dyDescent="0.3">
      <c r="A48" s="1512">
        <f>A46+1</f>
        <v>18</v>
      </c>
      <c r="B48" s="1514" t="s">
        <v>149</v>
      </c>
      <c r="C48" s="833" t="s">
        <v>628</v>
      </c>
      <c r="D48" s="834" t="s">
        <v>1045</v>
      </c>
      <c r="E48" s="835"/>
      <c r="F48" s="835"/>
      <c r="G48" s="835"/>
      <c r="H48" s="835"/>
      <c r="I48" s="836">
        <v>1.0590277777777777E-3</v>
      </c>
      <c r="J48" s="836">
        <v>1.1689814814814816E-3</v>
      </c>
      <c r="K48" s="836">
        <v>1.1342592592592591E-3</v>
      </c>
      <c r="L48" s="836">
        <v>1.2442129629629628E-3</v>
      </c>
      <c r="M48" s="836">
        <v>1.2384259259259258E-3</v>
      </c>
      <c r="N48" s="836">
        <v>1.3599537037037037E-3</v>
      </c>
      <c r="O48" s="836">
        <v>1.3368055555555555E-3</v>
      </c>
      <c r="P48" s="836">
        <v>1.4606481481481482E-3</v>
      </c>
      <c r="Q48" s="855" t="s">
        <v>150</v>
      </c>
      <c r="R48" s="855" t="s">
        <v>766</v>
      </c>
      <c r="S48" s="855" t="s">
        <v>151</v>
      </c>
      <c r="T48" s="855" t="s">
        <v>767</v>
      </c>
      <c r="U48" s="855" t="s">
        <v>152</v>
      </c>
      <c r="V48" s="858" t="s">
        <v>768</v>
      </c>
    </row>
    <row r="49" spans="1:22" ht="54.75" customHeight="1" thickBot="1" x14ac:dyDescent="0.35">
      <c r="A49" s="1513"/>
      <c r="B49" s="1529"/>
      <c r="C49" s="839" t="s">
        <v>629</v>
      </c>
      <c r="D49" s="840" t="s">
        <v>1045</v>
      </c>
      <c r="E49" s="852" t="s">
        <v>769</v>
      </c>
      <c r="F49" s="852" t="s">
        <v>770</v>
      </c>
      <c r="G49" s="842" t="s">
        <v>771</v>
      </c>
      <c r="H49" s="842" t="s">
        <v>772</v>
      </c>
      <c r="I49" s="842" t="s">
        <v>773</v>
      </c>
      <c r="J49" s="842" t="s">
        <v>774</v>
      </c>
      <c r="K49" s="843" t="s">
        <v>775</v>
      </c>
      <c r="L49" s="842" t="s">
        <v>776</v>
      </c>
      <c r="M49" s="842" t="s">
        <v>777</v>
      </c>
      <c r="N49" s="842" t="s">
        <v>778</v>
      </c>
      <c r="O49" s="842" t="s">
        <v>779</v>
      </c>
      <c r="P49" s="842" t="s">
        <v>780</v>
      </c>
      <c r="Q49" s="843" t="s">
        <v>677</v>
      </c>
      <c r="R49" s="843" t="s">
        <v>1118</v>
      </c>
      <c r="S49" s="843" t="s">
        <v>1119</v>
      </c>
      <c r="T49" s="843" t="s">
        <v>1120</v>
      </c>
      <c r="U49" s="843" t="s">
        <v>1121</v>
      </c>
      <c r="V49" s="851" t="s">
        <v>1122</v>
      </c>
    </row>
    <row r="50" spans="1:22" ht="54.75" customHeight="1" x14ac:dyDescent="0.3">
      <c r="A50" s="1512">
        <f>A48+1</f>
        <v>19</v>
      </c>
      <c r="B50" s="1514" t="s">
        <v>153</v>
      </c>
      <c r="C50" s="833" t="s">
        <v>628</v>
      </c>
      <c r="D50" s="834" t="s">
        <v>1045</v>
      </c>
      <c r="E50" s="835"/>
      <c r="F50" s="835"/>
      <c r="G50" s="835"/>
      <c r="H50" s="835"/>
      <c r="I50" s="836">
        <v>2.3379629629629631E-3</v>
      </c>
      <c r="J50" s="836">
        <v>2.5300925925925929E-3</v>
      </c>
      <c r="K50" s="836">
        <v>2.5092592592592593E-3</v>
      </c>
      <c r="L50" s="836">
        <v>2.7222222222222218E-3</v>
      </c>
      <c r="M50" s="836">
        <v>2.7175925925925926E-3</v>
      </c>
      <c r="N50" s="836">
        <v>2.9328703703703704E-3</v>
      </c>
      <c r="O50" s="836">
        <v>2.9259259259259256E-3</v>
      </c>
      <c r="P50" s="836">
        <v>3.1597222222222222E-3</v>
      </c>
      <c r="Q50" s="855" t="s">
        <v>154</v>
      </c>
      <c r="R50" s="855" t="s">
        <v>781</v>
      </c>
      <c r="S50" s="855" t="s">
        <v>155</v>
      </c>
      <c r="T50" s="855" t="s">
        <v>782</v>
      </c>
      <c r="U50" s="855" t="s">
        <v>156</v>
      </c>
      <c r="V50" s="858" t="s">
        <v>783</v>
      </c>
    </row>
    <row r="51" spans="1:22" ht="54.75" customHeight="1" thickBot="1" x14ac:dyDescent="0.35">
      <c r="A51" s="1513"/>
      <c r="B51" s="1529"/>
      <c r="C51" s="839" t="s">
        <v>629</v>
      </c>
      <c r="D51" s="840" t="s">
        <v>1045</v>
      </c>
      <c r="E51" s="852" t="s">
        <v>784</v>
      </c>
      <c r="F51" s="852" t="s">
        <v>785</v>
      </c>
      <c r="G51" s="842" t="s">
        <v>786</v>
      </c>
      <c r="H51" s="842" t="s">
        <v>787</v>
      </c>
      <c r="I51" s="842" t="s">
        <v>788</v>
      </c>
      <c r="J51" s="842" t="s">
        <v>789</v>
      </c>
      <c r="K51" s="843" t="s">
        <v>790</v>
      </c>
      <c r="L51" s="842" t="s">
        <v>791</v>
      </c>
      <c r="M51" s="842" t="s">
        <v>792</v>
      </c>
      <c r="N51" s="842" t="s">
        <v>793</v>
      </c>
      <c r="O51" s="842" t="s">
        <v>794</v>
      </c>
      <c r="P51" s="842" t="s">
        <v>795</v>
      </c>
      <c r="Q51" s="843" t="s">
        <v>1123</v>
      </c>
      <c r="R51" s="843" t="s">
        <v>693</v>
      </c>
      <c r="S51" s="843" t="s">
        <v>1124</v>
      </c>
      <c r="T51" s="843" t="s">
        <v>1125</v>
      </c>
      <c r="U51" s="843" t="s">
        <v>1126</v>
      </c>
      <c r="V51" s="851" t="s">
        <v>1053</v>
      </c>
    </row>
    <row r="52" spans="1:22" ht="76.5" customHeight="1" x14ac:dyDescent="0.3">
      <c r="A52" s="1512">
        <f>A50+1</f>
        <v>20</v>
      </c>
      <c r="B52" s="1514" t="s">
        <v>157</v>
      </c>
      <c r="C52" s="833" t="s">
        <v>628</v>
      </c>
      <c r="D52" s="834" t="s">
        <v>1045</v>
      </c>
      <c r="E52" s="835"/>
      <c r="F52" s="835"/>
      <c r="G52" s="835"/>
      <c r="H52" s="835"/>
      <c r="I52" s="836">
        <v>5.0289351851851849E-3</v>
      </c>
      <c r="J52" s="836">
        <v>5.4166666666666669E-3</v>
      </c>
      <c r="K52" s="836">
        <v>5.2777777777777771E-3</v>
      </c>
      <c r="L52" s="836">
        <v>5.7928240740740744E-3</v>
      </c>
      <c r="M52" s="836">
        <v>5.8449074074074072E-3</v>
      </c>
      <c r="N52" s="836">
        <v>6.2789351851851851E-3</v>
      </c>
      <c r="O52" s="836">
        <v>6.3101851851851852E-3</v>
      </c>
      <c r="P52" s="836">
        <v>6.7650462962962968E-3</v>
      </c>
      <c r="Q52" s="836">
        <v>6.8865740740740736E-3</v>
      </c>
      <c r="R52" s="836">
        <v>7.3900462962962973E-3</v>
      </c>
      <c r="S52" s="836">
        <v>7.5694444444444446E-3</v>
      </c>
      <c r="T52" s="836">
        <v>8.1249999999999985E-3</v>
      </c>
      <c r="U52" s="836">
        <v>8.2233796296296308E-3</v>
      </c>
      <c r="V52" s="847">
        <v>8.7557870370370359E-3</v>
      </c>
    </row>
    <row r="53" spans="1:22" ht="70.5" customHeight="1" thickBot="1" x14ac:dyDescent="0.35">
      <c r="A53" s="1513"/>
      <c r="B53" s="1529"/>
      <c r="C53" s="839" t="s">
        <v>629</v>
      </c>
      <c r="D53" s="840" t="s">
        <v>1045</v>
      </c>
      <c r="E53" s="852" t="s">
        <v>796</v>
      </c>
      <c r="F53" s="852" t="s">
        <v>797</v>
      </c>
      <c r="G53" s="842" t="s">
        <v>798</v>
      </c>
      <c r="H53" s="842" t="s">
        <v>799</v>
      </c>
      <c r="I53" s="842" t="s">
        <v>800</v>
      </c>
      <c r="J53" s="842" t="s">
        <v>801</v>
      </c>
      <c r="K53" s="843" t="s">
        <v>802</v>
      </c>
      <c r="L53" s="842" t="s">
        <v>803</v>
      </c>
      <c r="M53" s="842" t="s">
        <v>804</v>
      </c>
      <c r="N53" s="842" t="s">
        <v>805</v>
      </c>
      <c r="O53" s="842" t="s">
        <v>806</v>
      </c>
      <c r="P53" s="842" t="s">
        <v>807</v>
      </c>
      <c r="Q53" s="843" t="s">
        <v>1127</v>
      </c>
      <c r="R53" s="843" t="s">
        <v>1128</v>
      </c>
      <c r="S53" s="843" t="s">
        <v>1129</v>
      </c>
      <c r="T53" s="843" t="s">
        <v>1130</v>
      </c>
      <c r="U53" s="843" t="s">
        <v>1131</v>
      </c>
      <c r="V53" s="851" t="s">
        <v>1132</v>
      </c>
    </row>
    <row r="54" spans="1:22" ht="76.5" customHeight="1" x14ac:dyDescent="0.3">
      <c r="A54" s="1512">
        <f>A52+1</f>
        <v>21</v>
      </c>
      <c r="B54" s="1514" t="s">
        <v>808</v>
      </c>
      <c r="C54" s="833" t="s">
        <v>628</v>
      </c>
      <c r="D54" s="834" t="s">
        <v>1045</v>
      </c>
      <c r="E54" s="835"/>
      <c r="F54" s="835"/>
      <c r="G54" s="835"/>
      <c r="H54" s="835"/>
      <c r="I54" s="836">
        <v>9.6990740740740735E-3</v>
      </c>
      <c r="J54" s="836">
        <v>1.0399305555555556E-2</v>
      </c>
      <c r="K54" s="837">
        <v>1.0329861111111111E-2</v>
      </c>
      <c r="L54" s="836">
        <v>1.1111111111111112E-2</v>
      </c>
      <c r="M54" s="836">
        <v>1.1284722222222222E-2</v>
      </c>
      <c r="N54" s="836">
        <v>1.208912037037037E-2</v>
      </c>
      <c r="O54" s="836">
        <v>1.2187500000000002E-2</v>
      </c>
      <c r="P54" s="836">
        <v>1.3078703703703703E-2</v>
      </c>
      <c r="Q54" s="856"/>
      <c r="R54" s="856"/>
      <c r="S54" s="856"/>
      <c r="T54" s="856"/>
      <c r="U54" s="856"/>
      <c r="V54" s="859"/>
    </row>
    <row r="55" spans="1:22" ht="72.900000000000006" customHeight="1" thickBot="1" x14ac:dyDescent="0.35">
      <c r="A55" s="1513"/>
      <c r="B55" s="1529"/>
      <c r="C55" s="839" t="s">
        <v>629</v>
      </c>
      <c r="D55" s="840" t="s">
        <v>1045</v>
      </c>
      <c r="E55" s="852" t="s">
        <v>809</v>
      </c>
      <c r="F55" s="852" t="s">
        <v>810</v>
      </c>
      <c r="G55" s="842" t="s">
        <v>811</v>
      </c>
      <c r="H55" s="842" t="s">
        <v>812</v>
      </c>
      <c r="I55" s="842" t="s">
        <v>813</v>
      </c>
      <c r="J55" s="842" t="s">
        <v>814</v>
      </c>
      <c r="K55" s="843" t="s">
        <v>815</v>
      </c>
      <c r="L55" s="842" t="s">
        <v>816</v>
      </c>
      <c r="M55" s="842" t="s">
        <v>817</v>
      </c>
      <c r="N55" s="842" t="s">
        <v>818</v>
      </c>
      <c r="O55" s="842" t="s">
        <v>819</v>
      </c>
      <c r="P55" s="842" t="s">
        <v>820</v>
      </c>
      <c r="Q55" s="853"/>
      <c r="R55" s="853"/>
      <c r="S55" s="853"/>
      <c r="T55" s="853"/>
      <c r="U55" s="853"/>
      <c r="V55" s="854"/>
    </row>
    <row r="56" spans="1:22" ht="90.75" customHeight="1" x14ac:dyDescent="0.3">
      <c r="A56" s="1512">
        <f>A54+1</f>
        <v>22</v>
      </c>
      <c r="B56" s="1514" t="s">
        <v>1133</v>
      </c>
      <c r="C56" s="833" t="s">
        <v>628</v>
      </c>
      <c r="D56" s="834" t="s">
        <v>1045</v>
      </c>
      <c r="E56" s="835"/>
      <c r="F56" s="835"/>
      <c r="G56" s="835"/>
      <c r="H56" s="835"/>
      <c r="I56" s="836">
        <v>2.0370370370370369E-4</v>
      </c>
      <c r="J56" s="836">
        <v>2.2800925925925926E-4</v>
      </c>
      <c r="K56" s="836">
        <v>2.1412037037037038E-4</v>
      </c>
      <c r="L56" s="836">
        <v>2.4421296296296295E-4</v>
      </c>
      <c r="M56" s="836">
        <v>2.3263888888888889E-4</v>
      </c>
      <c r="N56" s="836">
        <v>2.6504629629629626E-4</v>
      </c>
      <c r="O56" s="836">
        <v>2.5347222222222221E-4</v>
      </c>
      <c r="P56" s="836">
        <v>2.8703703703703703E-4</v>
      </c>
      <c r="Q56" s="855" t="s">
        <v>139</v>
      </c>
      <c r="R56" s="855" t="s">
        <v>140</v>
      </c>
      <c r="S56" s="855" t="s">
        <v>141</v>
      </c>
      <c r="T56" s="855" t="s">
        <v>142</v>
      </c>
      <c r="U56" s="855" t="s">
        <v>143</v>
      </c>
      <c r="V56" s="858" t="s">
        <v>144</v>
      </c>
    </row>
    <row r="57" spans="1:22" ht="90.75" customHeight="1" thickBot="1" x14ac:dyDescent="0.35">
      <c r="A57" s="1513"/>
      <c r="B57" s="1529"/>
      <c r="C57" s="839" t="s">
        <v>629</v>
      </c>
      <c r="D57" s="840" t="s">
        <v>1045</v>
      </c>
      <c r="E57" s="852" t="s">
        <v>743</v>
      </c>
      <c r="F57" s="852" t="s">
        <v>744</v>
      </c>
      <c r="G57" s="842" t="s">
        <v>745</v>
      </c>
      <c r="H57" s="842" t="s">
        <v>746</v>
      </c>
      <c r="I57" s="842" t="s">
        <v>747</v>
      </c>
      <c r="J57" s="842" t="s">
        <v>748</v>
      </c>
      <c r="K57" s="843" t="s">
        <v>749</v>
      </c>
      <c r="L57" s="842" t="s">
        <v>638</v>
      </c>
      <c r="M57" s="842" t="s">
        <v>750</v>
      </c>
      <c r="N57" s="842" t="s">
        <v>640</v>
      </c>
      <c r="O57" s="842" t="s">
        <v>751</v>
      </c>
      <c r="P57" s="842" t="s">
        <v>752</v>
      </c>
      <c r="Q57" s="843" t="s">
        <v>1107</v>
      </c>
      <c r="R57" s="843" t="s">
        <v>1108</v>
      </c>
      <c r="S57" s="843" t="s">
        <v>1109</v>
      </c>
      <c r="T57" s="843" t="s">
        <v>1110</v>
      </c>
      <c r="U57" s="843" t="s">
        <v>1111</v>
      </c>
      <c r="V57" s="851" t="s">
        <v>1063</v>
      </c>
    </row>
    <row r="58" spans="1:22" ht="90.75" customHeight="1" x14ac:dyDescent="0.3">
      <c r="A58" s="1512">
        <f>A56+1</f>
        <v>23</v>
      </c>
      <c r="B58" s="1514" t="s">
        <v>821</v>
      </c>
      <c r="C58" s="833" t="s">
        <v>628</v>
      </c>
      <c r="D58" s="834" t="s">
        <v>1045</v>
      </c>
      <c r="E58" s="835"/>
      <c r="F58" s="835"/>
      <c r="G58" s="835"/>
      <c r="H58" s="835"/>
      <c r="I58" s="836">
        <v>4.5601851851851852E-4</v>
      </c>
      <c r="J58" s="836">
        <v>5.0694444444444441E-4</v>
      </c>
      <c r="K58" s="836">
        <v>4.895833333333333E-4</v>
      </c>
      <c r="L58" s="836">
        <v>5.4398148148148144E-4</v>
      </c>
      <c r="M58" s="836">
        <v>5.3125000000000004E-4</v>
      </c>
      <c r="N58" s="836">
        <v>5.9027777777777778E-4</v>
      </c>
      <c r="O58" s="836">
        <v>5.7638888888888887E-4</v>
      </c>
      <c r="P58" s="836">
        <v>6.3888888888888893E-4</v>
      </c>
      <c r="Q58" s="855" t="s">
        <v>146</v>
      </c>
      <c r="R58" s="855" t="s">
        <v>753</v>
      </c>
      <c r="S58" s="855" t="s">
        <v>147</v>
      </c>
      <c r="T58" s="855" t="s">
        <v>754</v>
      </c>
      <c r="U58" s="855" t="s">
        <v>148</v>
      </c>
      <c r="V58" s="847">
        <v>8.1481481481481476E-4</v>
      </c>
    </row>
    <row r="59" spans="1:22" ht="90.75" customHeight="1" thickBot="1" x14ac:dyDescent="0.35">
      <c r="A59" s="1513"/>
      <c r="B59" s="1529"/>
      <c r="C59" s="839" t="s">
        <v>629</v>
      </c>
      <c r="D59" s="840" t="s">
        <v>1045</v>
      </c>
      <c r="E59" s="852" t="s">
        <v>755</v>
      </c>
      <c r="F59" s="852" t="s">
        <v>756</v>
      </c>
      <c r="G59" s="842" t="s">
        <v>757</v>
      </c>
      <c r="H59" s="842" t="s">
        <v>758</v>
      </c>
      <c r="I59" s="842" t="s">
        <v>759</v>
      </c>
      <c r="J59" s="842" t="s">
        <v>720</v>
      </c>
      <c r="K59" s="843" t="s">
        <v>760</v>
      </c>
      <c r="L59" s="842" t="s">
        <v>761</v>
      </c>
      <c r="M59" s="842" t="s">
        <v>762</v>
      </c>
      <c r="N59" s="842" t="s">
        <v>763</v>
      </c>
      <c r="O59" s="842" t="s">
        <v>764</v>
      </c>
      <c r="P59" s="842" t="s">
        <v>765</v>
      </c>
      <c r="Q59" s="843" t="s">
        <v>1112</v>
      </c>
      <c r="R59" s="843" t="s">
        <v>1113</v>
      </c>
      <c r="S59" s="843" t="s">
        <v>1114</v>
      </c>
      <c r="T59" s="843" t="s">
        <v>1115</v>
      </c>
      <c r="U59" s="843" t="s">
        <v>1116</v>
      </c>
      <c r="V59" s="851" t="s">
        <v>1117</v>
      </c>
    </row>
    <row r="60" spans="1:22" ht="90.75" customHeight="1" x14ac:dyDescent="0.3">
      <c r="A60" s="1512">
        <f>A58+1</f>
        <v>24</v>
      </c>
      <c r="B60" s="1514" t="s">
        <v>822</v>
      </c>
      <c r="C60" s="833" t="s">
        <v>628</v>
      </c>
      <c r="D60" s="834" t="s">
        <v>1045</v>
      </c>
      <c r="E60" s="835"/>
      <c r="F60" s="835"/>
      <c r="G60" s="835"/>
      <c r="H60" s="835"/>
      <c r="I60" s="836">
        <v>1.0590277777777777E-3</v>
      </c>
      <c r="J60" s="836">
        <v>1.1689814814814816E-3</v>
      </c>
      <c r="K60" s="836">
        <v>1.1342592592592591E-3</v>
      </c>
      <c r="L60" s="836">
        <v>1.2442129629629628E-3</v>
      </c>
      <c r="M60" s="836">
        <v>1.2384259259259258E-3</v>
      </c>
      <c r="N60" s="836">
        <v>1.3599537037037037E-3</v>
      </c>
      <c r="O60" s="836">
        <v>1.3368055555555555E-3</v>
      </c>
      <c r="P60" s="836">
        <v>1.4606481481481482E-3</v>
      </c>
      <c r="Q60" s="855" t="s">
        <v>150</v>
      </c>
      <c r="R60" s="855" t="s">
        <v>766</v>
      </c>
      <c r="S60" s="855" t="s">
        <v>151</v>
      </c>
      <c r="T60" s="855" t="s">
        <v>767</v>
      </c>
      <c r="U60" s="855" t="s">
        <v>152</v>
      </c>
      <c r="V60" s="858" t="s">
        <v>768</v>
      </c>
    </row>
    <row r="61" spans="1:22" ht="90.75" customHeight="1" thickBot="1" x14ac:dyDescent="0.35">
      <c r="A61" s="1513"/>
      <c r="B61" s="1529"/>
      <c r="C61" s="839" t="s">
        <v>629</v>
      </c>
      <c r="D61" s="840" t="s">
        <v>1045</v>
      </c>
      <c r="E61" s="852" t="s">
        <v>769</v>
      </c>
      <c r="F61" s="852" t="s">
        <v>770</v>
      </c>
      <c r="G61" s="842" t="s">
        <v>771</v>
      </c>
      <c r="H61" s="842" t="s">
        <v>772</v>
      </c>
      <c r="I61" s="842" t="s">
        <v>773</v>
      </c>
      <c r="J61" s="842" t="s">
        <v>774</v>
      </c>
      <c r="K61" s="843" t="s">
        <v>775</v>
      </c>
      <c r="L61" s="842" t="s">
        <v>776</v>
      </c>
      <c r="M61" s="842" t="s">
        <v>777</v>
      </c>
      <c r="N61" s="842" t="s">
        <v>778</v>
      </c>
      <c r="O61" s="842" t="s">
        <v>779</v>
      </c>
      <c r="P61" s="842" t="s">
        <v>780</v>
      </c>
      <c r="Q61" s="843" t="s">
        <v>677</v>
      </c>
      <c r="R61" s="843" t="s">
        <v>1118</v>
      </c>
      <c r="S61" s="843" t="s">
        <v>1119</v>
      </c>
      <c r="T61" s="843" t="s">
        <v>1120</v>
      </c>
      <c r="U61" s="843" t="s">
        <v>1121</v>
      </c>
      <c r="V61" s="851" t="s">
        <v>1122</v>
      </c>
    </row>
    <row r="62" spans="1:22" ht="56.25" customHeight="1" thickBot="1" x14ac:dyDescent="0.35">
      <c r="A62" s="1512">
        <f>A60+1</f>
        <v>25</v>
      </c>
      <c r="B62" s="1514" t="s">
        <v>1134</v>
      </c>
      <c r="C62" s="860" t="s">
        <v>628</v>
      </c>
      <c r="D62" s="826" t="s">
        <v>1045</v>
      </c>
      <c r="E62" s="828"/>
      <c r="F62" s="828"/>
      <c r="G62" s="828"/>
      <c r="H62" s="828"/>
      <c r="I62" s="861">
        <v>4.1898148148148155E-4</v>
      </c>
      <c r="J62" s="861">
        <v>4.5949074074074078E-4</v>
      </c>
      <c r="K62" s="861">
        <v>4.4907407407407401E-4</v>
      </c>
      <c r="L62" s="861">
        <v>4.9305555555555561E-4</v>
      </c>
      <c r="M62" s="861">
        <v>4.8726851851851855E-4</v>
      </c>
      <c r="N62" s="861">
        <v>5.3472222222222224E-4</v>
      </c>
      <c r="O62" s="861">
        <v>5.3009259259259253E-4</v>
      </c>
      <c r="P62" s="861">
        <v>5.8101851851851858E-4</v>
      </c>
      <c r="Q62" s="862" t="s">
        <v>158</v>
      </c>
      <c r="R62" s="862" t="s">
        <v>159</v>
      </c>
      <c r="S62" s="862" t="s">
        <v>160</v>
      </c>
      <c r="T62" s="862" t="s">
        <v>161</v>
      </c>
      <c r="U62" s="862" t="s">
        <v>162</v>
      </c>
      <c r="V62" s="863" t="s">
        <v>163</v>
      </c>
    </row>
    <row r="63" spans="1:22" ht="56.25" customHeight="1" thickBot="1" x14ac:dyDescent="0.35">
      <c r="A63" s="1513"/>
      <c r="B63" s="1529"/>
      <c r="C63" s="860" t="s">
        <v>629</v>
      </c>
      <c r="D63" s="826" t="s">
        <v>1045</v>
      </c>
      <c r="E63" s="864" t="s">
        <v>823</v>
      </c>
      <c r="F63" s="864" t="s">
        <v>824</v>
      </c>
      <c r="G63" s="862" t="s">
        <v>825</v>
      </c>
      <c r="H63" s="862" t="s">
        <v>826</v>
      </c>
      <c r="I63" s="862" t="s">
        <v>827</v>
      </c>
      <c r="J63" s="862" t="s">
        <v>828</v>
      </c>
      <c r="K63" s="865" t="s">
        <v>756</v>
      </c>
      <c r="L63" s="862" t="s">
        <v>829</v>
      </c>
      <c r="M63" s="862" t="s">
        <v>830</v>
      </c>
      <c r="N63" s="862" t="s">
        <v>831</v>
      </c>
      <c r="O63" s="862" t="s">
        <v>721</v>
      </c>
      <c r="P63" s="862" t="s">
        <v>832</v>
      </c>
      <c r="Q63" s="865" t="s">
        <v>832</v>
      </c>
      <c r="R63" s="865" t="s">
        <v>1135</v>
      </c>
      <c r="S63" s="865" t="s">
        <v>1136</v>
      </c>
      <c r="T63" s="865" t="s">
        <v>1137</v>
      </c>
      <c r="U63" s="865" t="s">
        <v>1138</v>
      </c>
      <c r="V63" s="866" t="s">
        <v>1139</v>
      </c>
    </row>
    <row r="64" spans="1:22" ht="54.75" customHeight="1" x14ac:dyDescent="0.3">
      <c r="A64" s="1512">
        <f>A62+1</f>
        <v>26</v>
      </c>
      <c r="B64" s="1514" t="s">
        <v>833</v>
      </c>
      <c r="C64" s="833" t="s">
        <v>628</v>
      </c>
      <c r="D64" s="834" t="s">
        <v>1045</v>
      </c>
      <c r="E64" s="835"/>
      <c r="F64" s="835"/>
      <c r="G64" s="835"/>
      <c r="H64" s="835"/>
      <c r="I64" s="867">
        <v>2.1724537037037038E-3</v>
      </c>
      <c r="J64" s="867">
        <v>2.3495370370370371E-3</v>
      </c>
      <c r="K64" s="867">
        <v>2.3263888888888887E-3</v>
      </c>
      <c r="L64" s="867">
        <v>2.5231481481481481E-3</v>
      </c>
      <c r="M64" s="867">
        <v>2.5231481481481481E-3</v>
      </c>
      <c r="N64" s="867">
        <v>2.7314814814814819E-3</v>
      </c>
      <c r="O64" s="867">
        <v>2.7372685185185187E-3</v>
      </c>
      <c r="P64" s="867">
        <v>2.9513888888888888E-3</v>
      </c>
      <c r="Q64" s="868"/>
      <c r="R64" s="868"/>
      <c r="S64" s="868"/>
      <c r="T64" s="868"/>
      <c r="U64" s="868"/>
      <c r="V64" s="869"/>
    </row>
    <row r="65" spans="1:22" ht="54.75" customHeight="1" thickBot="1" x14ac:dyDescent="0.35">
      <c r="A65" s="1513"/>
      <c r="B65" s="1529"/>
      <c r="C65" s="839" t="s">
        <v>629</v>
      </c>
      <c r="D65" s="840" t="s">
        <v>1045</v>
      </c>
      <c r="E65" s="852" t="s">
        <v>834</v>
      </c>
      <c r="F65" s="852" t="s">
        <v>835</v>
      </c>
      <c r="G65" s="842" t="s">
        <v>836</v>
      </c>
      <c r="H65" s="842" t="s">
        <v>837</v>
      </c>
      <c r="I65" s="842" t="s">
        <v>838</v>
      </c>
      <c r="J65" s="842" t="s">
        <v>839</v>
      </c>
      <c r="K65" s="843" t="s">
        <v>840</v>
      </c>
      <c r="L65" s="842" t="s">
        <v>841</v>
      </c>
      <c r="M65" s="842" t="s">
        <v>841</v>
      </c>
      <c r="N65" s="842" t="s">
        <v>842</v>
      </c>
      <c r="O65" s="842" t="s">
        <v>843</v>
      </c>
      <c r="P65" s="842" t="s">
        <v>844</v>
      </c>
      <c r="Q65" s="853"/>
      <c r="R65" s="853"/>
      <c r="S65" s="853"/>
      <c r="T65" s="853"/>
      <c r="U65" s="853"/>
      <c r="V65" s="854"/>
    </row>
    <row r="66" spans="1:22" s="870" customFormat="1" ht="57.75" customHeight="1" x14ac:dyDescent="0.35">
      <c r="A66" s="1512">
        <f>A64+1</f>
        <v>27</v>
      </c>
      <c r="B66" s="1528" t="s">
        <v>980</v>
      </c>
      <c r="C66" s="833" t="s">
        <v>628</v>
      </c>
      <c r="D66" s="834" t="s">
        <v>1045</v>
      </c>
      <c r="E66" s="835"/>
      <c r="F66" s="835"/>
      <c r="G66" s="835"/>
      <c r="H66" s="835"/>
      <c r="I66" s="836">
        <v>4.409722222222222E-3</v>
      </c>
      <c r="J66" s="836">
        <v>4.8032407407407407E-3</v>
      </c>
      <c r="K66" s="836">
        <v>4.7916666666666672E-3</v>
      </c>
      <c r="L66" s="836">
        <v>5.2662037037037035E-3</v>
      </c>
      <c r="M66" s="836">
        <v>5.5439814814814822E-3</v>
      </c>
      <c r="N66" s="836">
        <v>6.1342592592592594E-3</v>
      </c>
      <c r="O66" s="836">
        <v>6.5972222222222222E-3</v>
      </c>
      <c r="P66" s="836">
        <v>7.2453703703703708E-3</v>
      </c>
      <c r="Q66" s="835"/>
      <c r="R66" s="835"/>
      <c r="S66" s="835"/>
      <c r="T66" s="835"/>
      <c r="U66" s="835"/>
      <c r="V66" s="838"/>
    </row>
    <row r="67" spans="1:22" s="870" customFormat="1" ht="57.75" customHeight="1" thickBot="1" x14ac:dyDescent="0.4">
      <c r="A67" s="1513"/>
      <c r="B67" s="1529"/>
      <c r="C67" s="839" t="s">
        <v>629</v>
      </c>
      <c r="D67" s="840" t="s">
        <v>1045</v>
      </c>
      <c r="E67" s="871"/>
      <c r="F67" s="871"/>
      <c r="G67" s="842" t="s">
        <v>845</v>
      </c>
      <c r="H67" s="842" t="s">
        <v>846</v>
      </c>
      <c r="I67" s="842" t="s">
        <v>847</v>
      </c>
      <c r="J67" s="842" t="s">
        <v>848</v>
      </c>
      <c r="K67" s="843" t="s">
        <v>849</v>
      </c>
      <c r="L67" s="842" t="s">
        <v>850</v>
      </c>
      <c r="M67" s="842" t="s">
        <v>851</v>
      </c>
      <c r="N67" s="842" t="s">
        <v>852</v>
      </c>
      <c r="O67" s="842" t="s">
        <v>853</v>
      </c>
      <c r="P67" s="842" t="s">
        <v>854</v>
      </c>
      <c r="Q67" s="871"/>
      <c r="R67" s="871"/>
      <c r="S67" s="871"/>
      <c r="T67" s="871"/>
      <c r="U67" s="871"/>
      <c r="V67" s="872"/>
    </row>
    <row r="68" spans="1:22" s="870" customFormat="1" ht="57.75" customHeight="1" x14ac:dyDescent="0.35">
      <c r="A68" s="1512">
        <f>A66+1</f>
        <v>28</v>
      </c>
      <c r="B68" s="1528" t="s">
        <v>981</v>
      </c>
      <c r="C68" s="833" t="s">
        <v>628</v>
      </c>
      <c r="D68" s="834" t="s">
        <v>1045</v>
      </c>
      <c r="E68" s="835"/>
      <c r="F68" s="835"/>
      <c r="G68" s="835"/>
      <c r="H68" s="835"/>
      <c r="I68" s="836">
        <v>4.8611111111111112E-3</v>
      </c>
      <c r="J68" s="836">
        <v>5.347222222222222E-3</v>
      </c>
      <c r="K68" s="836">
        <v>5.347222222222222E-3</v>
      </c>
      <c r="L68" s="836">
        <v>5.8449074074074072E-3</v>
      </c>
      <c r="M68" s="836">
        <v>6.1574074074074074E-3</v>
      </c>
      <c r="N68" s="836">
        <v>6.7708333333333336E-3</v>
      </c>
      <c r="O68" s="836">
        <v>7.1759259259259259E-3</v>
      </c>
      <c r="P68" s="836">
        <v>7.9629629629629634E-3</v>
      </c>
      <c r="Q68" s="835"/>
      <c r="R68" s="835"/>
      <c r="S68" s="835"/>
      <c r="T68" s="835"/>
      <c r="U68" s="835"/>
      <c r="V68" s="838"/>
    </row>
    <row r="69" spans="1:22" s="870" customFormat="1" ht="57.75" customHeight="1" thickBot="1" x14ac:dyDescent="0.4">
      <c r="A69" s="1513"/>
      <c r="B69" s="1529"/>
      <c r="C69" s="839" t="s">
        <v>629</v>
      </c>
      <c r="D69" s="840" t="s">
        <v>1045</v>
      </c>
      <c r="E69" s="871"/>
      <c r="F69" s="871"/>
      <c r="G69" s="842" t="s">
        <v>855</v>
      </c>
      <c r="H69" s="842" t="s">
        <v>856</v>
      </c>
      <c r="I69" s="842" t="s">
        <v>857</v>
      </c>
      <c r="J69" s="842" t="s">
        <v>858</v>
      </c>
      <c r="K69" s="843" t="s">
        <v>858</v>
      </c>
      <c r="L69" s="842" t="s">
        <v>804</v>
      </c>
      <c r="M69" s="842" t="s">
        <v>859</v>
      </c>
      <c r="N69" s="842" t="s">
        <v>860</v>
      </c>
      <c r="O69" s="842" t="s">
        <v>861</v>
      </c>
      <c r="P69" s="842" t="s">
        <v>862</v>
      </c>
      <c r="Q69" s="871"/>
      <c r="R69" s="871"/>
      <c r="S69" s="871"/>
      <c r="T69" s="871"/>
      <c r="U69" s="871"/>
      <c r="V69" s="872"/>
    </row>
    <row r="70" spans="1:22" s="870" customFormat="1" ht="57.75" customHeight="1" x14ac:dyDescent="0.35">
      <c r="A70" s="1512">
        <f>A68+1</f>
        <v>29</v>
      </c>
      <c r="B70" s="1528" t="s">
        <v>982</v>
      </c>
      <c r="C70" s="833" t="s">
        <v>628</v>
      </c>
      <c r="D70" s="834" t="s">
        <v>1045</v>
      </c>
      <c r="E70" s="873"/>
      <c r="F70" s="873"/>
      <c r="G70" s="835"/>
      <c r="H70" s="835"/>
      <c r="I70" s="836">
        <v>4.7453703703703703E-3</v>
      </c>
      <c r="J70" s="836">
        <v>5.208333333333333E-3</v>
      </c>
      <c r="K70" s="836">
        <v>5.2314814814814819E-3</v>
      </c>
      <c r="L70" s="836">
        <v>5.7638888888888887E-3</v>
      </c>
      <c r="M70" s="836">
        <v>6.053240740740741E-3</v>
      </c>
      <c r="N70" s="836">
        <v>6.6782407407407415E-3</v>
      </c>
      <c r="O70" s="836">
        <v>7.0486111111111105E-3</v>
      </c>
      <c r="P70" s="836">
        <v>7.8472222222222224E-3</v>
      </c>
      <c r="Q70" s="835"/>
      <c r="R70" s="835"/>
      <c r="S70" s="835"/>
      <c r="T70" s="835"/>
      <c r="U70" s="835"/>
      <c r="V70" s="838"/>
    </row>
    <row r="71" spans="1:22" s="870" customFormat="1" ht="57.75" customHeight="1" thickBot="1" x14ac:dyDescent="0.4">
      <c r="A71" s="1513"/>
      <c r="B71" s="1529"/>
      <c r="C71" s="839" t="s">
        <v>629</v>
      </c>
      <c r="D71" s="840" t="s">
        <v>1045</v>
      </c>
      <c r="E71" s="874"/>
      <c r="F71" s="874"/>
      <c r="G71" s="842" t="s">
        <v>846</v>
      </c>
      <c r="H71" s="842" t="s">
        <v>863</v>
      </c>
      <c r="I71" s="842" t="s">
        <v>864</v>
      </c>
      <c r="J71" s="842" t="s">
        <v>865</v>
      </c>
      <c r="K71" s="843" t="s">
        <v>866</v>
      </c>
      <c r="L71" s="842" t="s">
        <v>867</v>
      </c>
      <c r="M71" s="842" t="s">
        <v>868</v>
      </c>
      <c r="N71" s="842" t="s">
        <v>869</v>
      </c>
      <c r="O71" s="842" t="s">
        <v>870</v>
      </c>
      <c r="P71" s="842" t="s">
        <v>871</v>
      </c>
      <c r="Q71" s="871"/>
      <c r="R71" s="871"/>
      <c r="S71" s="871"/>
      <c r="T71" s="871"/>
      <c r="U71" s="871"/>
      <c r="V71" s="872"/>
    </row>
    <row r="72" spans="1:22" s="870" customFormat="1" ht="57.75" customHeight="1" thickBot="1" x14ac:dyDescent="0.4">
      <c r="A72" s="1512">
        <v>30</v>
      </c>
      <c r="B72" s="1514" t="s">
        <v>1223</v>
      </c>
      <c r="C72" s="833" t="s">
        <v>628</v>
      </c>
      <c r="D72" s="834" t="s">
        <v>1045</v>
      </c>
      <c r="E72" s="835"/>
      <c r="F72" s="835"/>
      <c r="G72" s="835"/>
      <c r="H72" s="835"/>
      <c r="I72" s="836">
        <v>7.9837962962962961E-3</v>
      </c>
      <c r="J72" s="836">
        <v>1.1108796296296295E-2</v>
      </c>
      <c r="K72" s="836">
        <v>1.0414351851851852E-2</v>
      </c>
      <c r="L72" s="836">
        <v>1.2266203703703705E-2</v>
      </c>
      <c r="M72" s="836">
        <v>1.1282407407407408E-2</v>
      </c>
      <c r="N72" s="836">
        <v>1.3018518518518518E-2</v>
      </c>
      <c r="O72" s="836">
        <v>1.2034722222222223E-2</v>
      </c>
      <c r="P72" s="836">
        <v>1.3712962962962962E-2</v>
      </c>
      <c r="Q72" s="828"/>
      <c r="R72" s="828"/>
      <c r="S72" s="828"/>
      <c r="T72" s="828"/>
      <c r="U72" s="828"/>
      <c r="V72" s="829"/>
    </row>
    <row r="73" spans="1:22" s="870" customFormat="1" ht="57.75" customHeight="1" thickBot="1" x14ac:dyDescent="0.4">
      <c r="A73" s="1513"/>
      <c r="B73" s="1515"/>
      <c r="C73" s="839" t="s">
        <v>629</v>
      </c>
      <c r="D73" s="840" t="s">
        <v>1045</v>
      </c>
      <c r="E73" s="852" t="s">
        <v>1224</v>
      </c>
      <c r="F73" s="852" t="s">
        <v>1225</v>
      </c>
      <c r="G73" s="852" t="s">
        <v>1226</v>
      </c>
      <c r="H73" s="852" t="s">
        <v>1227</v>
      </c>
      <c r="I73" s="852" t="s">
        <v>1228</v>
      </c>
      <c r="J73" s="852" t="s">
        <v>1229</v>
      </c>
      <c r="K73" s="852" t="s">
        <v>1230</v>
      </c>
      <c r="L73" s="852" t="s">
        <v>1231</v>
      </c>
      <c r="M73" s="852" t="s">
        <v>1232</v>
      </c>
      <c r="N73" s="852" t="s">
        <v>1233</v>
      </c>
      <c r="O73" s="852" t="s">
        <v>1234</v>
      </c>
      <c r="P73" s="852" t="s">
        <v>1235</v>
      </c>
      <c r="Q73" s="828"/>
      <c r="R73" s="828"/>
      <c r="S73" s="828"/>
      <c r="T73" s="828"/>
      <c r="U73" s="828"/>
      <c r="V73" s="829"/>
    </row>
    <row r="74" spans="1:22" s="870" customFormat="1" ht="103.5" customHeight="1" thickBot="1" x14ac:dyDescent="0.4">
      <c r="A74" s="823">
        <v>31</v>
      </c>
      <c r="B74" s="824" t="s">
        <v>1236</v>
      </c>
      <c r="C74" s="825"/>
      <c r="D74" s="826" t="s">
        <v>652</v>
      </c>
      <c r="E74" s="830">
        <v>225</v>
      </c>
      <c r="F74" s="830">
        <v>205</v>
      </c>
      <c r="G74" s="831">
        <v>195</v>
      </c>
      <c r="H74" s="831">
        <v>151</v>
      </c>
      <c r="I74" s="831">
        <v>152</v>
      </c>
      <c r="J74" s="831">
        <v>118</v>
      </c>
      <c r="K74" s="831">
        <v>125</v>
      </c>
      <c r="L74" s="831">
        <v>98</v>
      </c>
      <c r="M74" s="831">
        <v>98</v>
      </c>
      <c r="N74" s="831">
        <v>75</v>
      </c>
      <c r="O74" s="831">
        <v>78</v>
      </c>
      <c r="P74" s="831">
        <v>58</v>
      </c>
      <c r="Q74" s="828"/>
      <c r="R74" s="828"/>
      <c r="S74" s="828"/>
      <c r="T74" s="828"/>
      <c r="U74" s="828"/>
      <c r="V74" s="829"/>
    </row>
    <row r="75" spans="1:22" s="870" customFormat="1" ht="103.5" customHeight="1" thickBot="1" x14ac:dyDescent="0.4">
      <c r="A75" s="823">
        <v>32</v>
      </c>
      <c r="B75" s="824" t="s">
        <v>1237</v>
      </c>
      <c r="C75" s="825"/>
      <c r="D75" s="826" t="s">
        <v>652</v>
      </c>
      <c r="E75" s="830">
        <v>91</v>
      </c>
      <c r="F75" s="830">
        <v>85</v>
      </c>
      <c r="G75" s="831">
        <v>80</v>
      </c>
      <c r="H75" s="831">
        <v>71</v>
      </c>
      <c r="I75" s="831">
        <v>73</v>
      </c>
      <c r="J75" s="831">
        <v>64</v>
      </c>
      <c r="K75" s="832">
        <v>65</v>
      </c>
      <c r="L75" s="831">
        <v>58</v>
      </c>
      <c r="M75" s="831">
        <v>60</v>
      </c>
      <c r="N75" s="831">
        <v>52</v>
      </c>
      <c r="O75" s="831">
        <v>50</v>
      </c>
      <c r="P75" s="831">
        <v>45</v>
      </c>
      <c r="Q75" s="828"/>
      <c r="R75" s="828"/>
      <c r="S75" s="828"/>
      <c r="T75" s="828"/>
      <c r="U75" s="828"/>
      <c r="V75" s="829"/>
    </row>
    <row r="76" spans="1:22" s="870" customFormat="1" ht="32.25" customHeight="1" x14ac:dyDescent="0.35">
      <c r="A76" s="1516" t="s">
        <v>167</v>
      </c>
      <c r="B76" s="1517"/>
      <c r="C76" s="1522" t="s">
        <v>1140</v>
      </c>
      <c r="D76" s="1523"/>
      <c r="E76" s="1523"/>
      <c r="F76" s="1523"/>
      <c r="G76" s="1523"/>
      <c r="H76" s="1523"/>
      <c r="I76" s="1523"/>
      <c r="J76" s="1523"/>
      <c r="K76" s="1523"/>
      <c r="L76" s="1523"/>
      <c r="M76" s="1523"/>
      <c r="N76" s="1523"/>
      <c r="O76" s="1523"/>
      <c r="P76" s="1523"/>
      <c r="Q76" s="1523"/>
      <c r="R76" s="1523"/>
      <c r="S76" s="1523"/>
      <c r="T76" s="1523"/>
      <c r="U76" s="1523"/>
      <c r="V76" s="1524"/>
    </row>
    <row r="77" spans="1:22" s="870" customFormat="1" ht="73.5" customHeight="1" x14ac:dyDescent="0.35">
      <c r="A77" s="1518"/>
      <c r="B77" s="1519"/>
      <c r="C77" s="1511" t="s">
        <v>1141</v>
      </c>
      <c r="D77" s="1484"/>
      <c r="E77" s="1484"/>
      <c r="F77" s="1484"/>
      <c r="G77" s="1484"/>
      <c r="H77" s="1484"/>
      <c r="I77" s="1484"/>
      <c r="J77" s="1484"/>
      <c r="K77" s="1484"/>
      <c r="L77" s="1484"/>
      <c r="M77" s="1484"/>
      <c r="N77" s="1484"/>
      <c r="O77" s="1484"/>
      <c r="P77" s="1484"/>
      <c r="Q77" s="1484"/>
      <c r="R77" s="1484"/>
      <c r="S77" s="1484"/>
      <c r="T77" s="1484"/>
      <c r="U77" s="1484"/>
      <c r="V77" s="1485"/>
    </row>
    <row r="78" spans="1:22" s="870" customFormat="1" ht="60.75" customHeight="1" x14ac:dyDescent="0.4">
      <c r="A78" s="1518"/>
      <c r="B78" s="1519"/>
      <c r="C78" s="1502" t="s">
        <v>1142</v>
      </c>
      <c r="D78" s="1503"/>
      <c r="E78" s="1503"/>
      <c r="F78" s="1503"/>
      <c r="G78" s="1503"/>
      <c r="H78" s="1503"/>
      <c r="I78" s="1503"/>
      <c r="J78" s="1503"/>
      <c r="K78" s="1503"/>
      <c r="L78" s="1503"/>
      <c r="M78" s="1503"/>
      <c r="N78" s="1503"/>
      <c r="O78" s="1503"/>
      <c r="P78" s="1503"/>
      <c r="Q78" s="1503"/>
      <c r="R78" s="1503"/>
      <c r="S78" s="1503"/>
      <c r="T78" s="1503"/>
      <c r="U78" s="1503"/>
      <c r="V78" s="1504"/>
    </row>
    <row r="79" spans="1:22" s="870" customFormat="1" ht="78.75" customHeight="1" x14ac:dyDescent="0.35">
      <c r="A79" s="1518"/>
      <c r="B79" s="1519"/>
      <c r="C79" s="1486" t="s">
        <v>1143</v>
      </c>
      <c r="D79" s="1525"/>
      <c r="E79" s="1525"/>
      <c r="F79" s="1525"/>
      <c r="G79" s="1525"/>
      <c r="H79" s="1525"/>
      <c r="I79" s="1525"/>
      <c r="J79" s="1525"/>
      <c r="K79" s="1525"/>
      <c r="L79" s="1525"/>
      <c r="M79" s="1525"/>
      <c r="N79" s="1525"/>
      <c r="O79" s="1525"/>
      <c r="P79" s="1525"/>
      <c r="Q79" s="1525"/>
      <c r="R79" s="1525"/>
      <c r="S79" s="1525"/>
      <c r="T79" s="1525"/>
      <c r="U79" s="1525"/>
      <c r="V79" s="1526"/>
    </row>
    <row r="80" spans="1:22" s="870" customFormat="1" ht="48" customHeight="1" x14ac:dyDescent="0.4">
      <c r="A80" s="1518"/>
      <c r="B80" s="1519"/>
      <c r="C80" s="1502" t="s">
        <v>1144</v>
      </c>
      <c r="D80" s="1503"/>
      <c r="E80" s="1503"/>
      <c r="F80" s="1503"/>
      <c r="G80" s="1503"/>
      <c r="H80" s="1503"/>
      <c r="I80" s="1503"/>
      <c r="J80" s="1503"/>
      <c r="K80" s="1503"/>
      <c r="L80" s="1503"/>
      <c r="M80" s="1503"/>
      <c r="N80" s="1503"/>
      <c r="O80" s="1503"/>
      <c r="P80" s="1503"/>
      <c r="Q80" s="1503"/>
      <c r="R80" s="1503"/>
      <c r="S80" s="1503"/>
      <c r="T80" s="1503"/>
      <c r="U80" s="1503"/>
      <c r="V80" s="1504"/>
    </row>
    <row r="81" spans="1:22" s="870" customFormat="1" ht="27" customHeight="1" x14ac:dyDescent="0.4">
      <c r="A81" s="1518"/>
      <c r="B81" s="1519"/>
      <c r="C81" s="1502" t="s">
        <v>1145</v>
      </c>
      <c r="D81" s="1503"/>
      <c r="E81" s="1503"/>
      <c r="F81" s="1503"/>
      <c r="G81" s="1503"/>
      <c r="H81" s="1503"/>
      <c r="I81" s="1503"/>
      <c r="J81" s="1503"/>
      <c r="K81" s="1503"/>
      <c r="L81" s="1503"/>
      <c r="M81" s="1503"/>
      <c r="N81" s="1503"/>
      <c r="O81" s="1503"/>
      <c r="P81" s="1503"/>
      <c r="Q81" s="1503"/>
      <c r="R81" s="1503"/>
      <c r="S81" s="1503"/>
      <c r="T81" s="1503"/>
      <c r="U81" s="1503"/>
      <c r="V81" s="1504"/>
    </row>
    <row r="82" spans="1:22" s="870" customFormat="1" ht="29.25" customHeight="1" x14ac:dyDescent="0.35">
      <c r="A82" s="1518"/>
      <c r="B82" s="1519"/>
      <c r="C82" s="1527" t="s">
        <v>1146</v>
      </c>
      <c r="D82" s="1484"/>
      <c r="E82" s="1484"/>
      <c r="F82" s="1484"/>
      <c r="G82" s="1484"/>
      <c r="H82" s="1484"/>
      <c r="I82" s="1484"/>
      <c r="J82" s="1484"/>
      <c r="K82" s="1484"/>
      <c r="L82" s="1484"/>
      <c r="M82" s="1484"/>
      <c r="N82" s="1484"/>
      <c r="O82" s="1484"/>
      <c r="P82" s="1484"/>
      <c r="Q82" s="1484"/>
      <c r="R82" s="1484"/>
      <c r="S82" s="1484"/>
      <c r="T82" s="1484"/>
      <c r="U82" s="1484"/>
      <c r="V82" s="1485"/>
    </row>
    <row r="83" spans="1:22" s="870" customFormat="1" ht="27.75" customHeight="1" x14ac:dyDescent="0.4">
      <c r="A83" s="1518"/>
      <c r="B83" s="1519"/>
      <c r="C83" s="1502" t="s">
        <v>1147</v>
      </c>
      <c r="D83" s="1503"/>
      <c r="E83" s="1503"/>
      <c r="F83" s="1503"/>
      <c r="G83" s="1503"/>
      <c r="H83" s="1503"/>
      <c r="I83" s="1503"/>
      <c r="J83" s="1503"/>
      <c r="K83" s="1503"/>
      <c r="L83" s="1503"/>
      <c r="M83" s="1503"/>
      <c r="N83" s="1503"/>
      <c r="O83" s="1503"/>
      <c r="P83" s="1503"/>
      <c r="Q83" s="1503"/>
      <c r="R83" s="1503"/>
      <c r="S83" s="1503"/>
      <c r="T83" s="1503"/>
      <c r="U83" s="1503"/>
      <c r="V83" s="1504"/>
    </row>
    <row r="84" spans="1:22" s="870" customFormat="1" ht="45" customHeight="1" x14ac:dyDescent="0.4">
      <c r="A84" s="1518"/>
      <c r="B84" s="1519"/>
      <c r="C84" s="1502" t="s">
        <v>1148</v>
      </c>
      <c r="D84" s="1503"/>
      <c r="E84" s="1503"/>
      <c r="F84" s="1503"/>
      <c r="G84" s="1503"/>
      <c r="H84" s="1503"/>
      <c r="I84" s="1503"/>
      <c r="J84" s="1503"/>
      <c r="K84" s="1503"/>
      <c r="L84" s="1503"/>
      <c r="M84" s="1503"/>
      <c r="N84" s="1503"/>
      <c r="O84" s="1503"/>
      <c r="P84" s="1503"/>
      <c r="Q84" s="1503"/>
      <c r="R84" s="1503"/>
      <c r="S84" s="1503"/>
      <c r="T84" s="1503"/>
      <c r="U84" s="1503"/>
      <c r="V84" s="1504"/>
    </row>
    <row r="85" spans="1:22" s="870" customFormat="1" ht="48.75" customHeight="1" x14ac:dyDescent="0.4">
      <c r="A85" s="1520"/>
      <c r="B85" s="1521"/>
      <c r="C85" s="1505" t="s">
        <v>872</v>
      </c>
      <c r="D85" s="1506"/>
      <c r="E85" s="1506"/>
      <c r="F85" s="1506"/>
      <c r="G85" s="1506"/>
      <c r="H85" s="1506"/>
      <c r="I85" s="1506"/>
      <c r="J85" s="1506"/>
      <c r="K85" s="1506"/>
      <c r="L85" s="1506"/>
      <c r="M85" s="1506"/>
      <c r="N85" s="1506"/>
      <c r="O85" s="1506"/>
      <c r="P85" s="1506"/>
      <c r="Q85" s="1506"/>
      <c r="R85" s="1506"/>
      <c r="S85" s="1506"/>
      <c r="T85" s="1506"/>
      <c r="U85" s="1506"/>
      <c r="V85" s="1507"/>
    </row>
    <row r="86" spans="1:22" s="870" customFormat="1" ht="44.25" customHeight="1" x14ac:dyDescent="0.4">
      <c r="A86" s="1492"/>
      <c r="B86" s="1493"/>
      <c r="C86" s="1508" t="s">
        <v>873</v>
      </c>
      <c r="D86" s="1509"/>
      <c r="E86" s="1509"/>
      <c r="F86" s="1509"/>
      <c r="G86" s="1509"/>
      <c r="H86" s="1509"/>
      <c r="I86" s="1509"/>
      <c r="J86" s="1509"/>
      <c r="K86" s="1509"/>
      <c r="L86" s="1509"/>
      <c r="M86" s="1509"/>
      <c r="N86" s="1509"/>
      <c r="O86" s="1509"/>
      <c r="P86" s="1509"/>
      <c r="Q86" s="1509"/>
      <c r="R86" s="1509"/>
      <c r="S86" s="1509"/>
      <c r="T86" s="1509"/>
      <c r="U86" s="1509"/>
      <c r="V86" s="1510"/>
    </row>
    <row r="87" spans="1:22" s="870" customFormat="1" ht="43.5" customHeight="1" x14ac:dyDescent="0.35">
      <c r="A87" s="1492"/>
      <c r="B87" s="1493"/>
      <c r="C87" s="1486" t="s">
        <v>1149</v>
      </c>
      <c r="D87" s="1484"/>
      <c r="E87" s="1484"/>
      <c r="F87" s="1484"/>
      <c r="G87" s="1484"/>
      <c r="H87" s="1484"/>
      <c r="I87" s="1484"/>
      <c r="J87" s="1484"/>
      <c r="K87" s="1484"/>
      <c r="L87" s="1484"/>
      <c r="M87" s="1484"/>
      <c r="N87" s="1484"/>
      <c r="O87" s="1484"/>
      <c r="P87" s="1484"/>
      <c r="Q87" s="1484"/>
      <c r="R87" s="1484"/>
      <c r="S87" s="1484"/>
      <c r="T87" s="1484"/>
      <c r="U87" s="1484"/>
      <c r="V87" s="1485"/>
    </row>
    <row r="88" spans="1:22" s="870" customFormat="1" ht="30" customHeight="1" x14ac:dyDescent="0.35">
      <c r="A88" s="1492"/>
      <c r="B88" s="1493"/>
      <c r="C88" s="1511" t="s">
        <v>1150</v>
      </c>
      <c r="D88" s="1487"/>
      <c r="E88" s="1487"/>
      <c r="F88" s="1487"/>
      <c r="G88" s="1487"/>
      <c r="H88" s="1487"/>
      <c r="I88" s="1487"/>
      <c r="J88" s="1487"/>
      <c r="K88" s="1487"/>
      <c r="L88" s="1487"/>
      <c r="M88" s="1487"/>
      <c r="N88" s="1487"/>
      <c r="O88" s="1487"/>
      <c r="P88" s="1487"/>
      <c r="Q88" s="1487"/>
      <c r="R88" s="1487"/>
      <c r="S88" s="1487"/>
      <c r="T88" s="1487"/>
      <c r="U88" s="1487"/>
      <c r="V88" s="1488"/>
    </row>
    <row r="89" spans="1:22" s="870" customFormat="1" ht="95.25" customHeight="1" x14ac:dyDescent="0.35">
      <c r="A89" s="1492"/>
      <c r="B89" s="1493"/>
      <c r="C89" s="1483" t="s">
        <v>1151</v>
      </c>
      <c r="D89" s="1484"/>
      <c r="E89" s="1484"/>
      <c r="F89" s="1484"/>
      <c r="G89" s="1484"/>
      <c r="H89" s="1484"/>
      <c r="I89" s="1484"/>
      <c r="J89" s="1484"/>
      <c r="K89" s="1484"/>
      <c r="L89" s="1484"/>
      <c r="M89" s="1484"/>
      <c r="N89" s="1484"/>
      <c r="O89" s="1484"/>
      <c r="P89" s="1484"/>
      <c r="Q89" s="1484"/>
      <c r="R89" s="1484"/>
      <c r="S89" s="1484"/>
      <c r="T89" s="1484"/>
      <c r="U89" s="1484"/>
      <c r="V89" s="1485"/>
    </row>
    <row r="90" spans="1:22" s="870" customFormat="1" ht="93.75" customHeight="1" x14ac:dyDescent="0.35">
      <c r="A90" s="1492"/>
      <c r="B90" s="1493"/>
      <c r="C90" s="1483" t="s">
        <v>1152</v>
      </c>
      <c r="D90" s="1484"/>
      <c r="E90" s="1484"/>
      <c r="F90" s="1484"/>
      <c r="G90" s="1484"/>
      <c r="H90" s="1484"/>
      <c r="I90" s="1484"/>
      <c r="J90" s="1484"/>
      <c r="K90" s="1484"/>
      <c r="L90" s="1484"/>
      <c r="M90" s="1484"/>
      <c r="N90" s="1484"/>
      <c r="O90" s="1484"/>
      <c r="P90" s="1484"/>
      <c r="Q90" s="1484"/>
      <c r="R90" s="1484"/>
      <c r="S90" s="1484"/>
      <c r="T90" s="1484"/>
      <c r="U90" s="1484"/>
      <c r="V90" s="1485"/>
    </row>
    <row r="91" spans="1:22" s="814" customFormat="1" ht="54" customHeight="1" x14ac:dyDescent="0.3">
      <c r="A91" s="1492"/>
      <c r="B91" s="1493"/>
      <c r="C91" s="1486" t="s">
        <v>1153</v>
      </c>
      <c r="D91" s="1487"/>
      <c r="E91" s="1487"/>
      <c r="F91" s="1487"/>
      <c r="G91" s="1487"/>
      <c r="H91" s="1487"/>
      <c r="I91" s="1487"/>
      <c r="J91" s="1487"/>
      <c r="K91" s="1487"/>
      <c r="L91" s="1487"/>
      <c r="M91" s="1487"/>
      <c r="N91" s="1487"/>
      <c r="O91" s="1487"/>
      <c r="P91" s="1487"/>
      <c r="Q91" s="1487"/>
      <c r="R91" s="1487"/>
      <c r="S91" s="1487"/>
      <c r="T91" s="1487"/>
      <c r="U91" s="1487"/>
      <c r="V91" s="1488"/>
    </row>
    <row r="92" spans="1:22" s="814" customFormat="1" ht="39.75" customHeight="1" x14ac:dyDescent="0.3">
      <c r="A92" s="1492"/>
      <c r="B92" s="1493"/>
      <c r="C92" s="1483" t="s">
        <v>1154</v>
      </c>
      <c r="D92" s="1484"/>
      <c r="E92" s="1484"/>
      <c r="F92" s="1484"/>
      <c r="G92" s="1484"/>
      <c r="H92" s="1484"/>
      <c r="I92" s="1484"/>
      <c r="J92" s="1484"/>
      <c r="K92" s="1484"/>
      <c r="L92" s="1484"/>
      <c r="M92" s="1484"/>
      <c r="N92" s="1484"/>
      <c r="O92" s="1484"/>
      <c r="P92" s="1484"/>
      <c r="Q92" s="1484"/>
      <c r="R92" s="1484"/>
      <c r="S92" s="1484"/>
      <c r="T92" s="1484"/>
      <c r="U92" s="1484"/>
      <c r="V92" s="1485"/>
    </row>
    <row r="93" spans="1:22" s="814" customFormat="1" ht="130.5" customHeight="1" x14ac:dyDescent="0.3">
      <c r="A93" s="1492"/>
      <c r="B93" s="1493"/>
      <c r="C93" s="1486" t="s">
        <v>1155</v>
      </c>
      <c r="D93" s="1487"/>
      <c r="E93" s="1487"/>
      <c r="F93" s="1487"/>
      <c r="G93" s="1487"/>
      <c r="H93" s="1487"/>
      <c r="I93" s="1487"/>
      <c r="J93" s="1487"/>
      <c r="K93" s="1487"/>
      <c r="L93" s="1487"/>
      <c r="M93" s="1487"/>
      <c r="N93" s="1487"/>
      <c r="O93" s="1487"/>
      <c r="P93" s="1487"/>
      <c r="Q93" s="1487"/>
      <c r="R93" s="1487"/>
      <c r="S93" s="1487"/>
      <c r="T93" s="1487"/>
      <c r="U93" s="1487"/>
      <c r="V93" s="1488"/>
    </row>
    <row r="94" spans="1:22" s="875" customFormat="1" ht="203.25" customHeight="1" x14ac:dyDescent="0.3">
      <c r="A94" s="1492"/>
      <c r="B94" s="1493"/>
      <c r="C94" s="1489" t="s">
        <v>1156</v>
      </c>
      <c r="D94" s="1490"/>
      <c r="E94" s="1490"/>
      <c r="F94" s="1490"/>
      <c r="G94" s="1490"/>
      <c r="H94" s="1490"/>
      <c r="I94" s="1490"/>
      <c r="J94" s="1490"/>
      <c r="K94" s="1490"/>
      <c r="L94" s="1490"/>
      <c r="M94" s="1490"/>
      <c r="N94" s="1490"/>
      <c r="O94" s="1490"/>
      <c r="P94" s="1490"/>
      <c r="Q94" s="1490"/>
      <c r="R94" s="1490"/>
      <c r="S94" s="1490"/>
      <c r="T94" s="1490"/>
      <c r="U94" s="1490"/>
      <c r="V94" s="1491"/>
    </row>
    <row r="95" spans="1:22" s="875" customFormat="1" ht="62.25" customHeight="1" x14ac:dyDescent="0.3">
      <c r="A95" s="1492"/>
      <c r="B95" s="1493"/>
      <c r="C95" s="1496" t="s">
        <v>1157</v>
      </c>
      <c r="D95" s="1497"/>
      <c r="E95" s="1497"/>
      <c r="F95" s="1497"/>
      <c r="G95" s="1497"/>
      <c r="H95" s="1497"/>
      <c r="I95" s="1497"/>
      <c r="J95" s="1497"/>
      <c r="K95" s="1497"/>
      <c r="L95" s="1497"/>
      <c r="M95" s="1497"/>
      <c r="N95" s="1497"/>
      <c r="O95" s="1497"/>
      <c r="P95" s="1497"/>
      <c r="Q95" s="1497"/>
      <c r="R95" s="1497"/>
      <c r="S95" s="1497"/>
      <c r="T95" s="1497"/>
      <c r="U95" s="1497"/>
      <c r="V95" s="1498"/>
    </row>
    <row r="96" spans="1:22" s="875" customFormat="1" ht="50.25" customHeight="1" x14ac:dyDescent="0.3">
      <c r="A96" s="1492"/>
      <c r="B96" s="1493"/>
      <c r="C96" s="1486" t="s">
        <v>1158</v>
      </c>
      <c r="D96" s="1487"/>
      <c r="E96" s="1487"/>
      <c r="F96" s="1487"/>
      <c r="G96" s="1487"/>
      <c r="H96" s="1487"/>
      <c r="I96" s="1487"/>
      <c r="J96" s="1487"/>
      <c r="K96" s="1487"/>
      <c r="L96" s="1487"/>
      <c r="M96" s="1487"/>
      <c r="N96" s="1487"/>
      <c r="O96" s="1487"/>
      <c r="P96" s="1487"/>
      <c r="Q96" s="1487"/>
      <c r="R96" s="1487"/>
      <c r="S96" s="1487"/>
      <c r="T96" s="1487"/>
      <c r="U96" s="1487"/>
      <c r="V96" s="1488"/>
    </row>
    <row r="97" spans="1:22" s="814" customFormat="1" ht="50.25" customHeight="1" thickBot="1" x14ac:dyDescent="0.35">
      <c r="A97" s="1494"/>
      <c r="B97" s="1495"/>
      <c r="C97" s="1499" t="s">
        <v>1159</v>
      </c>
      <c r="D97" s="1500"/>
      <c r="E97" s="1500"/>
      <c r="F97" s="1500"/>
      <c r="G97" s="1500"/>
      <c r="H97" s="1500"/>
      <c r="I97" s="1500"/>
      <c r="J97" s="1500"/>
      <c r="K97" s="1500"/>
      <c r="L97" s="1500"/>
      <c r="M97" s="1500"/>
      <c r="N97" s="1500"/>
      <c r="O97" s="1500"/>
      <c r="P97" s="1500"/>
      <c r="Q97" s="1500"/>
      <c r="R97" s="1500"/>
      <c r="S97" s="1500"/>
      <c r="T97" s="1500"/>
      <c r="U97" s="1500"/>
      <c r="V97" s="1501"/>
    </row>
    <row r="98" spans="1:22" s="814" customFormat="1" ht="36" customHeight="1" x14ac:dyDescent="0.35">
      <c r="A98" s="1477"/>
      <c r="B98" s="1478"/>
      <c r="C98" s="876"/>
      <c r="D98" s="1477"/>
      <c r="E98" s="1478"/>
      <c r="F98" s="1478"/>
      <c r="G98" s="1478"/>
      <c r="H98" s="1478"/>
      <c r="I98" s="1478"/>
      <c r="J98" s="1478"/>
      <c r="K98" s="1478"/>
      <c r="L98" s="1478"/>
      <c r="M98" s="1478"/>
      <c r="N98" s="1478"/>
      <c r="O98" s="1478"/>
      <c r="P98" s="1478"/>
      <c r="Q98" s="1478"/>
      <c r="R98" s="1478"/>
      <c r="S98" s="1478"/>
      <c r="T98" s="1478"/>
      <c r="U98" s="1478"/>
      <c r="V98" s="816"/>
    </row>
    <row r="99" spans="1:22" s="877" customFormat="1" ht="38.1" customHeight="1" x14ac:dyDescent="0.3">
      <c r="A99" s="1479" t="s">
        <v>168</v>
      </c>
      <c r="B99" s="1480"/>
      <c r="C99" s="1480"/>
      <c r="D99" s="1480"/>
      <c r="E99" s="1480"/>
      <c r="F99" s="1481"/>
      <c r="G99" s="1481"/>
      <c r="H99" s="1481"/>
      <c r="I99" s="1481"/>
      <c r="J99" s="1481"/>
      <c r="K99" s="1481"/>
      <c r="L99" s="1481"/>
      <c r="M99" s="1481"/>
      <c r="N99" s="1481"/>
      <c r="O99" s="1481"/>
      <c r="P99" s="1481"/>
      <c r="Q99" s="1481"/>
      <c r="R99" s="1481"/>
      <c r="S99" s="1481"/>
      <c r="T99" s="1481"/>
      <c r="U99" s="1481"/>
      <c r="V99" s="1481"/>
    </row>
    <row r="100" spans="1:22" s="877" customFormat="1" ht="33" customHeight="1" x14ac:dyDescent="0.3">
      <c r="A100" s="1475" t="s">
        <v>169</v>
      </c>
      <c r="B100" s="1475"/>
      <c r="C100" s="1475"/>
      <c r="D100" s="1475"/>
      <c r="E100" s="1475"/>
      <c r="F100" s="1476"/>
      <c r="G100" s="1476"/>
      <c r="H100" s="1476"/>
      <c r="I100" s="1476"/>
      <c r="J100" s="1476"/>
      <c r="K100" s="1476"/>
      <c r="L100" s="1476"/>
      <c r="M100" s="1476"/>
      <c r="N100" s="1476"/>
      <c r="O100" s="1476"/>
      <c r="P100" s="1476"/>
      <c r="Q100" s="1476"/>
      <c r="R100" s="1476"/>
      <c r="S100" s="1476"/>
      <c r="T100" s="1476"/>
      <c r="U100" s="1476"/>
      <c r="V100" s="1476"/>
    </row>
    <row r="101" spans="1:22" s="877" customFormat="1" ht="30" customHeight="1" x14ac:dyDescent="0.3">
      <c r="A101" s="1475" t="s">
        <v>170</v>
      </c>
      <c r="B101" s="1482"/>
      <c r="C101" s="1482"/>
      <c r="D101" s="1482"/>
      <c r="E101" s="1482"/>
      <c r="F101" s="1476"/>
      <c r="G101" s="1476"/>
      <c r="H101" s="1476"/>
      <c r="I101" s="1476"/>
      <c r="J101" s="1476"/>
      <c r="K101" s="1476"/>
      <c r="L101" s="1476"/>
      <c r="M101" s="1476"/>
      <c r="N101" s="1476"/>
      <c r="O101" s="1476"/>
      <c r="P101" s="1476"/>
      <c r="Q101" s="1476"/>
      <c r="R101" s="1476"/>
      <c r="S101" s="1476"/>
      <c r="T101" s="1476"/>
      <c r="U101" s="1476"/>
      <c r="V101" s="1476"/>
    </row>
    <row r="102" spans="1:22" s="877" customFormat="1" ht="32.25" customHeight="1" x14ac:dyDescent="0.3">
      <c r="A102" s="1475" t="s">
        <v>171</v>
      </c>
      <c r="B102" s="1475"/>
      <c r="C102" s="1475"/>
      <c r="D102" s="1475"/>
      <c r="E102" s="1475"/>
      <c r="F102" s="1476"/>
      <c r="G102" s="1476"/>
      <c r="H102" s="1476"/>
      <c r="I102" s="1476"/>
      <c r="J102" s="1476"/>
      <c r="K102" s="1476"/>
      <c r="L102" s="1476"/>
      <c r="M102" s="1476"/>
      <c r="N102" s="1476"/>
      <c r="O102" s="1476"/>
      <c r="P102" s="1476"/>
      <c r="Q102" s="1476"/>
      <c r="R102" s="1476"/>
      <c r="S102" s="1476"/>
      <c r="T102" s="1476"/>
      <c r="U102" s="1476"/>
      <c r="V102" s="1476"/>
    </row>
    <row r="103" spans="1:22" s="877" customFormat="1" ht="30.75" customHeight="1" x14ac:dyDescent="0.3">
      <c r="A103" s="1475" t="s">
        <v>874</v>
      </c>
      <c r="B103" s="1474"/>
      <c r="C103" s="1474"/>
      <c r="D103" s="1474"/>
      <c r="E103" s="1474"/>
      <c r="F103" s="1474"/>
      <c r="G103" s="1474"/>
      <c r="H103" s="1474"/>
      <c r="I103" s="1474"/>
      <c r="J103" s="1474"/>
      <c r="K103" s="1474"/>
      <c r="L103" s="1474"/>
      <c r="M103" s="1474"/>
      <c r="N103" s="1474"/>
      <c r="O103" s="1474"/>
      <c r="P103" s="1474"/>
      <c r="Q103" s="1474"/>
      <c r="R103" s="1474"/>
      <c r="S103" s="1474"/>
      <c r="T103" s="1474"/>
      <c r="U103" s="1474"/>
      <c r="V103" s="1474"/>
    </row>
    <row r="104" spans="1:22" s="877" customFormat="1" ht="30.75" customHeight="1" x14ac:dyDescent="0.3">
      <c r="A104" s="1475" t="s">
        <v>875</v>
      </c>
      <c r="B104" s="1474"/>
      <c r="C104" s="1474"/>
      <c r="D104" s="1474"/>
      <c r="E104" s="1474"/>
      <c r="F104" s="1474"/>
      <c r="G104" s="1474"/>
      <c r="H104" s="1474"/>
      <c r="I104" s="1474"/>
      <c r="J104" s="1474"/>
      <c r="K104" s="1474"/>
      <c r="L104" s="1474"/>
      <c r="M104" s="1474"/>
      <c r="N104" s="1474"/>
      <c r="O104" s="1474"/>
      <c r="P104" s="1474"/>
      <c r="Q104" s="1474"/>
      <c r="R104" s="1474"/>
      <c r="S104" s="1474"/>
      <c r="T104" s="1474"/>
      <c r="U104" s="1474"/>
      <c r="V104" s="1474"/>
    </row>
    <row r="105" spans="1:22" s="877" customFormat="1" ht="29.25" customHeight="1" x14ac:dyDescent="0.3">
      <c r="A105" s="1475" t="s">
        <v>876</v>
      </c>
      <c r="B105" s="1474"/>
      <c r="C105" s="1474"/>
      <c r="D105" s="1474"/>
      <c r="E105" s="1474"/>
      <c r="F105" s="1474"/>
      <c r="G105" s="1474"/>
      <c r="H105" s="1474"/>
      <c r="I105" s="1474"/>
      <c r="J105" s="1474"/>
      <c r="K105" s="1474"/>
      <c r="L105" s="1474"/>
      <c r="M105" s="1474"/>
      <c r="N105" s="1474"/>
      <c r="O105" s="1474"/>
      <c r="P105" s="1474"/>
      <c r="Q105" s="1474"/>
      <c r="R105" s="1474"/>
      <c r="S105" s="1474"/>
      <c r="T105" s="1474"/>
      <c r="U105" s="1474"/>
      <c r="V105" s="1474"/>
    </row>
    <row r="106" spans="1:22" s="877" customFormat="1" ht="48" customHeight="1" x14ac:dyDescent="0.3">
      <c r="A106" s="1475" t="s">
        <v>877</v>
      </c>
      <c r="B106" s="1475"/>
      <c r="C106" s="1475"/>
      <c r="D106" s="1475"/>
      <c r="E106" s="1475"/>
      <c r="F106" s="1476"/>
      <c r="G106" s="1476"/>
      <c r="H106" s="1476"/>
      <c r="I106" s="1476"/>
      <c r="J106" s="1476"/>
      <c r="K106" s="1476"/>
      <c r="L106" s="1476"/>
      <c r="M106" s="1476"/>
      <c r="N106" s="1476"/>
      <c r="O106" s="1476"/>
      <c r="P106" s="1476"/>
      <c r="Q106" s="1476"/>
      <c r="R106" s="1476"/>
      <c r="S106" s="1476"/>
      <c r="T106" s="1476"/>
      <c r="U106" s="1476"/>
      <c r="V106" s="1476"/>
    </row>
    <row r="107" spans="1:22" ht="28.5" customHeight="1" x14ac:dyDescent="0.3">
      <c r="A107" s="1474" t="s">
        <v>878</v>
      </c>
      <c r="B107" s="1474"/>
      <c r="C107" s="1474"/>
      <c r="D107" s="1474"/>
      <c r="E107" s="1474"/>
      <c r="F107" s="1474"/>
      <c r="G107" s="1474"/>
      <c r="H107" s="1474"/>
      <c r="I107" s="1474"/>
      <c r="J107" s="1474"/>
      <c r="K107" s="1474"/>
      <c r="L107" s="1474"/>
      <c r="M107" s="1474"/>
      <c r="N107" s="1474"/>
      <c r="O107" s="1474"/>
      <c r="P107" s="1474"/>
      <c r="Q107" s="1474"/>
      <c r="R107" s="1474"/>
      <c r="S107" s="1474"/>
      <c r="T107" s="1474"/>
      <c r="U107" s="1474"/>
      <c r="V107" s="1474"/>
    </row>
    <row r="108" spans="1:22" ht="28.5" customHeight="1" x14ac:dyDescent="0.3">
      <c r="A108" s="1474" t="s">
        <v>879</v>
      </c>
      <c r="B108" s="1474"/>
      <c r="C108" s="1474"/>
      <c r="D108" s="1474"/>
      <c r="E108" s="1474"/>
      <c r="F108" s="1474"/>
      <c r="G108" s="1474"/>
      <c r="H108" s="1474"/>
      <c r="I108" s="1474"/>
      <c r="J108" s="1474"/>
      <c r="K108" s="1474"/>
      <c r="L108" s="1474"/>
      <c r="M108" s="1474"/>
      <c r="N108" s="1474"/>
      <c r="O108" s="1474"/>
      <c r="P108" s="1474"/>
      <c r="Q108" s="1474"/>
      <c r="R108" s="1474"/>
      <c r="S108" s="1474"/>
      <c r="T108" s="1474"/>
      <c r="U108" s="1474"/>
      <c r="V108" s="1474"/>
    </row>
    <row r="109" spans="1:22" ht="28.5" customHeight="1" x14ac:dyDescent="0.3">
      <c r="A109" s="1474" t="s">
        <v>880</v>
      </c>
      <c r="B109" s="1474"/>
      <c r="C109" s="1474"/>
      <c r="D109" s="1474"/>
      <c r="E109" s="1474"/>
      <c r="F109" s="1474"/>
      <c r="G109" s="1474"/>
      <c r="H109" s="1474"/>
      <c r="I109" s="1474"/>
      <c r="J109" s="1474"/>
      <c r="K109" s="1474"/>
      <c r="L109" s="1474"/>
      <c r="M109" s="1474"/>
      <c r="N109" s="1474"/>
      <c r="O109" s="1474"/>
      <c r="P109" s="1474"/>
      <c r="Q109" s="1474"/>
      <c r="R109" s="1474"/>
      <c r="S109" s="1474"/>
      <c r="T109" s="1474"/>
      <c r="U109" s="1474"/>
      <c r="V109" s="1474"/>
    </row>
  </sheetData>
  <mergeCells count="116">
    <mergeCell ref="A1:V1"/>
    <mergeCell ref="C3:V3"/>
    <mergeCell ref="C4:V4"/>
    <mergeCell ref="C5:V5"/>
    <mergeCell ref="C6:V6"/>
    <mergeCell ref="C7:V7"/>
    <mergeCell ref="A14:A16"/>
    <mergeCell ref="B14:B16"/>
    <mergeCell ref="C14:C16"/>
    <mergeCell ref="D14:D16"/>
    <mergeCell ref="E14:F15"/>
    <mergeCell ref="G14:H15"/>
    <mergeCell ref="C8:V8"/>
    <mergeCell ref="C9:V9"/>
    <mergeCell ref="C10:V10"/>
    <mergeCell ref="C11:V11"/>
    <mergeCell ref="C12:V12"/>
    <mergeCell ref="D13:V13"/>
    <mergeCell ref="I14:J15"/>
    <mergeCell ref="K14:P14"/>
    <mergeCell ref="Q14:V14"/>
    <mergeCell ref="K15:L15"/>
    <mergeCell ref="M15:N15"/>
    <mergeCell ref="O15:P15"/>
    <mergeCell ref="Q15:R15"/>
    <mergeCell ref="S15:T15"/>
    <mergeCell ref="U15:V15"/>
    <mergeCell ref="A30:A31"/>
    <mergeCell ref="B30:B31"/>
    <mergeCell ref="A32:A33"/>
    <mergeCell ref="B32:B33"/>
    <mergeCell ref="A34:A35"/>
    <mergeCell ref="B34:B35"/>
    <mergeCell ref="D18:V18"/>
    <mergeCell ref="A24:A25"/>
    <mergeCell ref="B24:B25"/>
    <mergeCell ref="A26:A27"/>
    <mergeCell ref="B26:B27"/>
    <mergeCell ref="A28:A29"/>
    <mergeCell ref="B28:B29"/>
    <mergeCell ref="A42:A43"/>
    <mergeCell ref="B42:B43"/>
    <mergeCell ref="A44:A45"/>
    <mergeCell ref="B44:B45"/>
    <mergeCell ref="A46:A47"/>
    <mergeCell ref="B46:B47"/>
    <mergeCell ref="A36:A37"/>
    <mergeCell ref="B36:B37"/>
    <mergeCell ref="A38:A39"/>
    <mergeCell ref="B38:B39"/>
    <mergeCell ref="A40:A41"/>
    <mergeCell ref="B40:B41"/>
    <mergeCell ref="A54:A55"/>
    <mergeCell ref="B54:B55"/>
    <mergeCell ref="A56:A57"/>
    <mergeCell ref="B56:B57"/>
    <mergeCell ref="A58:A59"/>
    <mergeCell ref="B58:B59"/>
    <mergeCell ref="A48:A49"/>
    <mergeCell ref="B48:B49"/>
    <mergeCell ref="A50:A51"/>
    <mergeCell ref="B50:B51"/>
    <mergeCell ref="A52:A53"/>
    <mergeCell ref="B52:B53"/>
    <mergeCell ref="A66:A67"/>
    <mergeCell ref="B66:B67"/>
    <mergeCell ref="A68:A69"/>
    <mergeCell ref="B68:B69"/>
    <mergeCell ref="A70:A71"/>
    <mergeCell ref="B70:B71"/>
    <mergeCell ref="A60:A61"/>
    <mergeCell ref="B60:B61"/>
    <mergeCell ref="A62:A63"/>
    <mergeCell ref="B62:B63"/>
    <mergeCell ref="A64:A65"/>
    <mergeCell ref="B64:B65"/>
    <mergeCell ref="A72:A73"/>
    <mergeCell ref="B72:B73"/>
    <mergeCell ref="A76:B85"/>
    <mergeCell ref="C76:V76"/>
    <mergeCell ref="C77:V77"/>
    <mergeCell ref="C78:V78"/>
    <mergeCell ref="C79:V79"/>
    <mergeCell ref="C80:V80"/>
    <mergeCell ref="C81:V81"/>
    <mergeCell ref="C82:V82"/>
    <mergeCell ref="C92:V92"/>
    <mergeCell ref="C93:V93"/>
    <mergeCell ref="C94:V94"/>
    <mergeCell ref="A95:B97"/>
    <mergeCell ref="C95:V95"/>
    <mergeCell ref="C96:V96"/>
    <mergeCell ref="C97:V97"/>
    <mergeCell ref="C83:V83"/>
    <mergeCell ref="C84:V84"/>
    <mergeCell ref="C85:V85"/>
    <mergeCell ref="A86:B94"/>
    <mergeCell ref="C86:V86"/>
    <mergeCell ref="C87:V87"/>
    <mergeCell ref="C88:V88"/>
    <mergeCell ref="C89:V89"/>
    <mergeCell ref="C90:V90"/>
    <mergeCell ref="C91:V91"/>
    <mergeCell ref="A109:V109"/>
    <mergeCell ref="A103:V103"/>
    <mergeCell ref="A104:V104"/>
    <mergeCell ref="A105:V105"/>
    <mergeCell ref="A106:V106"/>
    <mergeCell ref="A107:V107"/>
    <mergeCell ref="A108:V108"/>
    <mergeCell ref="A98:B98"/>
    <mergeCell ref="D98:U98"/>
    <mergeCell ref="A99:V99"/>
    <mergeCell ref="A100:V100"/>
    <mergeCell ref="A101:V101"/>
    <mergeCell ref="A102:V102"/>
  </mergeCells>
  <pageMargins left="0.39370078740157483" right="0.39370078740157483" top="0.78740157480314965" bottom="0.19685039370078741" header="0.59055118110236227" footer="0"/>
  <pageSetup paperSize="9" scale="67" firstPageNumber="444" fitToHeight="0" orientation="landscape" useFirstPageNumber="1" r:id="rId1"/>
  <headerFooter scaleWithDoc="0" alignWithMargins="0">
    <oddHeader>&amp;C&amp;P</oddHeader>
  </headerFooter>
  <rowBreaks count="5" manualBreakCount="5">
    <brk id="33" max="21" man="1"/>
    <brk id="45" max="21" man="1"/>
    <brk id="57" max="21" man="1"/>
    <brk id="85" max="21" man="1"/>
    <brk id="94" max="21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7"/>
  <dimension ref="A1:Z105"/>
  <sheetViews>
    <sheetView topLeftCell="A28" zoomScale="85" zoomScaleNormal="85" workbookViewId="0">
      <selection activeCell="E43" sqref="E43"/>
    </sheetView>
  </sheetViews>
  <sheetFormatPr defaultColWidth="5.44140625" defaultRowHeight="14.4" x14ac:dyDescent="0.3"/>
  <cols>
    <col min="1" max="1" width="5" style="634" customWidth="1"/>
    <col min="2" max="2" width="17.33203125" style="634" customWidth="1"/>
    <col min="3" max="3" width="10.109375" style="634" customWidth="1"/>
    <col min="4" max="4" width="9.6640625" style="634" customWidth="1"/>
    <col min="5" max="22" width="9.33203125" style="634" customWidth="1"/>
    <col min="23" max="256" width="5.44140625" style="634"/>
    <col min="257" max="257" width="5" style="634" customWidth="1"/>
    <col min="258" max="258" width="17.33203125" style="634" customWidth="1"/>
    <col min="259" max="259" width="10.109375" style="634" customWidth="1"/>
    <col min="260" max="260" width="9.6640625" style="634" customWidth="1"/>
    <col min="261" max="278" width="9.33203125" style="634" customWidth="1"/>
    <col min="279" max="512" width="5.44140625" style="634"/>
    <col min="513" max="513" width="5" style="634" customWidth="1"/>
    <col min="514" max="514" width="17.33203125" style="634" customWidth="1"/>
    <col min="515" max="515" width="10.109375" style="634" customWidth="1"/>
    <col min="516" max="516" width="9.6640625" style="634" customWidth="1"/>
    <col min="517" max="534" width="9.33203125" style="634" customWidth="1"/>
    <col min="535" max="768" width="5.44140625" style="634"/>
    <col min="769" max="769" width="5" style="634" customWidth="1"/>
    <col min="770" max="770" width="17.33203125" style="634" customWidth="1"/>
    <col min="771" max="771" width="10.109375" style="634" customWidth="1"/>
    <col min="772" max="772" width="9.6640625" style="634" customWidth="1"/>
    <col min="773" max="790" width="9.33203125" style="634" customWidth="1"/>
    <col min="791" max="1024" width="5.44140625" style="634"/>
    <col min="1025" max="1025" width="5" style="634" customWidth="1"/>
    <col min="1026" max="1026" width="17.33203125" style="634" customWidth="1"/>
    <col min="1027" max="1027" width="10.109375" style="634" customWidth="1"/>
    <col min="1028" max="1028" width="9.6640625" style="634" customWidth="1"/>
    <col min="1029" max="1046" width="9.33203125" style="634" customWidth="1"/>
    <col min="1047" max="1280" width="5.44140625" style="634"/>
    <col min="1281" max="1281" width="5" style="634" customWidth="1"/>
    <col min="1282" max="1282" width="17.33203125" style="634" customWidth="1"/>
    <col min="1283" max="1283" width="10.109375" style="634" customWidth="1"/>
    <col min="1284" max="1284" width="9.6640625" style="634" customWidth="1"/>
    <col min="1285" max="1302" width="9.33203125" style="634" customWidth="1"/>
    <col min="1303" max="1536" width="5.44140625" style="634"/>
    <col min="1537" max="1537" width="5" style="634" customWidth="1"/>
    <col min="1538" max="1538" width="17.33203125" style="634" customWidth="1"/>
    <col min="1539" max="1539" width="10.109375" style="634" customWidth="1"/>
    <col min="1540" max="1540" width="9.6640625" style="634" customWidth="1"/>
    <col min="1541" max="1558" width="9.33203125" style="634" customWidth="1"/>
    <col min="1559" max="1792" width="5.44140625" style="634"/>
    <col min="1793" max="1793" width="5" style="634" customWidth="1"/>
    <col min="1794" max="1794" width="17.33203125" style="634" customWidth="1"/>
    <col min="1795" max="1795" width="10.109375" style="634" customWidth="1"/>
    <col min="1796" max="1796" width="9.6640625" style="634" customWidth="1"/>
    <col min="1797" max="1814" width="9.33203125" style="634" customWidth="1"/>
    <col min="1815" max="2048" width="5.44140625" style="634"/>
    <col min="2049" max="2049" width="5" style="634" customWidth="1"/>
    <col min="2050" max="2050" width="17.33203125" style="634" customWidth="1"/>
    <col min="2051" max="2051" width="10.109375" style="634" customWidth="1"/>
    <col min="2052" max="2052" width="9.6640625" style="634" customWidth="1"/>
    <col min="2053" max="2070" width="9.33203125" style="634" customWidth="1"/>
    <col min="2071" max="2304" width="5.44140625" style="634"/>
    <col min="2305" max="2305" width="5" style="634" customWidth="1"/>
    <col min="2306" max="2306" width="17.33203125" style="634" customWidth="1"/>
    <col min="2307" max="2307" width="10.109375" style="634" customWidth="1"/>
    <col min="2308" max="2308" width="9.6640625" style="634" customWidth="1"/>
    <col min="2309" max="2326" width="9.33203125" style="634" customWidth="1"/>
    <col min="2327" max="2560" width="5.44140625" style="634"/>
    <col min="2561" max="2561" width="5" style="634" customWidth="1"/>
    <col min="2562" max="2562" width="17.33203125" style="634" customWidth="1"/>
    <col min="2563" max="2563" width="10.109375" style="634" customWidth="1"/>
    <col min="2564" max="2564" width="9.6640625" style="634" customWidth="1"/>
    <col min="2565" max="2582" width="9.33203125" style="634" customWidth="1"/>
    <col min="2583" max="2816" width="5.44140625" style="634"/>
    <col min="2817" max="2817" width="5" style="634" customWidth="1"/>
    <col min="2818" max="2818" width="17.33203125" style="634" customWidth="1"/>
    <col min="2819" max="2819" width="10.109375" style="634" customWidth="1"/>
    <col min="2820" max="2820" width="9.6640625" style="634" customWidth="1"/>
    <col min="2821" max="2838" width="9.33203125" style="634" customWidth="1"/>
    <col min="2839" max="3072" width="5.44140625" style="634"/>
    <col min="3073" max="3073" width="5" style="634" customWidth="1"/>
    <col min="3074" max="3074" width="17.33203125" style="634" customWidth="1"/>
    <col min="3075" max="3075" width="10.109375" style="634" customWidth="1"/>
    <col min="3076" max="3076" width="9.6640625" style="634" customWidth="1"/>
    <col min="3077" max="3094" width="9.33203125" style="634" customWidth="1"/>
    <col min="3095" max="3328" width="5.44140625" style="634"/>
    <col min="3329" max="3329" width="5" style="634" customWidth="1"/>
    <col min="3330" max="3330" width="17.33203125" style="634" customWidth="1"/>
    <col min="3331" max="3331" width="10.109375" style="634" customWidth="1"/>
    <col min="3332" max="3332" width="9.6640625" style="634" customWidth="1"/>
    <col min="3333" max="3350" width="9.33203125" style="634" customWidth="1"/>
    <col min="3351" max="3584" width="5.44140625" style="634"/>
    <col min="3585" max="3585" width="5" style="634" customWidth="1"/>
    <col min="3586" max="3586" width="17.33203125" style="634" customWidth="1"/>
    <col min="3587" max="3587" width="10.109375" style="634" customWidth="1"/>
    <col min="3588" max="3588" width="9.6640625" style="634" customWidth="1"/>
    <col min="3589" max="3606" width="9.33203125" style="634" customWidth="1"/>
    <col min="3607" max="3840" width="5.44140625" style="634"/>
    <col min="3841" max="3841" width="5" style="634" customWidth="1"/>
    <col min="3842" max="3842" width="17.33203125" style="634" customWidth="1"/>
    <col min="3843" max="3843" width="10.109375" style="634" customWidth="1"/>
    <col min="3844" max="3844" width="9.6640625" style="634" customWidth="1"/>
    <col min="3845" max="3862" width="9.33203125" style="634" customWidth="1"/>
    <col min="3863" max="4096" width="5.44140625" style="634"/>
    <col min="4097" max="4097" width="5" style="634" customWidth="1"/>
    <col min="4098" max="4098" width="17.33203125" style="634" customWidth="1"/>
    <col min="4099" max="4099" width="10.109375" style="634" customWidth="1"/>
    <col min="4100" max="4100" width="9.6640625" style="634" customWidth="1"/>
    <col min="4101" max="4118" width="9.33203125" style="634" customWidth="1"/>
    <col min="4119" max="4352" width="5.44140625" style="634"/>
    <col min="4353" max="4353" width="5" style="634" customWidth="1"/>
    <col min="4354" max="4354" width="17.33203125" style="634" customWidth="1"/>
    <col min="4355" max="4355" width="10.109375" style="634" customWidth="1"/>
    <col min="4356" max="4356" width="9.6640625" style="634" customWidth="1"/>
    <col min="4357" max="4374" width="9.33203125" style="634" customWidth="1"/>
    <col min="4375" max="4608" width="5.44140625" style="634"/>
    <col min="4609" max="4609" width="5" style="634" customWidth="1"/>
    <col min="4610" max="4610" width="17.33203125" style="634" customWidth="1"/>
    <col min="4611" max="4611" width="10.109375" style="634" customWidth="1"/>
    <col min="4612" max="4612" width="9.6640625" style="634" customWidth="1"/>
    <col min="4613" max="4630" width="9.33203125" style="634" customWidth="1"/>
    <col min="4631" max="4864" width="5.44140625" style="634"/>
    <col min="4865" max="4865" width="5" style="634" customWidth="1"/>
    <col min="4866" max="4866" width="17.33203125" style="634" customWidth="1"/>
    <col min="4867" max="4867" width="10.109375" style="634" customWidth="1"/>
    <col min="4868" max="4868" width="9.6640625" style="634" customWidth="1"/>
    <col min="4869" max="4886" width="9.33203125" style="634" customWidth="1"/>
    <col min="4887" max="5120" width="5.44140625" style="634"/>
    <col min="5121" max="5121" width="5" style="634" customWidth="1"/>
    <col min="5122" max="5122" width="17.33203125" style="634" customWidth="1"/>
    <col min="5123" max="5123" width="10.109375" style="634" customWidth="1"/>
    <col min="5124" max="5124" width="9.6640625" style="634" customWidth="1"/>
    <col min="5125" max="5142" width="9.33203125" style="634" customWidth="1"/>
    <col min="5143" max="5376" width="5.44140625" style="634"/>
    <col min="5377" max="5377" width="5" style="634" customWidth="1"/>
    <col min="5378" max="5378" width="17.33203125" style="634" customWidth="1"/>
    <col min="5379" max="5379" width="10.109375" style="634" customWidth="1"/>
    <col min="5380" max="5380" width="9.6640625" style="634" customWidth="1"/>
    <col min="5381" max="5398" width="9.33203125" style="634" customWidth="1"/>
    <col min="5399" max="5632" width="5.44140625" style="634"/>
    <col min="5633" max="5633" width="5" style="634" customWidth="1"/>
    <col min="5634" max="5634" width="17.33203125" style="634" customWidth="1"/>
    <col min="5635" max="5635" width="10.109375" style="634" customWidth="1"/>
    <col min="5636" max="5636" width="9.6640625" style="634" customWidth="1"/>
    <col min="5637" max="5654" width="9.33203125" style="634" customWidth="1"/>
    <col min="5655" max="5888" width="5.44140625" style="634"/>
    <col min="5889" max="5889" width="5" style="634" customWidth="1"/>
    <col min="5890" max="5890" width="17.33203125" style="634" customWidth="1"/>
    <col min="5891" max="5891" width="10.109375" style="634" customWidth="1"/>
    <col min="5892" max="5892" width="9.6640625" style="634" customWidth="1"/>
    <col min="5893" max="5910" width="9.33203125" style="634" customWidth="1"/>
    <col min="5911" max="6144" width="5.44140625" style="634"/>
    <col min="6145" max="6145" width="5" style="634" customWidth="1"/>
    <col min="6146" max="6146" width="17.33203125" style="634" customWidth="1"/>
    <col min="6147" max="6147" width="10.109375" style="634" customWidth="1"/>
    <col min="6148" max="6148" width="9.6640625" style="634" customWidth="1"/>
    <col min="6149" max="6166" width="9.33203125" style="634" customWidth="1"/>
    <col min="6167" max="6400" width="5.44140625" style="634"/>
    <col min="6401" max="6401" width="5" style="634" customWidth="1"/>
    <col min="6402" max="6402" width="17.33203125" style="634" customWidth="1"/>
    <col min="6403" max="6403" width="10.109375" style="634" customWidth="1"/>
    <col min="6404" max="6404" width="9.6640625" style="634" customWidth="1"/>
    <col min="6405" max="6422" width="9.33203125" style="634" customWidth="1"/>
    <col min="6423" max="6656" width="5.44140625" style="634"/>
    <col min="6657" max="6657" width="5" style="634" customWidth="1"/>
    <col min="6658" max="6658" width="17.33203125" style="634" customWidth="1"/>
    <col min="6659" max="6659" width="10.109375" style="634" customWidth="1"/>
    <col min="6660" max="6660" width="9.6640625" style="634" customWidth="1"/>
    <col min="6661" max="6678" width="9.33203125" style="634" customWidth="1"/>
    <col min="6679" max="6912" width="5.44140625" style="634"/>
    <col min="6913" max="6913" width="5" style="634" customWidth="1"/>
    <col min="6914" max="6914" width="17.33203125" style="634" customWidth="1"/>
    <col min="6915" max="6915" width="10.109375" style="634" customWidth="1"/>
    <col min="6916" max="6916" width="9.6640625" style="634" customWidth="1"/>
    <col min="6917" max="6934" width="9.33203125" style="634" customWidth="1"/>
    <col min="6935" max="7168" width="5.44140625" style="634"/>
    <col min="7169" max="7169" width="5" style="634" customWidth="1"/>
    <col min="7170" max="7170" width="17.33203125" style="634" customWidth="1"/>
    <col min="7171" max="7171" width="10.109375" style="634" customWidth="1"/>
    <col min="7172" max="7172" width="9.6640625" style="634" customWidth="1"/>
    <col min="7173" max="7190" width="9.33203125" style="634" customWidth="1"/>
    <col min="7191" max="7424" width="5.44140625" style="634"/>
    <col min="7425" max="7425" width="5" style="634" customWidth="1"/>
    <col min="7426" max="7426" width="17.33203125" style="634" customWidth="1"/>
    <col min="7427" max="7427" width="10.109375" style="634" customWidth="1"/>
    <col min="7428" max="7428" width="9.6640625" style="634" customWidth="1"/>
    <col min="7429" max="7446" width="9.33203125" style="634" customWidth="1"/>
    <col min="7447" max="7680" width="5.44140625" style="634"/>
    <col min="7681" max="7681" width="5" style="634" customWidth="1"/>
    <col min="7682" max="7682" width="17.33203125" style="634" customWidth="1"/>
    <col min="7683" max="7683" width="10.109375" style="634" customWidth="1"/>
    <col min="7684" max="7684" width="9.6640625" style="634" customWidth="1"/>
    <col min="7685" max="7702" width="9.33203125" style="634" customWidth="1"/>
    <col min="7703" max="7936" width="5.44140625" style="634"/>
    <col min="7937" max="7937" width="5" style="634" customWidth="1"/>
    <col min="7938" max="7938" width="17.33203125" style="634" customWidth="1"/>
    <col min="7939" max="7939" width="10.109375" style="634" customWidth="1"/>
    <col min="7940" max="7940" width="9.6640625" style="634" customWidth="1"/>
    <col min="7941" max="7958" width="9.33203125" style="634" customWidth="1"/>
    <col min="7959" max="8192" width="5.44140625" style="634"/>
    <col min="8193" max="8193" width="5" style="634" customWidth="1"/>
    <col min="8194" max="8194" width="17.33203125" style="634" customWidth="1"/>
    <col min="8195" max="8195" width="10.109375" style="634" customWidth="1"/>
    <col min="8196" max="8196" width="9.6640625" style="634" customWidth="1"/>
    <col min="8197" max="8214" width="9.33203125" style="634" customWidth="1"/>
    <col min="8215" max="8448" width="5.44140625" style="634"/>
    <col min="8449" max="8449" width="5" style="634" customWidth="1"/>
    <col min="8450" max="8450" width="17.33203125" style="634" customWidth="1"/>
    <col min="8451" max="8451" width="10.109375" style="634" customWidth="1"/>
    <col min="8452" max="8452" width="9.6640625" style="634" customWidth="1"/>
    <col min="8453" max="8470" width="9.33203125" style="634" customWidth="1"/>
    <col min="8471" max="8704" width="5.44140625" style="634"/>
    <col min="8705" max="8705" width="5" style="634" customWidth="1"/>
    <col min="8706" max="8706" width="17.33203125" style="634" customWidth="1"/>
    <col min="8707" max="8707" width="10.109375" style="634" customWidth="1"/>
    <col min="8708" max="8708" width="9.6640625" style="634" customWidth="1"/>
    <col min="8709" max="8726" width="9.33203125" style="634" customWidth="1"/>
    <col min="8727" max="8960" width="5.44140625" style="634"/>
    <col min="8961" max="8961" width="5" style="634" customWidth="1"/>
    <col min="8962" max="8962" width="17.33203125" style="634" customWidth="1"/>
    <col min="8963" max="8963" width="10.109375" style="634" customWidth="1"/>
    <col min="8964" max="8964" width="9.6640625" style="634" customWidth="1"/>
    <col min="8965" max="8982" width="9.33203125" style="634" customWidth="1"/>
    <col min="8983" max="9216" width="5.44140625" style="634"/>
    <col min="9217" max="9217" width="5" style="634" customWidth="1"/>
    <col min="9218" max="9218" width="17.33203125" style="634" customWidth="1"/>
    <col min="9219" max="9219" width="10.109375" style="634" customWidth="1"/>
    <col min="9220" max="9220" width="9.6640625" style="634" customWidth="1"/>
    <col min="9221" max="9238" width="9.33203125" style="634" customWidth="1"/>
    <col min="9239" max="9472" width="5.44140625" style="634"/>
    <col min="9473" max="9473" width="5" style="634" customWidth="1"/>
    <col min="9474" max="9474" width="17.33203125" style="634" customWidth="1"/>
    <col min="9475" max="9475" width="10.109375" style="634" customWidth="1"/>
    <col min="9476" max="9476" width="9.6640625" style="634" customWidth="1"/>
    <col min="9477" max="9494" width="9.33203125" style="634" customWidth="1"/>
    <col min="9495" max="9728" width="5.44140625" style="634"/>
    <col min="9729" max="9729" width="5" style="634" customWidth="1"/>
    <col min="9730" max="9730" width="17.33203125" style="634" customWidth="1"/>
    <col min="9731" max="9731" width="10.109375" style="634" customWidth="1"/>
    <col min="9732" max="9732" width="9.6640625" style="634" customWidth="1"/>
    <col min="9733" max="9750" width="9.33203125" style="634" customWidth="1"/>
    <col min="9751" max="9984" width="5.44140625" style="634"/>
    <col min="9985" max="9985" width="5" style="634" customWidth="1"/>
    <col min="9986" max="9986" width="17.33203125" style="634" customWidth="1"/>
    <col min="9987" max="9987" width="10.109375" style="634" customWidth="1"/>
    <col min="9988" max="9988" width="9.6640625" style="634" customWidth="1"/>
    <col min="9989" max="10006" width="9.33203125" style="634" customWidth="1"/>
    <col min="10007" max="10240" width="5.44140625" style="634"/>
    <col min="10241" max="10241" width="5" style="634" customWidth="1"/>
    <col min="10242" max="10242" width="17.33203125" style="634" customWidth="1"/>
    <col min="10243" max="10243" width="10.109375" style="634" customWidth="1"/>
    <col min="10244" max="10244" width="9.6640625" style="634" customWidth="1"/>
    <col min="10245" max="10262" width="9.33203125" style="634" customWidth="1"/>
    <col min="10263" max="10496" width="5.44140625" style="634"/>
    <col min="10497" max="10497" width="5" style="634" customWidth="1"/>
    <col min="10498" max="10498" width="17.33203125" style="634" customWidth="1"/>
    <col min="10499" max="10499" width="10.109375" style="634" customWidth="1"/>
    <col min="10500" max="10500" width="9.6640625" style="634" customWidth="1"/>
    <col min="10501" max="10518" width="9.33203125" style="634" customWidth="1"/>
    <col min="10519" max="10752" width="5.44140625" style="634"/>
    <col min="10753" max="10753" width="5" style="634" customWidth="1"/>
    <col min="10754" max="10754" width="17.33203125" style="634" customWidth="1"/>
    <col min="10755" max="10755" width="10.109375" style="634" customWidth="1"/>
    <col min="10756" max="10756" width="9.6640625" style="634" customWidth="1"/>
    <col min="10757" max="10774" width="9.33203125" style="634" customWidth="1"/>
    <col min="10775" max="11008" width="5.44140625" style="634"/>
    <col min="11009" max="11009" width="5" style="634" customWidth="1"/>
    <col min="11010" max="11010" width="17.33203125" style="634" customWidth="1"/>
    <col min="11011" max="11011" width="10.109375" style="634" customWidth="1"/>
    <col min="11012" max="11012" width="9.6640625" style="634" customWidth="1"/>
    <col min="11013" max="11030" width="9.33203125" style="634" customWidth="1"/>
    <col min="11031" max="11264" width="5.44140625" style="634"/>
    <col min="11265" max="11265" width="5" style="634" customWidth="1"/>
    <col min="11266" max="11266" width="17.33203125" style="634" customWidth="1"/>
    <col min="11267" max="11267" width="10.109375" style="634" customWidth="1"/>
    <col min="11268" max="11268" width="9.6640625" style="634" customWidth="1"/>
    <col min="11269" max="11286" width="9.33203125" style="634" customWidth="1"/>
    <col min="11287" max="11520" width="5.44140625" style="634"/>
    <col min="11521" max="11521" width="5" style="634" customWidth="1"/>
    <col min="11522" max="11522" width="17.33203125" style="634" customWidth="1"/>
    <col min="11523" max="11523" width="10.109375" style="634" customWidth="1"/>
    <col min="11524" max="11524" width="9.6640625" style="634" customWidth="1"/>
    <col min="11525" max="11542" width="9.33203125" style="634" customWidth="1"/>
    <col min="11543" max="11776" width="5.44140625" style="634"/>
    <col min="11777" max="11777" width="5" style="634" customWidth="1"/>
    <col min="11778" max="11778" width="17.33203125" style="634" customWidth="1"/>
    <col min="11779" max="11779" width="10.109375" style="634" customWidth="1"/>
    <col min="11780" max="11780" width="9.6640625" style="634" customWidth="1"/>
    <col min="11781" max="11798" width="9.33203125" style="634" customWidth="1"/>
    <col min="11799" max="12032" width="5.44140625" style="634"/>
    <col min="12033" max="12033" width="5" style="634" customWidth="1"/>
    <col min="12034" max="12034" width="17.33203125" style="634" customWidth="1"/>
    <col min="12035" max="12035" width="10.109375" style="634" customWidth="1"/>
    <col min="12036" max="12036" width="9.6640625" style="634" customWidth="1"/>
    <col min="12037" max="12054" width="9.33203125" style="634" customWidth="1"/>
    <col min="12055" max="12288" width="5.44140625" style="634"/>
    <col min="12289" max="12289" width="5" style="634" customWidth="1"/>
    <col min="12290" max="12290" width="17.33203125" style="634" customWidth="1"/>
    <col min="12291" max="12291" width="10.109375" style="634" customWidth="1"/>
    <col min="12292" max="12292" width="9.6640625" style="634" customWidth="1"/>
    <col min="12293" max="12310" width="9.33203125" style="634" customWidth="1"/>
    <col min="12311" max="12544" width="5.44140625" style="634"/>
    <col min="12545" max="12545" width="5" style="634" customWidth="1"/>
    <col min="12546" max="12546" width="17.33203125" style="634" customWidth="1"/>
    <col min="12547" max="12547" width="10.109375" style="634" customWidth="1"/>
    <col min="12548" max="12548" width="9.6640625" style="634" customWidth="1"/>
    <col min="12549" max="12566" width="9.33203125" style="634" customWidth="1"/>
    <col min="12567" max="12800" width="5.44140625" style="634"/>
    <col min="12801" max="12801" width="5" style="634" customWidth="1"/>
    <col min="12802" max="12802" width="17.33203125" style="634" customWidth="1"/>
    <col min="12803" max="12803" width="10.109375" style="634" customWidth="1"/>
    <col min="12804" max="12804" width="9.6640625" style="634" customWidth="1"/>
    <col min="12805" max="12822" width="9.33203125" style="634" customWidth="1"/>
    <col min="12823" max="13056" width="5.44140625" style="634"/>
    <col min="13057" max="13057" width="5" style="634" customWidth="1"/>
    <col min="13058" max="13058" width="17.33203125" style="634" customWidth="1"/>
    <col min="13059" max="13059" width="10.109375" style="634" customWidth="1"/>
    <col min="13060" max="13060" width="9.6640625" style="634" customWidth="1"/>
    <col min="13061" max="13078" width="9.33203125" style="634" customWidth="1"/>
    <col min="13079" max="13312" width="5.44140625" style="634"/>
    <col min="13313" max="13313" width="5" style="634" customWidth="1"/>
    <col min="13314" max="13314" width="17.33203125" style="634" customWidth="1"/>
    <col min="13315" max="13315" width="10.109375" style="634" customWidth="1"/>
    <col min="13316" max="13316" width="9.6640625" style="634" customWidth="1"/>
    <col min="13317" max="13334" width="9.33203125" style="634" customWidth="1"/>
    <col min="13335" max="13568" width="5.44140625" style="634"/>
    <col min="13569" max="13569" width="5" style="634" customWidth="1"/>
    <col min="13570" max="13570" width="17.33203125" style="634" customWidth="1"/>
    <col min="13571" max="13571" width="10.109375" style="634" customWidth="1"/>
    <col min="13572" max="13572" width="9.6640625" style="634" customWidth="1"/>
    <col min="13573" max="13590" width="9.33203125" style="634" customWidth="1"/>
    <col min="13591" max="13824" width="5.44140625" style="634"/>
    <col min="13825" max="13825" width="5" style="634" customWidth="1"/>
    <col min="13826" max="13826" width="17.33203125" style="634" customWidth="1"/>
    <col min="13827" max="13827" width="10.109375" style="634" customWidth="1"/>
    <col min="13828" max="13828" width="9.6640625" style="634" customWidth="1"/>
    <col min="13829" max="13846" width="9.33203125" style="634" customWidth="1"/>
    <col min="13847" max="14080" width="5.44140625" style="634"/>
    <col min="14081" max="14081" width="5" style="634" customWidth="1"/>
    <col min="14082" max="14082" width="17.33203125" style="634" customWidth="1"/>
    <col min="14083" max="14083" width="10.109375" style="634" customWidth="1"/>
    <col min="14084" max="14084" width="9.6640625" style="634" customWidth="1"/>
    <col min="14085" max="14102" width="9.33203125" style="634" customWidth="1"/>
    <col min="14103" max="14336" width="5.44140625" style="634"/>
    <col min="14337" max="14337" width="5" style="634" customWidth="1"/>
    <col min="14338" max="14338" width="17.33203125" style="634" customWidth="1"/>
    <col min="14339" max="14339" width="10.109375" style="634" customWidth="1"/>
    <col min="14340" max="14340" width="9.6640625" style="634" customWidth="1"/>
    <col min="14341" max="14358" width="9.33203125" style="634" customWidth="1"/>
    <col min="14359" max="14592" width="5.44140625" style="634"/>
    <col min="14593" max="14593" width="5" style="634" customWidth="1"/>
    <col min="14594" max="14594" width="17.33203125" style="634" customWidth="1"/>
    <col min="14595" max="14595" width="10.109375" style="634" customWidth="1"/>
    <col min="14596" max="14596" width="9.6640625" style="634" customWidth="1"/>
    <col min="14597" max="14614" width="9.33203125" style="634" customWidth="1"/>
    <col min="14615" max="14848" width="5.44140625" style="634"/>
    <col min="14849" max="14849" width="5" style="634" customWidth="1"/>
    <col min="14850" max="14850" width="17.33203125" style="634" customWidth="1"/>
    <col min="14851" max="14851" width="10.109375" style="634" customWidth="1"/>
    <col min="14852" max="14852" width="9.6640625" style="634" customWidth="1"/>
    <col min="14853" max="14870" width="9.33203125" style="634" customWidth="1"/>
    <col min="14871" max="15104" width="5.44140625" style="634"/>
    <col min="15105" max="15105" width="5" style="634" customWidth="1"/>
    <col min="15106" max="15106" width="17.33203125" style="634" customWidth="1"/>
    <col min="15107" max="15107" width="10.109375" style="634" customWidth="1"/>
    <col min="15108" max="15108" width="9.6640625" style="634" customWidth="1"/>
    <col min="15109" max="15126" width="9.33203125" style="634" customWidth="1"/>
    <col min="15127" max="15360" width="5.44140625" style="634"/>
    <col min="15361" max="15361" width="5" style="634" customWidth="1"/>
    <col min="15362" max="15362" width="17.33203125" style="634" customWidth="1"/>
    <col min="15363" max="15363" width="10.109375" style="634" customWidth="1"/>
    <col min="15364" max="15364" width="9.6640625" style="634" customWidth="1"/>
    <col min="15365" max="15382" width="9.33203125" style="634" customWidth="1"/>
    <col min="15383" max="15616" width="5.44140625" style="634"/>
    <col min="15617" max="15617" width="5" style="634" customWidth="1"/>
    <col min="15618" max="15618" width="17.33203125" style="634" customWidth="1"/>
    <col min="15619" max="15619" width="10.109375" style="634" customWidth="1"/>
    <col min="15620" max="15620" width="9.6640625" style="634" customWidth="1"/>
    <col min="15621" max="15638" width="9.33203125" style="634" customWidth="1"/>
    <col min="15639" max="15872" width="5.44140625" style="634"/>
    <col min="15873" max="15873" width="5" style="634" customWidth="1"/>
    <col min="15874" max="15874" width="17.33203125" style="634" customWidth="1"/>
    <col min="15875" max="15875" width="10.109375" style="634" customWidth="1"/>
    <col min="15876" max="15876" width="9.6640625" style="634" customWidth="1"/>
    <col min="15877" max="15894" width="9.33203125" style="634" customWidth="1"/>
    <col min="15895" max="16128" width="5.44140625" style="634"/>
    <col min="16129" max="16129" width="5" style="634" customWidth="1"/>
    <col min="16130" max="16130" width="17.33203125" style="634" customWidth="1"/>
    <col min="16131" max="16131" width="10.109375" style="634" customWidth="1"/>
    <col min="16132" max="16132" width="9.6640625" style="634" customWidth="1"/>
    <col min="16133" max="16150" width="9.33203125" style="634" customWidth="1"/>
    <col min="16151" max="16384" width="5.44140625" style="634"/>
  </cols>
  <sheetData>
    <row r="1" spans="1:22" s="632" customFormat="1" ht="25.5" customHeight="1" x14ac:dyDescent="0.45">
      <c r="A1" s="1609" t="s">
        <v>641</v>
      </c>
      <c r="B1" s="1609"/>
      <c r="C1" s="1609"/>
      <c r="D1" s="1609"/>
      <c r="E1" s="1609"/>
      <c r="F1" s="1609"/>
      <c r="G1" s="1609"/>
      <c r="H1" s="1609"/>
      <c r="I1" s="1609"/>
      <c r="J1" s="1609"/>
      <c r="K1" s="1609"/>
      <c r="L1" s="1609"/>
      <c r="M1" s="1609"/>
      <c r="N1" s="1609"/>
      <c r="O1" s="1609"/>
      <c r="P1" s="1609"/>
      <c r="Q1" s="1609"/>
      <c r="R1" s="1609"/>
      <c r="S1" s="1609"/>
      <c r="T1" s="1609"/>
      <c r="U1" s="1609"/>
      <c r="V1" s="1609"/>
    </row>
    <row r="2" spans="1:22" s="632" customFormat="1" ht="24" customHeight="1" x14ac:dyDescent="0.45">
      <c r="A2" s="773"/>
      <c r="B2" s="773"/>
      <c r="C2" s="773"/>
      <c r="D2" s="773"/>
      <c r="E2" s="773"/>
      <c r="F2" s="773"/>
      <c r="G2" s="773"/>
      <c r="H2" s="773"/>
      <c r="I2" s="773"/>
      <c r="J2" s="773"/>
      <c r="K2" s="773"/>
      <c r="L2" s="773"/>
      <c r="M2" s="773"/>
      <c r="N2" s="773"/>
      <c r="O2" s="773"/>
      <c r="P2" s="773"/>
      <c r="Q2" s="773"/>
      <c r="R2" s="773"/>
      <c r="S2" s="773"/>
      <c r="T2" s="773"/>
      <c r="U2" s="773"/>
      <c r="V2" s="773"/>
    </row>
    <row r="3" spans="1:22" s="632" customFormat="1" ht="31.5" customHeight="1" x14ac:dyDescent="0.45">
      <c r="A3" s="773"/>
      <c r="B3" s="773"/>
      <c r="C3" s="1610" t="s">
        <v>642</v>
      </c>
      <c r="D3" s="1611"/>
      <c r="E3" s="1611"/>
      <c r="F3" s="1611"/>
      <c r="G3" s="1611"/>
      <c r="H3" s="1611"/>
      <c r="I3" s="1611"/>
      <c r="J3" s="1611"/>
      <c r="K3" s="1611"/>
      <c r="L3" s="1611"/>
      <c r="M3" s="1611"/>
      <c r="N3" s="1611"/>
      <c r="O3" s="1611"/>
      <c r="P3" s="1611"/>
      <c r="Q3" s="1611"/>
      <c r="R3" s="1611"/>
      <c r="S3" s="1611"/>
      <c r="T3" s="1611"/>
      <c r="U3" s="1611"/>
      <c r="V3" s="1611"/>
    </row>
    <row r="4" spans="1:22" s="632" customFormat="1" ht="22.5" customHeight="1" x14ac:dyDescent="0.45">
      <c r="A4" s="773"/>
      <c r="B4" s="773"/>
      <c r="C4" s="1612" t="s">
        <v>643</v>
      </c>
      <c r="D4" s="1611"/>
      <c r="E4" s="1611"/>
      <c r="F4" s="1611"/>
      <c r="G4" s="1611"/>
      <c r="H4" s="1611"/>
      <c r="I4" s="1611"/>
      <c r="J4" s="1611"/>
      <c r="K4" s="1611"/>
      <c r="L4" s="1611"/>
      <c r="M4" s="1611"/>
      <c r="N4" s="1611"/>
      <c r="O4" s="1611"/>
      <c r="P4" s="1611"/>
      <c r="Q4" s="1611"/>
      <c r="R4" s="1611"/>
      <c r="S4" s="1611"/>
      <c r="T4" s="1611"/>
      <c r="U4" s="1611"/>
      <c r="V4" s="1611"/>
    </row>
    <row r="5" spans="1:22" s="632" customFormat="1" ht="32.25" customHeight="1" x14ac:dyDescent="0.45">
      <c r="A5" s="773"/>
      <c r="B5" s="773"/>
      <c r="C5" s="1612" t="s">
        <v>644</v>
      </c>
      <c r="D5" s="1611"/>
      <c r="E5" s="1611"/>
      <c r="F5" s="1611"/>
      <c r="G5" s="1611"/>
      <c r="H5" s="1611"/>
      <c r="I5" s="1611"/>
      <c r="J5" s="1611"/>
      <c r="K5" s="1611"/>
      <c r="L5" s="1611"/>
      <c r="M5" s="1611"/>
      <c r="N5" s="1611"/>
      <c r="O5" s="1611"/>
      <c r="P5" s="1611"/>
      <c r="Q5" s="1611"/>
      <c r="R5" s="1611"/>
      <c r="S5" s="1611"/>
      <c r="T5" s="1611"/>
      <c r="U5" s="1611"/>
      <c r="V5" s="1611"/>
    </row>
    <row r="6" spans="1:22" s="632" customFormat="1" ht="22.5" customHeight="1" x14ac:dyDescent="0.45">
      <c r="A6" s="773"/>
      <c r="B6" s="773"/>
      <c r="C6" s="1612" t="s">
        <v>645</v>
      </c>
      <c r="D6" s="1611"/>
      <c r="E6" s="1611"/>
      <c r="F6" s="1611"/>
      <c r="G6" s="1611"/>
      <c r="H6" s="1611"/>
      <c r="I6" s="1611"/>
      <c r="J6" s="1611"/>
      <c r="K6" s="1611"/>
      <c r="L6" s="1611"/>
      <c r="M6" s="1611"/>
      <c r="N6" s="1611"/>
      <c r="O6" s="1611"/>
      <c r="P6" s="1611"/>
      <c r="Q6" s="1611"/>
      <c r="R6" s="1611"/>
      <c r="S6" s="1611"/>
      <c r="T6" s="1611"/>
      <c r="U6" s="1611"/>
      <c r="V6" s="1611"/>
    </row>
    <row r="7" spans="1:22" s="632" customFormat="1" ht="36.75" customHeight="1" x14ac:dyDescent="0.45">
      <c r="A7" s="773"/>
      <c r="B7" s="773"/>
      <c r="C7" s="1612" t="s">
        <v>646</v>
      </c>
      <c r="D7" s="1611"/>
      <c r="E7" s="1611"/>
      <c r="F7" s="1611"/>
      <c r="G7" s="1611"/>
      <c r="H7" s="1611"/>
      <c r="I7" s="1611"/>
      <c r="J7" s="1611"/>
      <c r="K7" s="1611"/>
      <c r="L7" s="1611"/>
      <c r="M7" s="1611"/>
      <c r="N7" s="1611"/>
      <c r="O7" s="1611"/>
      <c r="P7" s="1611"/>
      <c r="Q7" s="1611"/>
      <c r="R7" s="1611"/>
      <c r="S7" s="1611"/>
      <c r="T7" s="1611"/>
      <c r="U7" s="1611"/>
      <c r="V7" s="1611"/>
    </row>
    <row r="8" spans="1:22" s="632" customFormat="1" ht="72.900000000000006" customHeight="1" x14ac:dyDescent="0.45">
      <c r="A8" s="773"/>
      <c r="B8" s="773"/>
      <c r="C8" s="1614" t="s">
        <v>1043</v>
      </c>
      <c r="D8" s="1611"/>
      <c r="E8" s="1611"/>
      <c r="F8" s="1611"/>
      <c r="G8" s="1611"/>
      <c r="H8" s="1611"/>
      <c r="I8" s="1611"/>
      <c r="J8" s="1611"/>
      <c r="K8" s="1611"/>
      <c r="L8" s="1611"/>
      <c r="M8" s="1611"/>
      <c r="N8" s="1611"/>
      <c r="O8" s="1611"/>
      <c r="P8" s="1611"/>
      <c r="Q8" s="1611"/>
      <c r="R8" s="1611"/>
      <c r="S8" s="1611"/>
      <c r="T8" s="1611"/>
      <c r="U8" s="1611"/>
      <c r="V8" s="1611"/>
    </row>
    <row r="9" spans="1:22" s="632" customFormat="1" ht="48.75" customHeight="1" x14ac:dyDescent="0.45">
      <c r="A9" s="773"/>
      <c r="B9" s="773"/>
      <c r="C9" s="1612" t="s">
        <v>647</v>
      </c>
      <c r="D9" s="1611"/>
      <c r="E9" s="1611"/>
      <c r="F9" s="1611"/>
      <c r="G9" s="1611"/>
      <c r="H9" s="1611"/>
      <c r="I9" s="1611"/>
      <c r="J9" s="1611"/>
      <c r="K9" s="1611"/>
      <c r="L9" s="1611"/>
      <c r="M9" s="1611"/>
      <c r="N9" s="1611"/>
      <c r="O9" s="1611"/>
      <c r="P9" s="1611"/>
      <c r="Q9" s="1611"/>
      <c r="R9" s="1611"/>
      <c r="S9" s="1611"/>
      <c r="T9" s="1611"/>
      <c r="U9" s="1611"/>
      <c r="V9" s="1611"/>
    </row>
    <row r="10" spans="1:22" s="632" customFormat="1" ht="72" customHeight="1" x14ac:dyDescent="0.45">
      <c r="A10" s="773"/>
      <c r="B10" s="773"/>
      <c r="C10" s="1614" t="s">
        <v>1044</v>
      </c>
      <c r="D10" s="1615"/>
      <c r="E10" s="1615"/>
      <c r="F10" s="1615"/>
      <c r="G10" s="1615"/>
      <c r="H10" s="1615"/>
      <c r="I10" s="1615"/>
      <c r="J10" s="1615"/>
      <c r="K10" s="1615"/>
      <c r="L10" s="1615"/>
      <c r="M10" s="1615"/>
      <c r="N10" s="1615"/>
      <c r="O10" s="1615"/>
      <c r="P10" s="1615"/>
      <c r="Q10" s="1615"/>
      <c r="R10" s="1615"/>
      <c r="S10" s="1615"/>
      <c r="T10" s="1615"/>
      <c r="U10" s="1615"/>
      <c r="V10" s="1615"/>
    </row>
    <row r="11" spans="1:22" s="632" customFormat="1" ht="51.75" customHeight="1" x14ac:dyDescent="0.45">
      <c r="A11" s="773"/>
      <c r="B11" s="773"/>
      <c r="C11" s="1612" t="s">
        <v>648</v>
      </c>
      <c r="D11" s="1611"/>
      <c r="E11" s="1611"/>
      <c r="F11" s="1611"/>
      <c r="G11" s="1611"/>
      <c r="H11" s="1611"/>
      <c r="I11" s="1611"/>
      <c r="J11" s="1611"/>
      <c r="K11" s="1611"/>
      <c r="L11" s="1611"/>
      <c r="M11" s="1611"/>
      <c r="N11" s="1611"/>
      <c r="O11" s="1611"/>
      <c r="P11" s="1611"/>
      <c r="Q11" s="1611"/>
      <c r="R11" s="1611"/>
      <c r="S11" s="1611"/>
      <c r="T11" s="1611"/>
      <c r="U11" s="1611"/>
      <c r="V11" s="1611"/>
    </row>
    <row r="12" spans="1:22" s="632" customFormat="1" ht="43.5" customHeight="1" x14ac:dyDescent="0.45">
      <c r="A12" s="773"/>
      <c r="B12" s="773"/>
      <c r="C12" s="1612" t="s">
        <v>979</v>
      </c>
      <c r="D12" s="1611"/>
      <c r="E12" s="1611"/>
      <c r="F12" s="1611"/>
      <c r="G12" s="1611"/>
      <c r="H12" s="1611"/>
      <c r="I12" s="1611"/>
      <c r="J12" s="1611"/>
      <c r="K12" s="1611"/>
      <c r="L12" s="1611"/>
      <c r="M12" s="1611"/>
      <c r="N12" s="1611"/>
      <c r="O12" s="1611"/>
      <c r="P12" s="1611"/>
      <c r="Q12" s="1611"/>
      <c r="R12" s="1611"/>
      <c r="S12" s="1611"/>
      <c r="T12" s="1611"/>
      <c r="U12" s="1611"/>
      <c r="V12" s="1611"/>
    </row>
    <row r="13" spans="1:22" s="632" customFormat="1" ht="27" customHeight="1" thickBot="1" x14ac:dyDescent="0.45">
      <c r="A13" s="769"/>
      <c r="B13" s="769"/>
      <c r="C13" s="769"/>
      <c r="D13" s="1613"/>
      <c r="E13" s="1613"/>
      <c r="F13" s="1613"/>
      <c r="G13" s="1613"/>
      <c r="H13" s="1613"/>
      <c r="I13" s="1613"/>
      <c r="J13" s="1613"/>
      <c r="K13" s="1613"/>
      <c r="L13" s="1613"/>
      <c r="M13" s="1613"/>
      <c r="N13" s="1613"/>
      <c r="O13" s="1613"/>
      <c r="P13" s="1613"/>
      <c r="Q13" s="1613"/>
      <c r="R13" s="1613"/>
      <c r="S13" s="1613"/>
      <c r="T13" s="1613"/>
      <c r="U13" s="1613"/>
      <c r="V13" s="1613"/>
    </row>
    <row r="14" spans="1:22" s="632" customFormat="1" ht="24" customHeight="1" thickBot="1" x14ac:dyDescent="0.35">
      <c r="A14" s="1616" t="s">
        <v>1</v>
      </c>
      <c r="B14" s="1596" t="s">
        <v>649</v>
      </c>
      <c r="C14" s="1617" t="s">
        <v>650</v>
      </c>
      <c r="D14" s="1596" t="s">
        <v>132</v>
      </c>
      <c r="E14" s="1596" t="s">
        <v>32</v>
      </c>
      <c r="F14" s="1597"/>
      <c r="G14" s="1596" t="s">
        <v>33</v>
      </c>
      <c r="H14" s="1597"/>
      <c r="I14" s="1596" t="s">
        <v>34</v>
      </c>
      <c r="J14" s="1597"/>
      <c r="K14" s="1596" t="s">
        <v>133</v>
      </c>
      <c r="L14" s="1597"/>
      <c r="M14" s="1597"/>
      <c r="N14" s="1597"/>
      <c r="O14" s="1597"/>
      <c r="P14" s="1597"/>
      <c r="Q14" s="1598" t="s">
        <v>134</v>
      </c>
      <c r="R14" s="1599"/>
      <c r="S14" s="1599"/>
      <c r="T14" s="1599"/>
      <c r="U14" s="1599"/>
      <c r="V14" s="1600"/>
    </row>
    <row r="15" spans="1:22" s="632" customFormat="1" ht="27" customHeight="1" thickBot="1" x14ac:dyDescent="0.35">
      <c r="A15" s="1616"/>
      <c r="B15" s="1596"/>
      <c r="C15" s="1618"/>
      <c r="D15" s="1597"/>
      <c r="E15" s="1597"/>
      <c r="F15" s="1597"/>
      <c r="G15" s="1597"/>
      <c r="H15" s="1597"/>
      <c r="I15" s="1597"/>
      <c r="J15" s="1597"/>
      <c r="K15" s="1596" t="s">
        <v>135</v>
      </c>
      <c r="L15" s="1596"/>
      <c r="M15" s="1596" t="s">
        <v>136</v>
      </c>
      <c r="N15" s="1596"/>
      <c r="O15" s="1596" t="s">
        <v>137</v>
      </c>
      <c r="P15" s="1596"/>
      <c r="Q15" s="1596" t="s">
        <v>135</v>
      </c>
      <c r="R15" s="1596"/>
      <c r="S15" s="1596" t="s">
        <v>136</v>
      </c>
      <c r="T15" s="1596"/>
      <c r="U15" s="1596" t="s">
        <v>137</v>
      </c>
      <c r="V15" s="1601"/>
    </row>
    <row r="16" spans="1:22" s="632" customFormat="1" ht="39" customHeight="1" thickBot="1" x14ac:dyDescent="0.35">
      <c r="A16" s="1616"/>
      <c r="B16" s="1596"/>
      <c r="C16" s="1576"/>
      <c r="D16" s="1597"/>
      <c r="E16" s="772" t="s">
        <v>251</v>
      </c>
      <c r="F16" s="805" t="s">
        <v>250</v>
      </c>
      <c r="G16" s="772" t="s">
        <v>251</v>
      </c>
      <c r="H16" s="805" t="s">
        <v>250</v>
      </c>
      <c r="I16" s="772" t="s">
        <v>251</v>
      </c>
      <c r="J16" s="805" t="s">
        <v>250</v>
      </c>
      <c r="K16" s="772" t="s">
        <v>251</v>
      </c>
      <c r="L16" s="805" t="s">
        <v>250</v>
      </c>
      <c r="M16" s="772" t="s">
        <v>251</v>
      </c>
      <c r="N16" s="805" t="s">
        <v>250</v>
      </c>
      <c r="O16" s="772" t="s">
        <v>251</v>
      </c>
      <c r="P16" s="805" t="s">
        <v>250</v>
      </c>
      <c r="Q16" s="772" t="s">
        <v>251</v>
      </c>
      <c r="R16" s="805" t="s">
        <v>250</v>
      </c>
      <c r="S16" s="772" t="s">
        <v>251</v>
      </c>
      <c r="T16" s="805" t="s">
        <v>250</v>
      </c>
      <c r="U16" s="772" t="s">
        <v>251</v>
      </c>
      <c r="V16" s="794" t="s">
        <v>250</v>
      </c>
    </row>
    <row r="17" spans="1:26" s="632" customFormat="1" ht="19.8" thickBot="1" x14ac:dyDescent="0.35">
      <c r="A17" s="633">
        <v>1</v>
      </c>
      <c r="B17" s="772">
        <f>A17+1</f>
        <v>2</v>
      </c>
      <c r="C17" s="772">
        <f>B17+1</f>
        <v>3</v>
      </c>
      <c r="D17" s="772">
        <f t="shared" ref="D17:U17" si="0">C17+1</f>
        <v>4</v>
      </c>
      <c r="E17" s="772">
        <f t="shared" si="0"/>
        <v>5</v>
      </c>
      <c r="F17" s="805">
        <f t="shared" si="0"/>
        <v>6</v>
      </c>
      <c r="G17" s="772">
        <f t="shared" si="0"/>
        <v>7</v>
      </c>
      <c r="H17" s="805">
        <f t="shared" si="0"/>
        <v>8</v>
      </c>
      <c r="I17" s="772">
        <f t="shared" si="0"/>
        <v>9</v>
      </c>
      <c r="J17" s="805">
        <f t="shared" si="0"/>
        <v>10</v>
      </c>
      <c r="K17" s="772">
        <f t="shared" si="0"/>
        <v>11</v>
      </c>
      <c r="L17" s="805">
        <f t="shared" si="0"/>
        <v>12</v>
      </c>
      <c r="M17" s="772">
        <f t="shared" si="0"/>
        <v>13</v>
      </c>
      <c r="N17" s="805">
        <f t="shared" si="0"/>
        <v>14</v>
      </c>
      <c r="O17" s="772">
        <f t="shared" si="0"/>
        <v>15</v>
      </c>
      <c r="P17" s="805">
        <f t="shared" si="0"/>
        <v>16</v>
      </c>
      <c r="Q17" s="772">
        <f t="shared" si="0"/>
        <v>17</v>
      </c>
      <c r="R17" s="805">
        <f t="shared" si="0"/>
        <v>18</v>
      </c>
      <c r="S17" s="772">
        <f t="shared" si="0"/>
        <v>19</v>
      </c>
      <c r="T17" s="805">
        <f t="shared" si="0"/>
        <v>20</v>
      </c>
      <c r="U17" s="772">
        <f t="shared" si="0"/>
        <v>21</v>
      </c>
      <c r="V17" s="794">
        <f>U17+1</f>
        <v>22</v>
      </c>
    </row>
    <row r="18" spans="1:26" ht="18.600000000000001" hidden="1" thickBot="1" x14ac:dyDescent="0.35">
      <c r="A18" s="780"/>
      <c r="B18" s="781"/>
      <c r="C18" s="781"/>
      <c r="D18" s="792"/>
      <c r="E18" s="792"/>
      <c r="F18" s="806"/>
      <c r="G18" s="792"/>
      <c r="H18" s="806"/>
      <c r="I18" s="792"/>
      <c r="J18" s="806"/>
      <c r="K18" s="792"/>
      <c r="L18" s="806"/>
      <c r="M18" s="792"/>
      <c r="N18" s="806"/>
      <c r="O18" s="792"/>
      <c r="P18" s="806"/>
      <c r="Q18" s="792"/>
      <c r="R18" s="806"/>
      <c r="S18" s="792"/>
      <c r="T18" s="806"/>
      <c r="U18" s="792"/>
      <c r="V18" s="795"/>
    </row>
    <row r="19" spans="1:26" ht="67.5" customHeight="1" thickBot="1" x14ac:dyDescent="0.35">
      <c r="A19" s="771">
        <f t="shared" ref="A19:A24" si="1">A18+1</f>
        <v>1</v>
      </c>
      <c r="B19" s="635" t="s">
        <v>651</v>
      </c>
      <c r="C19" s="636"/>
      <c r="D19" s="637" t="s">
        <v>652</v>
      </c>
      <c r="E19" s="638">
        <v>155</v>
      </c>
      <c r="F19" s="785">
        <v>128</v>
      </c>
      <c r="G19" s="639">
        <v>140</v>
      </c>
      <c r="H19" s="785">
        <v>112</v>
      </c>
      <c r="I19" s="639">
        <v>127</v>
      </c>
      <c r="J19" s="785">
        <v>100</v>
      </c>
      <c r="K19" s="639">
        <v>112</v>
      </c>
      <c r="L19" s="785">
        <v>87</v>
      </c>
      <c r="M19" s="639">
        <v>95</v>
      </c>
      <c r="N19" s="785">
        <v>70</v>
      </c>
      <c r="O19" s="639">
        <v>75</v>
      </c>
      <c r="P19" s="785">
        <v>52</v>
      </c>
      <c r="Q19" s="640"/>
      <c r="R19" s="789"/>
      <c r="S19" s="640"/>
      <c r="T19" s="789"/>
      <c r="U19" s="640"/>
      <c r="V19" s="796"/>
      <c r="Z19" s="793"/>
    </row>
    <row r="20" spans="1:26" ht="66.75" customHeight="1" thickBot="1" x14ac:dyDescent="0.35">
      <c r="A20" s="771">
        <f t="shared" si="1"/>
        <v>2</v>
      </c>
      <c r="B20" s="635" t="s">
        <v>653</v>
      </c>
      <c r="C20" s="636"/>
      <c r="D20" s="637" t="s">
        <v>652</v>
      </c>
      <c r="E20" s="638">
        <v>230</v>
      </c>
      <c r="F20" s="785">
        <v>200</v>
      </c>
      <c r="G20" s="639">
        <v>202</v>
      </c>
      <c r="H20" s="785">
        <v>174</v>
      </c>
      <c r="I20" s="639">
        <v>172</v>
      </c>
      <c r="J20" s="785">
        <v>145</v>
      </c>
      <c r="K20" s="639">
        <v>142</v>
      </c>
      <c r="L20" s="785">
        <v>114</v>
      </c>
      <c r="M20" s="639">
        <v>100</v>
      </c>
      <c r="N20" s="785">
        <v>81</v>
      </c>
      <c r="O20" s="639">
        <v>80</v>
      </c>
      <c r="P20" s="785">
        <v>62</v>
      </c>
      <c r="Q20" s="640"/>
      <c r="R20" s="789"/>
      <c r="S20" s="640"/>
      <c r="T20" s="789"/>
      <c r="U20" s="640"/>
      <c r="V20" s="796"/>
    </row>
    <row r="21" spans="1:26" ht="60" customHeight="1" thickBot="1" x14ac:dyDescent="0.35">
      <c r="A21" s="771">
        <f t="shared" si="1"/>
        <v>3</v>
      </c>
      <c r="B21" s="635" t="s">
        <v>654</v>
      </c>
      <c r="C21" s="636"/>
      <c r="D21" s="637" t="s">
        <v>652</v>
      </c>
      <c r="E21" s="638">
        <v>72</v>
      </c>
      <c r="F21" s="785">
        <v>55</v>
      </c>
      <c r="G21" s="639">
        <v>66</v>
      </c>
      <c r="H21" s="785">
        <v>50</v>
      </c>
      <c r="I21" s="639">
        <v>60</v>
      </c>
      <c r="J21" s="785">
        <v>45</v>
      </c>
      <c r="K21" s="641">
        <v>54</v>
      </c>
      <c r="L21" s="785">
        <v>40</v>
      </c>
      <c r="M21" s="639">
        <v>48</v>
      </c>
      <c r="N21" s="785">
        <v>35</v>
      </c>
      <c r="O21" s="639">
        <v>42</v>
      </c>
      <c r="P21" s="785">
        <v>30</v>
      </c>
      <c r="Q21" s="640"/>
      <c r="R21" s="789"/>
      <c r="S21" s="640"/>
      <c r="T21" s="789"/>
      <c r="U21" s="640"/>
      <c r="V21" s="796"/>
    </row>
    <row r="22" spans="1:26" ht="90.6" thickBot="1" x14ac:dyDescent="0.35">
      <c r="A22" s="771">
        <f t="shared" si="1"/>
        <v>4</v>
      </c>
      <c r="B22" s="635" t="s">
        <v>655</v>
      </c>
      <c r="C22" s="636"/>
      <c r="D22" s="637" t="s">
        <v>652</v>
      </c>
      <c r="E22" s="638">
        <v>85</v>
      </c>
      <c r="F22" s="785">
        <v>76</v>
      </c>
      <c r="G22" s="639">
        <v>79</v>
      </c>
      <c r="H22" s="785">
        <v>70</v>
      </c>
      <c r="I22" s="639">
        <v>73</v>
      </c>
      <c r="J22" s="785">
        <v>64</v>
      </c>
      <c r="K22" s="641">
        <v>67</v>
      </c>
      <c r="L22" s="785">
        <v>58</v>
      </c>
      <c r="M22" s="639">
        <v>61</v>
      </c>
      <c r="N22" s="785">
        <v>52</v>
      </c>
      <c r="O22" s="639">
        <v>55</v>
      </c>
      <c r="P22" s="785">
        <v>46</v>
      </c>
      <c r="Q22" s="640"/>
      <c r="R22" s="789"/>
      <c r="S22" s="640"/>
      <c r="T22" s="789"/>
      <c r="U22" s="640"/>
      <c r="V22" s="796"/>
    </row>
    <row r="23" spans="1:26" ht="72.599999999999994" thickBot="1" x14ac:dyDescent="0.35">
      <c r="A23" s="771">
        <f t="shared" si="1"/>
        <v>5</v>
      </c>
      <c r="B23" s="635" t="s">
        <v>656</v>
      </c>
      <c r="C23" s="636"/>
      <c r="D23" s="637" t="s">
        <v>652</v>
      </c>
      <c r="E23" s="638">
        <v>97</v>
      </c>
      <c r="F23" s="785">
        <v>80</v>
      </c>
      <c r="G23" s="639">
        <v>90</v>
      </c>
      <c r="H23" s="785">
        <v>74</v>
      </c>
      <c r="I23" s="639">
        <v>83</v>
      </c>
      <c r="J23" s="785">
        <v>68</v>
      </c>
      <c r="K23" s="641">
        <v>76</v>
      </c>
      <c r="L23" s="785">
        <v>62</v>
      </c>
      <c r="M23" s="639">
        <v>67</v>
      </c>
      <c r="N23" s="785">
        <v>56</v>
      </c>
      <c r="O23" s="639">
        <v>60</v>
      </c>
      <c r="P23" s="785">
        <v>50</v>
      </c>
      <c r="Q23" s="640"/>
      <c r="R23" s="789"/>
      <c r="S23" s="640"/>
      <c r="T23" s="789"/>
      <c r="U23" s="640"/>
      <c r="V23" s="796"/>
    </row>
    <row r="24" spans="1:26" ht="54" customHeight="1" x14ac:dyDescent="0.3">
      <c r="A24" s="1573">
        <f t="shared" si="1"/>
        <v>6</v>
      </c>
      <c r="B24" s="1575" t="s">
        <v>657</v>
      </c>
      <c r="C24" s="642" t="s">
        <v>628</v>
      </c>
      <c r="D24" s="643" t="s">
        <v>1045</v>
      </c>
      <c r="E24" s="644"/>
      <c r="F24" s="786"/>
      <c r="G24" s="644"/>
      <c r="H24" s="786"/>
      <c r="I24" s="645">
        <v>4.5833333333333338E-4</v>
      </c>
      <c r="J24" s="786">
        <v>4.8148148148148155E-4</v>
      </c>
      <c r="K24" s="646">
        <v>4.884259259259259E-4</v>
      </c>
      <c r="L24" s="786">
        <v>5.2083333333333333E-4</v>
      </c>
      <c r="M24" s="645">
        <v>5.2777777777777773E-4</v>
      </c>
      <c r="N24" s="786">
        <v>5.6250000000000007E-4</v>
      </c>
      <c r="O24" s="645">
        <v>5.7291666666666667E-4</v>
      </c>
      <c r="P24" s="786">
        <v>6.134259259259259E-4</v>
      </c>
      <c r="Q24" s="644"/>
      <c r="R24" s="786"/>
      <c r="S24" s="644"/>
      <c r="T24" s="786"/>
      <c r="U24" s="644"/>
      <c r="V24" s="797"/>
    </row>
    <row r="25" spans="1:26" ht="54" customHeight="1" thickBot="1" x14ac:dyDescent="0.35">
      <c r="A25" s="1574"/>
      <c r="B25" s="1576"/>
      <c r="C25" s="647" t="s">
        <v>629</v>
      </c>
      <c r="D25" s="648" t="s">
        <v>1045</v>
      </c>
      <c r="E25" s="649" t="s">
        <v>658</v>
      </c>
      <c r="F25" s="787" t="s">
        <v>659</v>
      </c>
      <c r="G25" s="650" t="s">
        <v>660</v>
      </c>
      <c r="H25" s="787" t="s">
        <v>661</v>
      </c>
      <c r="I25" s="650" t="s">
        <v>662</v>
      </c>
      <c r="J25" s="787" t="s">
        <v>663</v>
      </c>
      <c r="K25" s="651" t="s">
        <v>664</v>
      </c>
      <c r="L25" s="787" t="s">
        <v>665</v>
      </c>
      <c r="M25" s="651" t="s">
        <v>666</v>
      </c>
      <c r="N25" s="787" t="s">
        <v>667</v>
      </c>
      <c r="O25" s="651" t="s">
        <v>668</v>
      </c>
      <c r="P25" s="787" t="s">
        <v>669</v>
      </c>
      <c r="Q25" s="782"/>
      <c r="R25" s="807"/>
      <c r="S25" s="782"/>
      <c r="T25" s="807"/>
      <c r="U25" s="782"/>
      <c r="V25" s="798"/>
    </row>
    <row r="26" spans="1:26" ht="56.25" customHeight="1" x14ac:dyDescent="0.3">
      <c r="A26" s="1573">
        <f>A24+1</f>
        <v>7</v>
      </c>
      <c r="B26" s="1575" t="s">
        <v>166</v>
      </c>
      <c r="C26" s="642" t="s">
        <v>628</v>
      </c>
      <c r="D26" s="643" t="s">
        <v>1045</v>
      </c>
      <c r="E26" s="644"/>
      <c r="F26" s="786"/>
      <c r="G26" s="644"/>
      <c r="H26" s="786"/>
      <c r="I26" s="645">
        <v>1.2152777777777778E-3</v>
      </c>
      <c r="J26" s="786">
        <v>1.3715277777777779E-3</v>
      </c>
      <c r="K26" s="645">
        <v>1.3020833333333333E-3</v>
      </c>
      <c r="L26" s="786">
        <v>1.4756944444444444E-3</v>
      </c>
      <c r="M26" s="645">
        <v>1.417824074074074E-3</v>
      </c>
      <c r="N26" s="786">
        <v>1.5740740740740741E-3</v>
      </c>
      <c r="O26" s="645">
        <v>1.5277777777777779E-3</v>
      </c>
      <c r="P26" s="786">
        <v>1.6956018518518518E-3</v>
      </c>
      <c r="Q26" s="645">
        <v>1.6840277777777776E-3</v>
      </c>
      <c r="R26" s="786">
        <v>1.8634259259259261E-3</v>
      </c>
      <c r="S26" s="645">
        <v>1.8518518518518517E-3</v>
      </c>
      <c r="T26" s="786">
        <v>2.0254629629629629E-3</v>
      </c>
      <c r="U26" s="645">
        <v>2.0138888888888888E-3</v>
      </c>
      <c r="V26" s="797">
        <v>2.1990740740740742E-3</v>
      </c>
    </row>
    <row r="27" spans="1:26" ht="57" customHeight="1" thickBot="1" x14ac:dyDescent="0.35">
      <c r="A27" s="1574"/>
      <c r="B27" s="1576"/>
      <c r="C27" s="647" t="s">
        <v>629</v>
      </c>
      <c r="D27" s="648" t="s">
        <v>1045</v>
      </c>
      <c r="E27" s="649" t="s">
        <v>670</v>
      </c>
      <c r="F27" s="787" t="s">
        <v>671</v>
      </c>
      <c r="G27" s="650" t="s">
        <v>672</v>
      </c>
      <c r="H27" s="787" t="s">
        <v>673</v>
      </c>
      <c r="I27" s="650" t="s">
        <v>674</v>
      </c>
      <c r="J27" s="787" t="s">
        <v>675</v>
      </c>
      <c r="K27" s="651" t="s">
        <v>676</v>
      </c>
      <c r="L27" s="787" t="s">
        <v>677</v>
      </c>
      <c r="M27" s="650" t="s">
        <v>678</v>
      </c>
      <c r="N27" s="787" t="s">
        <v>679</v>
      </c>
      <c r="O27" s="650" t="s">
        <v>680</v>
      </c>
      <c r="P27" s="810" t="s">
        <v>681</v>
      </c>
      <c r="Q27" s="783" t="s">
        <v>1046</v>
      </c>
      <c r="R27" s="807" t="s">
        <v>1047</v>
      </c>
      <c r="S27" s="783" t="s">
        <v>1048</v>
      </c>
      <c r="T27" s="807" t="s">
        <v>1049</v>
      </c>
      <c r="U27" s="783" t="s">
        <v>1050</v>
      </c>
      <c r="V27" s="798" t="s">
        <v>1051</v>
      </c>
    </row>
    <row r="28" spans="1:26" ht="54.75" customHeight="1" x14ac:dyDescent="0.3">
      <c r="A28" s="1573">
        <f>A26+1</f>
        <v>8</v>
      </c>
      <c r="B28" s="1575" t="s">
        <v>682</v>
      </c>
      <c r="C28" s="642" t="s">
        <v>628</v>
      </c>
      <c r="D28" s="643" t="s">
        <v>1045</v>
      </c>
      <c r="E28" s="644"/>
      <c r="F28" s="786"/>
      <c r="G28" s="644"/>
      <c r="H28" s="786"/>
      <c r="I28" s="645">
        <v>2.7777777777777779E-3</v>
      </c>
      <c r="J28" s="786">
        <v>3.0960648148148149E-3</v>
      </c>
      <c r="K28" s="645">
        <v>2.9687500000000005E-3</v>
      </c>
      <c r="L28" s="786">
        <v>3.2870370370370367E-3</v>
      </c>
      <c r="M28" s="645">
        <v>3.2002314814814814E-3</v>
      </c>
      <c r="N28" s="786">
        <v>3.4490740740740745E-3</v>
      </c>
      <c r="O28" s="645">
        <v>3.472222222222222E-3</v>
      </c>
      <c r="P28" s="786">
        <v>3.8657407407407408E-3</v>
      </c>
      <c r="Q28" s="784">
        <v>3.7962962962962963E-3</v>
      </c>
      <c r="R28" s="808">
        <v>4.108796296296297E-3</v>
      </c>
      <c r="S28" s="784">
        <v>4.0798611111111114E-3</v>
      </c>
      <c r="T28" s="808">
        <v>4.5370370370370365E-3</v>
      </c>
      <c r="U28" s="784">
        <v>4.4907407407407405E-3</v>
      </c>
      <c r="V28" s="799">
        <v>4.8611111111111112E-3</v>
      </c>
    </row>
    <row r="29" spans="1:26" ht="55.5" customHeight="1" thickBot="1" x14ac:dyDescent="0.35">
      <c r="A29" s="1574"/>
      <c r="B29" s="1576"/>
      <c r="C29" s="647" t="s">
        <v>629</v>
      </c>
      <c r="D29" s="648" t="s">
        <v>1045</v>
      </c>
      <c r="E29" s="649" t="s">
        <v>683</v>
      </c>
      <c r="F29" s="787" t="s">
        <v>684</v>
      </c>
      <c r="G29" s="650" t="s">
        <v>685</v>
      </c>
      <c r="H29" s="787" t="s">
        <v>686</v>
      </c>
      <c r="I29" s="650" t="s">
        <v>687</v>
      </c>
      <c r="J29" s="787" t="s">
        <v>688</v>
      </c>
      <c r="K29" s="651" t="s">
        <v>689</v>
      </c>
      <c r="L29" s="787" t="s">
        <v>690</v>
      </c>
      <c r="M29" s="650" t="s">
        <v>691</v>
      </c>
      <c r="N29" s="787" t="s">
        <v>692</v>
      </c>
      <c r="O29" s="650" t="s">
        <v>693</v>
      </c>
      <c r="P29" s="787" t="s">
        <v>694</v>
      </c>
      <c r="Q29" s="651" t="s">
        <v>1052</v>
      </c>
      <c r="R29" s="787" t="s">
        <v>1053</v>
      </c>
      <c r="S29" s="651" t="s">
        <v>1054</v>
      </c>
      <c r="T29" s="787" t="s">
        <v>1055</v>
      </c>
      <c r="U29" s="651" t="s">
        <v>1056</v>
      </c>
      <c r="V29" s="800" t="s">
        <v>857</v>
      </c>
    </row>
    <row r="30" spans="1:26" ht="55.5" customHeight="1" x14ac:dyDescent="0.3">
      <c r="A30" s="1573">
        <f>A28+1</f>
        <v>9</v>
      </c>
      <c r="B30" s="1575" t="s">
        <v>695</v>
      </c>
      <c r="C30" s="642" t="s">
        <v>628</v>
      </c>
      <c r="D30" s="643" t="s">
        <v>1045</v>
      </c>
      <c r="E30" s="644"/>
      <c r="F30" s="786"/>
      <c r="G30" s="644"/>
      <c r="H30" s="786"/>
      <c r="I30" s="645">
        <v>2.4074074074074077E-4</v>
      </c>
      <c r="J30" s="786">
        <v>2.9861111111111109E-4</v>
      </c>
      <c r="K30" s="645">
        <v>2.6620370370370372E-4</v>
      </c>
      <c r="L30" s="786">
        <v>3.2407407407407406E-4</v>
      </c>
      <c r="M30" s="645">
        <v>2.9513888888888889E-4</v>
      </c>
      <c r="N30" s="786">
        <v>3.5069444444444444E-4</v>
      </c>
      <c r="O30" s="645">
        <v>3.4259259259259263E-4</v>
      </c>
      <c r="P30" s="786">
        <v>4.0509259259259258E-4</v>
      </c>
      <c r="Q30" s="645">
        <v>3.8194444444444446E-4</v>
      </c>
      <c r="R30" s="786">
        <v>4.4560185185185192E-4</v>
      </c>
      <c r="S30" s="645">
        <v>4.1898148148148155E-4</v>
      </c>
      <c r="T30" s="786">
        <v>4.7453703703703704E-4</v>
      </c>
      <c r="U30" s="645">
        <v>4.5138888888888892E-4</v>
      </c>
      <c r="V30" s="797">
        <v>5.2083333333333333E-4</v>
      </c>
    </row>
    <row r="31" spans="1:26" ht="55.5" customHeight="1" thickBot="1" x14ac:dyDescent="0.35">
      <c r="A31" s="1574"/>
      <c r="B31" s="1576"/>
      <c r="C31" s="647" t="s">
        <v>629</v>
      </c>
      <c r="D31" s="648" t="s">
        <v>1045</v>
      </c>
      <c r="E31" s="650" t="s">
        <v>696</v>
      </c>
      <c r="F31" s="787" t="s">
        <v>697</v>
      </c>
      <c r="G31" s="650" t="s">
        <v>636</v>
      </c>
      <c r="H31" s="787" t="s">
        <v>698</v>
      </c>
      <c r="I31" s="650" t="s">
        <v>699</v>
      </c>
      <c r="J31" s="787" t="s">
        <v>700</v>
      </c>
      <c r="K31" s="651" t="s">
        <v>701</v>
      </c>
      <c r="L31" s="787" t="s">
        <v>702</v>
      </c>
      <c r="M31" s="650" t="s">
        <v>703</v>
      </c>
      <c r="N31" s="787" t="s">
        <v>704</v>
      </c>
      <c r="O31" s="650" t="s">
        <v>705</v>
      </c>
      <c r="P31" s="787" t="s">
        <v>706</v>
      </c>
      <c r="Q31" s="651" t="s">
        <v>1057</v>
      </c>
      <c r="R31" s="787" t="s">
        <v>1058</v>
      </c>
      <c r="S31" s="651" t="s">
        <v>827</v>
      </c>
      <c r="T31" s="787" t="s">
        <v>1059</v>
      </c>
      <c r="U31" s="651" t="s">
        <v>1060</v>
      </c>
      <c r="V31" s="800" t="s">
        <v>665</v>
      </c>
    </row>
    <row r="32" spans="1:26" ht="53.25" customHeight="1" x14ac:dyDescent="0.3">
      <c r="A32" s="1573">
        <f>A30+1</f>
        <v>10</v>
      </c>
      <c r="B32" s="1575" t="s">
        <v>164</v>
      </c>
      <c r="C32" s="642" t="s">
        <v>628</v>
      </c>
      <c r="D32" s="643" t="s">
        <v>1045</v>
      </c>
      <c r="E32" s="644"/>
      <c r="F32" s="786"/>
      <c r="G32" s="644"/>
      <c r="H32" s="786"/>
      <c r="I32" s="645">
        <v>1.8749999999999998E-4</v>
      </c>
      <c r="J32" s="786">
        <v>2.1064814814814815E-4</v>
      </c>
      <c r="K32" s="645">
        <v>2.0023148148148146E-4</v>
      </c>
      <c r="L32" s="786">
        <v>2.2453703703703701E-4</v>
      </c>
      <c r="M32" s="645">
        <v>2.175925925925926E-4</v>
      </c>
      <c r="N32" s="786">
        <v>2.4421296296296295E-4</v>
      </c>
      <c r="O32" s="645">
        <v>2.3611111111111109E-4</v>
      </c>
      <c r="P32" s="786">
        <v>2.6504629629629626E-4</v>
      </c>
      <c r="Q32" s="644"/>
      <c r="R32" s="786"/>
      <c r="S32" s="644"/>
      <c r="T32" s="786"/>
      <c r="U32" s="644"/>
      <c r="V32" s="797"/>
    </row>
    <row r="33" spans="1:22" ht="53.25" customHeight="1" thickBot="1" x14ac:dyDescent="0.35">
      <c r="A33" s="1574"/>
      <c r="B33" s="1576"/>
      <c r="C33" s="647" t="s">
        <v>629</v>
      </c>
      <c r="D33" s="648" t="s">
        <v>1045</v>
      </c>
      <c r="E33" s="649" t="s">
        <v>630</v>
      </c>
      <c r="F33" s="787" t="s">
        <v>631</v>
      </c>
      <c r="G33" s="650" t="s">
        <v>632</v>
      </c>
      <c r="H33" s="787" t="s">
        <v>633</v>
      </c>
      <c r="I33" s="650" t="s">
        <v>634</v>
      </c>
      <c r="J33" s="787" t="s">
        <v>635</v>
      </c>
      <c r="K33" s="651" t="s">
        <v>633</v>
      </c>
      <c r="L33" s="787" t="s">
        <v>636</v>
      </c>
      <c r="M33" s="650" t="s">
        <v>637</v>
      </c>
      <c r="N33" s="787" t="s">
        <v>638</v>
      </c>
      <c r="O33" s="650" t="s">
        <v>639</v>
      </c>
      <c r="P33" s="787" t="s">
        <v>640</v>
      </c>
      <c r="Q33" s="652"/>
      <c r="R33" s="787"/>
      <c r="S33" s="652"/>
      <c r="T33" s="787"/>
      <c r="U33" s="652"/>
      <c r="V33" s="800"/>
    </row>
    <row r="34" spans="1:22" ht="54.75" customHeight="1" x14ac:dyDescent="0.3">
      <c r="A34" s="1573">
        <f>A32+1</f>
        <v>11</v>
      </c>
      <c r="B34" s="1575" t="s">
        <v>165</v>
      </c>
      <c r="C34" s="642" t="s">
        <v>628</v>
      </c>
      <c r="D34" s="643" t="s">
        <v>1045</v>
      </c>
      <c r="E34" s="644"/>
      <c r="F34" s="786"/>
      <c r="G34" s="644"/>
      <c r="H34" s="786"/>
      <c r="I34" s="645">
        <v>2.5115740740740735E-4</v>
      </c>
      <c r="J34" s="786">
        <v>2.8935185185185189E-4</v>
      </c>
      <c r="K34" s="645">
        <v>2.6736111111111112E-4</v>
      </c>
      <c r="L34" s="786">
        <v>3.078703703703704E-4</v>
      </c>
      <c r="M34" s="645">
        <v>2.8935185185185189E-4</v>
      </c>
      <c r="N34" s="786">
        <v>3.2986111111111107E-4</v>
      </c>
      <c r="O34" s="645">
        <v>3.1018518518518521E-4</v>
      </c>
      <c r="P34" s="786">
        <v>3.5648148148148149E-4</v>
      </c>
      <c r="Q34" s="646">
        <v>3.4490740740740743E-4</v>
      </c>
      <c r="R34" s="786">
        <v>3.8773148148148152E-4</v>
      </c>
      <c r="S34" s="645">
        <v>3.7499999999999995E-4</v>
      </c>
      <c r="T34" s="786">
        <v>4.2476851851851855E-4</v>
      </c>
      <c r="U34" s="653" t="s">
        <v>707</v>
      </c>
      <c r="V34" s="797">
        <v>4.6064814814814818E-4</v>
      </c>
    </row>
    <row r="35" spans="1:22" ht="56.25" customHeight="1" thickBot="1" x14ac:dyDescent="0.35">
      <c r="A35" s="1574"/>
      <c r="B35" s="1576"/>
      <c r="C35" s="647" t="s">
        <v>629</v>
      </c>
      <c r="D35" s="648" t="s">
        <v>1045</v>
      </c>
      <c r="E35" s="649" t="s">
        <v>708</v>
      </c>
      <c r="F35" s="787" t="s">
        <v>709</v>
      </c>
      <c r="G35" s="650" t="s">
        <v>710</v>
      </c>
      <c r="H35" s="787" t="s">
        <v>711</v>
      </c>
      <c r="I35" s="650" t="s">
        <v>712</v>
      </c>
      <c r="J35" s="787" t="s">
        <v>713</v>
      </c>
      <c r="K35" s="651" t="s">
        <v>714</v>
      </c>
      <c r="L35" s="787" t="s">
        <v>715</v>
      </c>
      <c r="M35" s="650" t="s">
        <v>713</v>
      </c>
      <c r="N35" s="787" t="s">
        <v>716</v>
      </c>
      <c r="O35" s="650" t="s">
        <v>717</v>
      </c>
      <c r="P35" s="787" t="s">
        <v>718</v>
      </c>
      <c r="Q35" s="651" t="s">
        <v>1061</v>
      </c>
      <c r="R35" s="787" t="s">
        <v>1062</v>
      </c>
      <c r="S35" s="651" t="s">
        <v>1063</v>
      </c>
      <c r="T35" s="787" t="s">
        <v>1064</v>
      </c>
      <c r="U35" s="651" t="s">
        <v>1065</v>
      </c>
      <c r="V35" s="800" t="s">
        <v>756</v>
      </c>
    </row>
    <row r="36" spans="1:22" ht="55.5" customHeight="1" x14ac:dyDescent="0.3">
      <c r="A36" s="1573">
        <f>A34+1</f>
        <v>12</v>
      </c>
      <c r="B36" s="1575" t="s">
        <v>719</v>
      </c>
      <c r="C36" s="642" t="s">
        <v>628</v>
      </c>
      <c r="D36" s="643" t="s">
        <v>1045</v>
      </c>
      <c r="E36" s="644"/>
      <c r="F36" s="786"/>
      <c r="G36" s="644"/>
      <c r="H36" s="786"/>
      <c r="I36" s="646">
        <v>5.5671296296296296E-4</v>
      </c>
      <c r="J36" s="786">
        <v>6.2268518518518521E-4</v>
      </c>
      <c r="K36" s="645">
        <v>5.9606481481481479E-4</v>
      </c>
      <c r="L36" s="786">
        <v>6.6666666666666664E-4</v>
      </c>
      <c r="M36" s="645">
        <v>6.4814814814814813E-4</v>
      </c>
      <c r="N36" s="786">
        <v>7.175925925925927E-4</v>
      </c>
      <c r="O36" s="645">
        <v>7.0023148148148147E-4</v>
      </c>
      <c r="P36" s="786">
        <v>7.8703703703703705E-4</v>
      </c>
      <c r="Q36" s="645">
        <v>7.6388888888888893E-4</v>
      </c>
      <c r="R36" s="786">
        <v>8.5069444444444461E-4</v>
      </c>
      <c r="S36" s="645">
        <v>8.3333333333333339E-4</v>
      </c>
      <c r="T36" s="786">
        <v>9.2129629629629636E-4</v>
      </c>
      <c r="U36" s="645">
        <v>9.0856481481481485E-4</v>
      </c>
      <c r="V36" s="797">
        <v>9.9537037037037042E-4</v>
      </c>
    </row>
    <row r="37" spans="1:22" ht="57" customHeight="1" thickBot="1" x14ac:dyDescent="0.35">
      <c r="A37" s="1574"/>
      <c r="B37" s="1576"/>
      <c r="C37" s="647" t="s">
        <v>629</v>
      </c>
      <c r="D37" s="648" t="s">
        <v>1045</v>
      </c>
      <c r="E37" s="649" t="s">
        <v>720</v>
      </c>
      <c r="F37" s="787" t="s">
        <v>667</v>
      </c>
      <c r="G37" s="650" t="s">
        <v>721</v>
      </c>
      <c r="H37" s="787" t="s">
        <v>722</v>
      </c>
      <c r="I37" s="650" t="s">
        <v>723</v>
      </c>
      <c r="J37" s="787" t="s">
        <v>724</v>
      </c>
      <c r="K37" s="651" t="s">
        <v>725</v>
      </c>
      <c r="L37" s="787" t="s">
        <v>726</v>
      </c>
      <c r="M37" s="650" t="s">
        <v>727</v>
      </c>
      <c r="N37" s="787" t="s">
        <v>728</v>
      </c>
      <c r="O37" s="650" t="s">
        <v>729</v>
      </c>
      <c r="P37" s="787" t="s">
        <v>730</v>
      </c>
      <c r="Q37" s="651" t="s">
        <v>1066</v>
      </c>
      <c r="R37" s="787" t="s">
        <v>1067</v>
      </c>
      <c r="S37" s="651" t="s">
        <v>1068</v>
      </c>
      <c r="T37" s="787" t="s">
        <v>1069</v>
      </c>
      <c r="U37" s="651" t="s">
        <v>1070</v>
      </c>
      <c r="V37" s="800" t="s">
        <v>1071</v>
      </c>
    </row>
    <row r="38" spans="1:22" ht="53.25" customHeight="1" x14ac:dyDescent="0.3">
      <c r="A38" s="1573">
        <f>A36+1</f>
        <v>13</v>
      </c>
      <c r="B38" s="1575" t="s">
        <v>731</v>
      </c>
      <c r="C38" s="642" t="s">
        <v>628</v>
      </c>
      <c r="D38" s="643" t="s">
        <v>1045</v>
      </c>
      <c r="E38" s="644"/>
      <c r="F38" s="786"/>
      <c r="G38" s="644"/>
      <c r="H38" s="786"/>
      <c r="I38" s="645">
        <v>1.25E-3</v>
      </c>
      <c r="J38" s="786">
        <v>1.3842592592592593E-3</v>
      </c>
      <c r="K38" s="645">
        <v>1.3402777777777777E-3</v>
      </c>
      <c r="L38" s="786">
        <v>1.486111111111111E-3</v>
      </c>
      <c r="M38" s="645">
        <v>1.4467592592592594E-3</v>
      </c>
      <c r="N38" s="786">
        <v>1.5914351851851851E-3</v>
      </c>
      <c r="O38" s="645">
        <v>1.5740740740740741E-3</v>
      </c>
      <c r="P38" s="786">
        <v>1.7303240740740742E-3</v>
      </c>
      <c r="Q38" s="645">
        <v>1.71875E-3</v>
      </c>
      <c r="R38" s="786">
        <v>1.8981481481481482E-3</v>
      </c>
      <c r="S38" s="645">
        <v>1.8750000000000001E-3</v>
      </c>
      <c r="T38" s="786">
        <v>2.0659722222222221E-3</v>
      </c>
      <c r="U38" s="645">
        <v>2.0254629629629629E-3</v>
      </c>
      <c r="V38" s="797">
        <v>2.2222222222222222E-3</v>
      </c>
    </row>
    <row r="39" spans="1:22" ht="53.25" customHeight="1" thickBot="1" x14ac:dyDescent="0.35">
      <c r="A39" s="1574"/>
      <c r="B39" s="1576"/>
      <c r="C39" s="647" t="s">
        <v>629</v>
      </c>
      <c r="D39" s="648" t="s">
        <v>1045</v>
      </c>
      <c r="E39" s="649" t="s">
        <v>732</v>
      </c>
      <c r="F39" s="787" t="s">
        <v>733</v>
      </c>
      <c r="G39" s="650" t="s">
        <v>734</v>
      </c>
      <c r="H39" s="787" t="s">
        <v>735</v>
      </c>
      <c r="I39" s="650" t="s">
        <v>736</v>
      </c>
      <c r="J39" s="787" t="s">
        <v>737</v>
      </c>
      <c r="K39" s="651" t="s">
        <v>738</v>
      </c>
      <c r="L39" s="787" t="s">
        <v>739</v>
      </c>
      <c r="M39" s="650" t="s">
        <v>740</v>
      </c>
      <c r="N39" s="787" t="s">
        <v>741</v>
      </c>
      <c r="O39" s="650" t="s">
        <v>679</v>
      </c>
      <c r="P39" s="787" t="s">
        <v>742</v>
      </c>
      <c r="Q39" s="651" t="s">
        <v>1072</v>
      </c>
      <c r="R39" s="787" t="s">
        <v>1073</v>
      </c>
      <c r="S39" s="651" t="s">
        <v>1074</v>
      </c>
      <c r="T39" s="787" t="s">
        <v>1075</v>
      </c>
      <c r="U39" s="651" t="s">
        <v>1049</v>
      </c>
      <c r="V39" s="800" t="s">
        <v>1076</v>
      </c>
    </row>
    <row r="40" spans="1:22" ht="54.75" customHeight="1" x14ac:dyDescent="0.3">
      <c r="A40" s="1573">
        <f>A38+1</f>
        <v>14</v>
      </c>
      <c r="B40" s="1575" t="s">
        <v>1077</v>
      </c>
      <c r="C40" s="642" t="s">
        <v>628</v>
      </c>
      <c r="D40" s="643" t="s">
        <v>1045</v>
      </c>
      <c r="E40" s="654"/>
      <c r="F40" s="788"/>
      <c r="G40" s="654"/>
      <c r="H40" s="788"/>
      <c r="I40" s="653" t="s">
        <v>1078</v>
      </c>
      <c r="J40" s="788" t="s">
        <v>1079</v>
      </c>
      <c r="K40" s="653" t="s">
        <v>1080</v>
      </c>
      <c r="L40" s="788" t="s">
        <v>1081</v>
      </c>
      <c r="M40" s="653" t="s">
        <v>1082</v>
      </c>
      <c r="N40" s="788" t="s">
        <v>1083</v>
      </c>
      <c r="O40" s="653" t="s">
        <v>1083</v>
      </c>
      <c r="P40" s="788" t="s">
        <v>1084</v>
      </c>
      <c r="Q40" s="653" t="s">
        <v>1085</v>
      </c>
      <c r="R40" s="788" t="s">
        <v>1086</v>
      </c>
      <c r="S40" s="653" t="s">
        <v>1087</v>
      </c>
      <c r="T40" s="788" t="s">
        <v>1088</v>
      </c>
      <c r="U40" s="653" t="s">
        <v>1089</v>
      </c>
      <c r="V40" s="801" t="s">
        <v>1090</v>
      </c>
    </row>
    <row r="41" spans="1:22" ht="56.25" customHeight="1" thickBot="1" x14ac:dyDescent="0.35">
      <c r="A41" s="1574"/>
      <c r="B41" s="1576"/>
      <c r="C41" s="647" t="s">
        <v>629</v>
      </c>
      <c r="D41" s="648" t="s">
        <v>1045</v>
      </c>
      <c r="E41" s="649" t="s">
        <v>1091</v>
      </c>
      <c r="F41" s="787" t="s">
        <v>1092</v>
      </c>
      <c r="G41" s="650" t="s">
        <v>1093</v>
      </c>
      <c r="H41" s="787" t="s">
        <v>1094</v>
      </c>
      <c r="I41" s="650" t="s">
        <v>1095</v>
      </c>
      <c r="J41" s="787" t="s">
        <v>844</v>
      </c>
      <c r="K41" s="651" t="s">
        <v>686</v>
      </c>
      <c r="L41" s="787" t="s">
        <v>1096</v>
      </c>
      <c r="M41" s="650" t="s">
        <v>1097</v>
      </c>
      <c r="N41" s="787" t="s">
        <v>1098</v>
      </c>
      <c r="O41" s="650" t="s">
        <v>1098</v>
      </c>
      <c r="P41" s="787" t="s">
        <v>1099</v>
      </c>
      <c r="Q41" s="651" t="s">
        <v>1100</v>
      </c>
      <c r="R41" s="787" t="s">
        <v>1101</v>
      </c>
      <c r="S41" s="651" t="s">
        <v>1102</v>
      </c>
      <c r="T41" s="787" t="s">
        <v>1103</v>
      </c>
      <c r="U41" s="651" t="s">
        <v>1104</v>
      </c>
      <c r="V41" s="800" t="s">
        <v>1105</v>
      </c>
    </row>
    <row r="42" spans="1:22" ht="101.25" customHeight="1" x14ac:dyDescent="0.3">
      <c r="A42" s="1573">
        <f>A40+1</f>
        <v>15</v>
      </c>
      <c r="B42" s="1575" t="s">
        <v>1106</v>
      </c>
      <c r="C42" s="642" t="s">
        <v>628</v>
      </c>
      <c r="D42" s="643" t="s">
        <v>1045</v>
      </c>
      <c r="E42" s="644"/>
      <c r="F42" s="786"/>
      <c r="G42" s="644"/>
      <c r="H42" s="786"/>
      <c r="I42" s="646">
        <v>5.5671296296296296E-4</v>
      </c>
      <c r="J42" s="786">
        <v>6.2268518518518521E-4</v>
      </c>
      <c r="K42" s="645">
        <v>5.9606481481481479E-4</v>
      </c>
      <c r="L42" s="786">
        <v>6.6666666666666664E-4</v>
      </c>
      <c r="M42" s="645">
        <v>6.4814814814814813E-4</v>
      </c>
      <c r="N42" s="786">
        <v>7.175925925925927E-4</v>
      </c>
      <c r="O42" s="645">
        <v>7.0023148148148147E-4</v>
      </c>
      <c r="P42" s="786">
        <v>7.8703703703703705E-4</v>
      </c>
      <c r="Q42" s="645">
        <v>7.6388888888888893E-4</v>
      </c>
      <c r="R42" s="786">
        <v>8.5069444444444461E-4</v>
      </c>
      <c r="S42" s="645">
        <v>8.3333333333333339E-4</v>
      </c>
      <c r="T42" s="786">
        <v>9.2129629629629636E-4</v>
      </c>
      <c r="U42" s="645">
        <v>9.0856481481481485E-4</v>
      </c>
      <c r="V42" s="797">
        <v>9.9537037037037042E-4</v>
      </c>
    </row>
    <row r="43" spans="1:22" ht="101.25" customHeight="1" thickBot="1" x14ac:dyDescent="0.35">
      <c r="A43" s="1574"/>
      <c r="B43" s="1576"/>
      <c r="C43" s="647" t="s">
        <v>629</v>
      </c>
      <c r="D43" s="648" t="s">
        <v>1045</v>
      </c>
      <c r="E43" s="649" t="s">
        <v>720</v>
      </c>
      <c r="F43" s="787" t="s">
        <v>667</v>
      </c>
      <c r="G43" s="650" t="s">
        <v>721</v>
      </c>
      <c r="H43" s="787" t="s">
        <v>722</v>
      </c>
      <c r="I43" s="650" t="s">
        <v>723</v>
      </c>
      <c r="J43" s="787" t="s">
        <v>724</v>
      </c>
      <c r="K43" s="651" t="s">
        <v>725</v>
      </c>
      <c r="L43" s="787" t="s">
        <v>726</v>
      </c>
      <c r="M43" s="650" t="s">
        <v>727</v>
      </c>
      <c r="N43" s="787" t="s">
        <v>728</v>
      </c>
      <c r="O43" s="650" t="s">
        <v>729</v>
      </c>
      <c r="P43" s="787" t="s">
        <v>730</v>
      </c>
      <c r="Q43" s="651" t="s">
        <v>1066</v>
      </c>
      <c r="R43" s="787" t="s">
        <v>1067</v>
      </c>
      <c r="S43" s="651" t="s">
        <v>1068</v>
      </c>
      <c r="T43" s="787" t="s">
        <v>1069</v>
      </c>
      <c r="U43" s="651" t="s">
        <v>1070</v>
      </c>
      <c r="V43" s="800" t="s">
        <v>1071</v>
      </c>
    </row>
    <row r="44" spans="1:22" ht="53.25" customHeight="1" x14ac:dyDescent="0.3">
      <c r="A44" s="1573">
        <f>A42+1</f>
        <v>16</v>
      </c>
      <c r="B44" s="1575" t="s">
        <v>138</v>
      </c>
      <c r="C44" s="642" t="s">
        <v>628</v>
      </c>
      <c r="D44" s="643" t="s">
        <v>1045</v>
      </c>
      <c r="E44" s="644"/>
      <c r="F44" s="786"/>
      <c r="G44" s="644"/>
      <c r="H44" s="786"/>
      <c r="I44" s="645">
        <v>2.0370370370370369E-4</v>
      </c>
      <c r="J44" s="786">
        <v>2.2800925925925926E-4</v>
      </c>
      <c r="K44" s="645">
        <v>2.1412037037037038E-4</v>
      </c>
      <c r="L44" s="786">
        <v>2.4421296296296295E-4</v>
      </c>
      <c r="M44" s="645">
        <v>2.3263888888888889E-4</v>
      </c>
      <c r="N44" s="786">
        <v>2.6504629629629626E-4</v>
      </c>
      <c r="O44" s="645">
        <v>2.5347222222222221E-4</v>
      </c>
      <c r="P44" s="786">
        <v>2.8703703703703703E-4</v>
      </c>
      <c r="Q44" s="653" t="s">
        <v>139</v>
      </c>
      <c r="R44" s="788" t="s">
        <v>140</v>
      </c>
      <c r="S44" s="653" t="s">
        <v>141</v>
      </c>
      <c r="T44" s="788" t="s">
        <v>142</v>
      </c>
      <c r="U44" s="653" t="s">
        <v>143</v>
      </c>
      <c r="V44" s="801" t="s">
        <v>144</v>
      </c>
    </row>
    <row r="45" spans="1:22" ht="53.25" customHeight="1" thickBot="1" x14ac:dyDescent="0.35">
      <c r="A45" s="1574"/>
      <c r="B45" s="1576"/>
      <c r="C45" s="647" t="s">
        <v>629</v>
      </c>
      <c r="D45" s="648" t="s">
        <v>1045</v>
      </c>
      <c r="E45" s="649" t="s">
        <v>743</v>
      </c>
      <c r="F45" s="787" t="s">
        <v>744</v>
      </c>
      <c r="G45" s="650" t="s">
        <v>745</v>
      </c>
      <c r="H45" s="787" t="s">
        <v>746</v>
      </c>
      <c r="I45" s="650" t="s">
        <v>747</v>
      </c>
      <c r="J45" s="787" t="s">
        <v>748</v>
      </c>
      <c r="K45" s="651" t="s">
        <v>749</v>
      </c>
      <c r="L45" s="787" t="s">
        <v>638</v>
      </c>
      <c r="M45" s="650" t="s">
        <v>750</v>
      </c>
      <c r="N45" s="787" t="s">
        <v>640</v>
      </c>
      <c r="O45" s="650" t="s">
        <v>751</v>
      </c>
      <c r="P45" s="787" t="s">
        <v>752</v>
      </c>
      <c r="Q45" s="651" t="s">
        <v>1107</v>
      </c>
      <c r="R45" s="787" t="s">
        <v>1108</v>
      </c>
      <c r="S45" s="651" t="s">
        <v>1109</v>
      </c>
      <c r="T45" s="787" t="s">
        <v>1110</v>
      </c>
      <c r="U45" s="651" t="s">
        <v>1111</v>
      </c>
      <c r="V45" s="800" t="s">
        <v>1063</v>
      </c>
    </row>
    <row r="46" spans="1:22" ht="55.5" customHeight="1" x14ac:dyDescent="0.3">
      <c r="A46" s="1573">
        <f>A44+1</f>
        <v>17</v>
      </c>
      <c r="B46" s="1575" t="s">
        <v>145</v>
      </c>
      <c r="C46" s="642" t="s">
        <v>628</v>
      </c>
      <c r="D46" s="643" t="s">
        <v>1045</v>
      </c>
      <c r="E46" s="644"/>
      <c r="F46" s="786"/>
      <c r="G46" s="644"/>
      <c r="H46" s="786"/>
      <c r="I46" s="645">
        <v>4.5601851851851852E-4</v>
      </c>
      <c r="J46" s="786">
        <v>5.0694444444444441E-4</v>
      </c>
      <c r="K46" s="645">
        <v>4.895833333333333E-4</v>
      </c>
      <c r="L46" s="786">
        <v>5.4398148148148144E-4</v>
      </c>
      <c r="M46" s="645">
        <v>5.3125000000000004E-4</v>
      </c>
      <c r="N46" s="786">
        <v>5.9027777777777778E-4</v>
      </c>
      <c r="O46" s="645">
        <v>5.7638888888888887E-4</v>
      </c>
      <c r="P46" s="786">
        <v>6.3888888888888893E-4</v>
      </c>
      <c r="Q46" s="653" t="s">
        <v>146</v>
      </c>
      <c r="R46" s="788" t="s">
        <v>753</v>
      </c>
      <c r="S46" s="653" t="s">
        <v>147</v>
      </c>
      <c r="T46" s="788" t="s">
        <v>754</v>
      </c>
      <c r="U46" s="653" t="s">
        <v>148</v>
      </c>
      <c r="V46" s="797">
        <v>8.1481481481481476E-4</v>
      </c>
    </row>
    <row r="47" spans="1:22" ht="55.5" customHeight="1" thickBot="1" x14ac:dyDescent="0.35">
      <c r="A47" s="1574"/>
      <c r="B47" s="1576"/>
      <c r="C47" s="647" t="s">
        <v>629</v>
      </c>
      <c r="D47" s="648" t="s">
        <v>1045</v>
      </c>
      <c r="E47" s="649" t="s">
        <v>755</v>
      </c>
      <c r="F47" s="787" t="s">
        <v>756</v>
      </c>
      <c r="G47" s="650" t="s">
        <v>757</v>
      </c>
      <c r="H47" s="787" t="s">
        <v>758</v>
      </c>
      <c r="I47" s="650" t="s">
        <v>759</v>
      </c>
      <c r="J47" s="787" t="s">
        <v>720</v>
      </c>
      <c r="K47" s="651" t="s">
        <v>760</v>
      </c>
      <c r="L47" s="787" t="s">
        <v>761</v>
      </c>
      <c r="M47" s="650" t="s">
        <v>762</v>
      </c>
      <c r="N47" s="787" t="s">
        <v>763</v>
      </c>
      <c r="O47" s="650" t="s">
        <v>764</v>
      </c>
      <c r="P47" s="787" t="s">
        <v>765</v>
      </c>
      <c r="Q47" s="651" t="s">
        <v>1112</v>
      </c>
      <c r="R47" s="787" t="s">
        <v>1113</v>
      </c>
      <c r="S47" s="651" t="s">
        <v>1114</v>
      </c>
      <c r="T47" s="787" t="s">
        <v>1115</v>
      </c>
      <c r="U47" s="651" t="s">
        <v>1116</v>
      </c>
      <c r="V47" s="800" t="s">
        <v>1117</v>
      </c>
    </row>
    <row r="48" spans="1:22" ht="54.75" customHeight="1" x14ac:dyDescent="0.3">
      <c r="A48" s="1573">
        <f>A46+1</f>
        <v>18</v>
      </c>
      <c r="B48" s="1575" t="s">
        <v>149</v>
      </c>
      <c r="C48" s="642" t="s">
        <v>628</v>
      </c>
      <c r="D48" s="643" t="s">
        <v>1045</v>
      </c>
      <c r="E48" s="644"/>
      <c r="F48" s="786"/>
      <c r="G48" s="644"/>
      <c r="H48" s="786"/>
      <c r="I48" s="645">
        <v>1.0590277777777777E-3</v>
      </c>
      <c r="J48" s="786">
        <v>1.1689814814814816E-3</v>
      </c>
      <c r="K48" s="645">
        <v>1.1342592592592591E-3</v>
      </c>
      <c r="L48" s="786">
        <v>1.2442129629629628E-3</v>
      </c>
      <c r="M48" s="645">
        <v>1.2384259259259258E-3</v>
      </c>
      <c r="N48" s="786">
        <v>1.3599537037037037E-3</v>
      </c>
      <c r="O48" s="645">
        <v>1.3368055555555555E-3</v>
      </c>
      <c r="P48" s="786">
        <v>1.4606481481481482E-3</v>
      </c>
      <c r="Q48" s="653" t="s">
        <v>150</v>
      </c>
      <c r="R48" s="788" t="s">
        <v>766</v>
      </c>
      <c r="S48" s="653" t="s">
        <v>151</v>
      </c>
      <c r="T48" s="788" t="s">
        <v>767</v>
      </c>
      <c r="U48" s="653" t="s">
        <v>152</v>
      </c>
      <c r="V48" s="801" t="s">
        <v>768</v>
      </c>
    </row>
    <row r="49" spans="1:22" ht="54.75" customHeight="1" thickBot="1" x14ac:dyDescent="0.35">
      <c r="A49" s="1574"/>
      <c r="B49" s="1576"/>
      <c r="C49" s="647" t="s">
        <v>629</v>
      </c>
      <c r="D49" s="648" t="s">
        <v>1045</v>
      </c>
      <c r="E49" s="649" t="s">
        <v>769</v>
      </c>
      <c r="F49" s="787" t="s">
        <v>770</v>
      </c>
      <c r="G49" s="650" t="s">
        <v>771</v>
      </c>
      <c r="H49" s="787" t="s">
        <v>772</v>
      </c>
      <c r="I49" s="650" t="s">
        <v>773</v>
      </c>
      <c r="J49" s="787" t="s">
        <v>774</v>
      </c>
      <c r="K49" s="651" t="s">
        <v>775</v>
      </c>
      <c r="L49" s="787" t="s">
        <v>776</v>
      </c>
      <c r="M49" s="650" t="s">
        <v>777</v>
      </c>
      <c r="N49" s="787" t="s">
        <v>778</v>
      </c>
      <c r="O49" s="650" t="s">
        <v>779</v>
      </c>
      <c r="P49" s="787" t="s">
        <v>780</v>
      </c>
      <c r="Q49" s="651" t="s">
        <v>677</v>
      </c>
      <c r="R49" s="787" t="s">
        <v>1118</v>
      </c>
      <c r="S49" s="651" t="s">
        <v>1119</v>
      </c>
      <c r="T49" s="787" t="s">
        <v>1120</v>
      </c>
      <c r="U49" s="651" t="s">
        <v>1121</v>
      </c>
      <c r="V49" s="800" t="s">
        <v>1122</v>
      </c>
    </row>
    <row r="50" spans="1:22" ht="54.75" customHeight="1" x14ac:dyDescent="0.3">
      <c r="A50" s="1573">
        <f>A48+1</f>
        <v>19</v>
      </c>
      <c r="B50" s="1575" t="s">
        <v>153</v>
      </c>
      <c r="C50" s="642" t="s">
        <v>628</v>
      </c>
      <c r="D50" s="643" t="s">
        <v>1045</v>
      </c>
      <c r="E50" s="644"/>
      <c r="F50" s="786"/>
      <c r="G50" s="644"/>
      <c r="H50" s="786"/>
      <c r="I50" s="645">
        <v>2.3379629629629631E-3</v>
      </c>
      <c r="J50" s="786">
        <v>2.5300925925925929E-3</v>
      </c>
      <c r="K50" s="645">
        <v>2.5092592592592593E-3</v>
      </c>
      <c r="L50" s="786">
        <v>2.7222222222222218E-3</v>
      </c>
      <c r="M50" s="645">
        <v>2.7175925925925926E-3</v>
      </c>
      <c r="N50" s="786">
        <v>2.9328703703703704E-3</v>
      </c>
      <c r="O50" s="645">
        <v>2.9259259259259256E-3</v>
      </c>
      <c r="P50" s="786">
        <v>3.1597222222222222E-3</v>
      </c>
      <c r="Q50" s="653" t="s">
        <v>154</v>
      </c>
      <c r="R50" s="788" t="s">
        <v>781</v>
      </c>
      <c r="S50" s="653" t="s">
        <v>155</v>
      </c>
      <c r="T50" s="788" t="s">
        <v>782</v>
      </c>
      <c r="U50" s="653" t="s">
        <v>156</v>
      </c>
      <c r="V50" s="801" t="s">
        <v>783</v>
      </c>
    </row>
    <row r="51" spans="1:22" ht="54.75" customHeight="1" thickBot="1" x14ac:dyDescent="0.35">
      <c r="A51" s="1574"/>
      <c r="B51" s="1576"/>
      <c r="C51" s="647" t="s">
        <v>629</v>
      </c>
      <c r="D51" s="648" t="s">
        <v>1045</v>
      </c>
      <c r="E51" s="649" t="s">
        <v>784</v>
      </c>
      <c r="F51" s="787" t="s">
        <v>785</v>
      </c>
      <c r="G51" s="650" t="s">
        <v>786</v>
      </c>
      <c r="H51" s="787" t="s">
        <v>787</v>
      </c>
      <c r="I51" s="650" t="s">
        <v>788</v>
      </c>
      <c r="J51" s="787" t="s">
        <v>789</v>
      </c>
      <c r="K51" s="651" t="s">
        <v>790</v>
      </c>
      <c r="L51" s="787" t="s">
        <v>791</v>
      </c>
      <c r="M51" s="650" t="s">
        <v>792</v>
      </c>
      <c r="N51" s="787" t="s">
        <v>793</v>
      </c>
      <c r="O51" s="650" t="s">
        <v>794</v>
      </c>
      <c r="P51" s="787" t="s">
        <v>795</v>
      </c>
      <c r="Q51" s="651" t="s">
        <v>1123</v>
      </c>
      <c r="R51" s="787" t="s">
        <v>693</v>
      </c>
      <c r="S51" s="651" t="s">
        <v>1124</v>
      </c>
      <c r="T51" s="787" t="s">
        <v>1125</v>
      </c>
      <c r="U51" s="651" t="s">
        <v>1126</v>
      </c>
      <c r="V51" s="800" t="s">
        <v>1053</v>
      </c>
    </row>
    <row r="52" spans="1:22" ht="76.5" customHeight="1" x14ac:dyDescent="0.3">
      <c r="A52" s="1573">
        <f>A50+1</f>
        <v>20</v>
      </c>
      <c r="B52" s="1575" t="s">
        <v>157</v>
      </c>
      <c r="C52" s="642" t="s">
        <v>628</v>
      </c>
      <c r="D52" s="643" t="s">
        <v>1045</v>
      </c>
      <c r="E52" s="644"/>
      <c r="F52" s="786"/>
      <c r="G52" s="644"/>
      <c r="H52" s="786"/>
      <c r="I52" s="645">
        <v>5.0289351851851849E-3</v>
      </c>
      <c r="J52" s="786">
        <v>5.4166666666666669E-3</v>
      </c>
      <c r="K52" s="645">
        <v>5.2777777777777771E-3</v>
      </c>
      <c r="L52" s="786">
        <v>5.7928240740740744E-3</v>
      </c>
      <c r="M52" s="645">
        <v>5.8449074074074072E-3</v>
      </c>
      <c r="N52" s="786">
        <v>6.2789351851851851E-3</v>
      </c>
      <c r="O52" s="645">
        <v>6.3101851851851852E-3</v>
      </c>
      <c r="P52" s="786">
        <v>6.7650462962962968E-3</v>
      </c>
      <c r="Q52" s="645">
        <v>6.8865740740740736E-3</v>
      </c>
      <c r="R52" s="786">
        <v>7.3900462962962973E-3</v>
      </c>
      <c r="S52" s="645">
        <v>7.5694444444444446E-3</v>
      </c>
      <c r="T52" s="786">
        <v>8.1249999999999985E-3</v>
      </c>
      <c r="U52" s="645">
        <v>8.2233796296296308E-3</v>
      </c>
      <c r="V52" s="797">
        <v>8.7557870370370359E-3</v>
      </c>
    </row>
    <row r="53" spans="1:22" ht="70.5" customHeight="1" thickBot="1" x14ac:dyDescent="0.35">
      <c r="A53" s="1574"/>
      <c r="B53" s="1576"/>
      <c r="C53" s="647" t="s">
        <v>629</v>
      </c>
      <c r="D53" s="648" t="s">
        <v>1045</v>
      </c>
      <c r="E53" s="649" t="s">
        <v>796</v>
      </c>
      <c r="F53" s="787" t="s">
        <v>797</v>
      </c>
      <c r="G53" s="650" t="s">
        <v>798</v>
      </c>
      <c r="H53" s="787" t="s">
        <v>799</v>
      </c>
      <c r="I53" s="650" t="s">
        <v>800</v>
      </c>
      <c r="J53" s="787" t="s">
        <v>801</v>
      </c>
      <c r="K53" s="651" t="s">
        <v>802</v>
      </c>
      <c r="L53" s="787" t="s">
        <v>803</v>
      </c>
      <c r="M53" s="650" t="s">
        <v>804</v>
      </c>
      <c r="N53" s="787" t="s">
        <v>805</v>
      </c>
      <c r="O53" s="650" t="s">
        <v>806</v>
      </c>
      <c r="P53" s="787" t="s">
        <v>807</v>
      </c>
      <c r="Q53" s="651" t="s">
        <v>1127</v>
      </c>
      <c r="R53" s="787" t="s">
        <v>1128</v>
      </c>
      <c r="S53" s="651" t="s">
        <v>1129</v>
      </c>
      <c r="T53" s="787" t="s">
        <v>1130</v>
      </c>
      <c r="U53" s="651" t="s">
        <v>1131</v>
      </c>
      <c r="V53" s="800" t="s">
        <v>1132</v>
      </c>
    </row>
    <row r="54" spans="1:22" ht="76.5" customHeight="1" x14ac:dyDescent="0.3">
      <c r="A54" s="1573">
        <f>A52+1</f>
        <v>21</v>
      </c>
      <c r="B54" s="1575" t="s">
        <v>808</v>
      </c>
      <c r="C54" s="642" t="s">
        <v>628</v>
      </c>
      <c r="D54" s="643" t="s">
        <v>1045</v>
      </c>
      <c r="E54" s="644"/>
      <c r="F54" s="786"/>
      <c r="G54" s="644"/>
      <c r="H54" s="786"/>
      <c r="I54" s="645">
        <v>9.6990740740740735E-3</v>
      </c>
      <c r="J54" s="786">
        <v>1.0399305555555556E-2</v>
      </c>
      <c r="K54" s="646">
        <v>1.0329861111111111E-2</v>
      </c>
      <c r="L54" s="786">
        <v>1.1111111111111112E-2</v>
      </c>
      <c r="M54" s="645">
        <v>1.1284722222222222E-2</v>
      </c>
      <c r="N54" s="786">
        <v>1.208912037037037E-2</v>
      </c>
      <c r="O54" s="645">
        <v>1.2187500000000002E-2</v>
      </c>
      <c r="P54" s="786">
        <v>1.3078703703703703E-2</v>
      </c>
      <c r="Q54" s="654"/>
      <c r="R54" s="788"/>
      <c r="S54" s="654"/>
      <c r="T54" s="788"/>
      <c r="U54" s="654"/>
      <c r="V54" s="801"/>
    </row>
    <row r="55" spans="1:22" ht="72.900000000000006" customHeight="1" thickBot="1" x14ac:dyDescent="0.35">
      <c r="A55" s="1574"/>
      <c r="B55" s="1576"/>
      <c r="C55" s="647" t="s">
        <v>629</v>
      </c>
      <c r="D55" s="648" t="s">
        <v>1045</v>
      </c>
      <c r="E55" s="649" t="s">
        <v>809</v>
      </c>
      <c r="F55" s="787" t="s">
        <v>810</v>
      </c>
      <c r="G55" s="650" t="s">
        <v>811</v>
      </c>
      <c r="H55" s="787" t="s">
        <v>812</v>
      </c>
      <c r="I55" s="650" t="s">
        <v>813</v>
      </c>
      <c r="J55" s="787" t="s">
        <v>814</v>
      </c>
      <c r="K55" s="651" t="s">
        <v>815</v>
      </c>
      <c r="L55" s="787" t="s">
        <v>816</v>
      </c>
      <c r="M55" s="650" t="s">
        <v>817</v>
      </c>
      <c r="N55" s="787" t="s">
        <v>818</v>
      </c>
      <c r="O55" s="650" t="s">
        <v>819</v>
      </c>
      <c r="P55" s="787" t="s">
        <v>820</v>
      </c>
      <c r="Q55" s="652"/>
      <c r="R55" s="787"/>
      <c r="S55" s="652"/>
      <c r="T55" s="787"/>
      <c r="U55" s="652"/>
      <c r="V55" s="800"/>
    </row>
    <row r="56" spans="1:22" ht="90.75" customHeight="1" x14ac:dyDescent="0.3">
      <c r="A56" s="1573">
        <f>A54+1</f>
        <v>22</v>
      </c>
      <c r="B56" s="1575" t="s">
        <v>1133</v>
      </c>
      <c r="C56" s="642" t="s">
        <v>628</v>
      </c>
      <c r="D56" s="643" t="s">
        <v>1045</v>
      </c>
      <c r="E56" s="644"/>
      <c r="F56" s="786"/>
      <c r="G56" s="644"/>
      <c r="H56" s="786"/>
      <c r="I56" s="645">
        <v>2.0370370370370369E-4</v>
      </c>
      <c r="J56" s="786">
        <v>2.2800925925925926E-4</v>
      </c>
      <c r="K56" s="645">
        <v>2.1412037037037038E-4</v>
      </c>
      <c r="L56" s="786">
        <v>2.4421296296296295E-4</v>
      </c>
      <c r="M56" s="645">
        <v>2.3263888888888889E-4</v>
      </c>
      <c r="N56" s="786">
        <v>2.6504629629629626E-4</v>
      </c>
      <c r="O56" s="645">
        <v>2.5347222222222221E-4</v>
      </c>
      <c r="P56" s="786">
        <v>2.8703703703703703E-4</v>
      </c>
      <c r="Q56" s="653" t="s">
        <v>139</v>
      </c>
      <c r="R56" s="788" t="s">
        <v>140</v>
      </c>
      <c r="S56" s="653" t="s">
        <v>141</v>
      </c>
      <c r="T56" s="788" t="s">
        <v>142</v>
      </c>
      <c r="U56" s="653" t="s">
        <v>143</v>
      </c>
      <c r="V56" s="801" t="s">
        <v>144</v>
      </c>
    </row>
    <row r="57" spans="1:22" ht="90.75" customHeight="1" thickBot="1" x14ac:dyDescent="0.35">
      <c r="A57" s="1574"/>
      <c r="B57" s="1576"/>
      <c r="C57" s="647" t="s">
        <v>629</v>
      </c>
      <c r="D57" s="648" t="s">
        <v>1045</v>
      </c>
      <c r="E57" s="649" t="s">
        <v>743</v>
      </c>
      <c r="F57" s="787" t="s">
        <v>744</v>
      </c>
      <c r="G57" s="650" t="s">
        <v>745</v>
      </c>
      <c r="H57" s="787" t="s">
        <v>746</v>
      </c>
      <c r="I57" s="650" t="s">
        <v>747</v>
      </c>
      <c r="J57" s="787" t="s">
        <v>748</v>
      </c>
      <c r="K57" s="651" t="s">
        <v>749</v>
      </c>
      <c r="L57" s="787" t="s">
        <v>638</v>
      </c>
      <c r="M57" s="650" t="s">
        <v>750</v>
      </c>
      <c r="N57" s="787" t="s">
        <v>640</v>
      </c>
      <c r="O57" s="650" t="s">
        <v>751</v>
      </c>
      <c r="P57" s="787" t="s">
        <v>752</v>
      </c>
      <c r="Q57" s="651" t="s">
        <v>1107</v>
      </c>
      <c r="R57" s="787" t="s">
        <v>1108</v>
      </c>
      <c r="S57" s="651" t="s">
        <v>1109</v>
      </c>
      <c r="T57" s="787" t="s">
        <v>1110</v>
      </c>
      <c r="U57" s="651" t="s">
        <v>1111</v>
      </c>
      <c r="V57" s="800" t="s">
        <v>1063</v>
      </c>
    </row>
    <row r="58" spans="1:22" ht="90.75" customHeight="1" x14ac:dyDescent="0.3">
      <c r="A58" s="1573">
        <f>A56+1</f>
        <v>23</v>
      </c>
      <c r="B58" s="1575" t="s">
        <v>821</v>
      </c>
      <c r="C58" s="642" t="s">
        <v>628</v>
      </c>
      <c r="D58" s="643" t="s">
        <v>1045</v>
      </c>
      <c r="E58" s="644"/>
      <c r="F58" s="786"/>
      <c r="G58" s="644"/>
      <c r="H58" s="786"/>
      <c r="I58" s="645">
        <v>4.5601851851851852E-4</v>
      </c>
      <c r="J58" s="786">
        <v>5.0694444444444441E-4</v>
      </c>
      <c r="K58" s="645">
        <v>4.895833333333333E-4</v>
      </c>
      <c r="L58" s="786">
        <v>5.4398148148148144E-4</v>
      </c>
      <c r="M58" s="645">
        <v>5.3125000000000004E-4</v>
      </c>
      <c r="N58" s="786">
        <v>5.9027777777777778E-4</v>
      </c>
      <c r="O58" s="645">
        <v>5.7638888888888887E-4</v>
      </c>
      <c r="P58" s="786">
        <v>6.3888888888888893E-4</v>
      </c>
      <c r="Q58" s="653" t="s">
        <v>146</v>
      </c>
      <c r="R58" s="788" t="s">
        <v>753</v>
      </c>
      <c r="S58" s="653" t="s">
        <v>147</v>
      </c>
      <c r="T58" s="788" t="s">
        <v>754</v>
      </c>
      <c r="U58" s="653" t="s">
        <v>148</v>
      </c>
      <c r="V58" s="797">
        <v>8.1481481481481476E-4</v>
      </c>
    </row>
    <row r="59" spans="1:22" ht="90.75" customHeight="1" thickBot="1" x14ac:dyDescent="0.35">
      <c r="A59" s="1574"/>
      <c r="B59" s="1576"/>
      <c r="C59" s="647" t="s">
        <v>629</v>
      </c>
      <c r="D59" s="648" t="s">
        <v>1045</v>
      </c>
      <c r="E59" s="649" t="s">
        <v>755</v>
      </c>
      <c r="F59" s="787" t="s">
        <v>756</v>
      </c>
      <c r="G59" s="650" t="s">
        <v>757</v>
      </c>
      <c r="H59" s="787" t="s">
        <v>758</v>
      </c>
      <c r="I59" s="650" t="s">
        <v>759</v>
      </c>
      <c r="J59" s="787" t="s">
        <v>720</v>
      </c>
      <c r="K59" s="651" t="s">
        <v>760</v>
      </c>
      <c r="L59" s="787" t="s">
        <v>761</v>
      </c>
      <c r="M59" s="650" t="s">
        <v>762</v>
      </c>
      <c r="N59" s="787" t="s">
        <v>763</v>
      </c>
      <c r="O59" s="650" t="s">
        <v>764</v>
      </c>
      <c r="P59" s="787" t="s">
        <v>765</v>
      </c>
      <c r="Q59" s="651" t="s">
        <v>1112</v>
      </c>
      <c r="R59" s="787" t="s">
        <v>1113</v>
      </c>
      <c r="S59" s="651" t="s">
        <v>1114</v>
      </c>
      <c r="T59" s="787" t="s">
        <v>1115</v>
      </c>
      <c r="U59" s="651" t="s">
        <v>1116</v>
      </c>
      <c r="V59" s="800" t="s">
        <v>1117</v>
      </c>
    </row>
    <row r="60" spans="1:22" ht="90.75" customHeight="1" x14ac:dyDescent="0.3">
      <c r="A60" s="1573">
        <f>A58+1</f>
        <v>24</v>
      </c>
      <c r="B60" s="1575" t="s">
        <v>822</v>
      </c>
      <c r="C60" s="642" t="s">
        <v>628</v>
      </c>
      <c r="D60" s="643" t="s">
        <v>1045</v>
      </c>
      <c r="E60" s="644"/>
      <c r="F60" s="786"/>
      <c r="G60" s="644"/>
      <c r="H60" s="786"/>
      <c r="I60" s="645">
        <v>1.0590277777777777E-3</v>
      </c>
      <c r="J60" s="786">
        <v>1.1689814814814816E-3</v>
      </c>
      <c r="K60" s="645">
        <v>1.1342592592592591E-3</v>
      </c>
      <c r="L60" s="786">
        <v>1.2442129629629628E-3</v>
      </c>
      <c r="M60" s="645">
        <v>1.2384259259259258E-3</v>
      </c>
      <c r="N60" s="786">
        <v>1.3599537037037037E-3</v>
      </c>
      <c r="O60" s="645">
        <v>1.3368055555555555E-3</v>
      </c>
      <c r="P60" s="786">
        <v>1.4606481481481482E-3</v>
      </c>
      <c r="Q60" s="653" t="s">
        <v>150</v>
      </c>
      <c r="R60" s="788" t="s">
        <v>766</v>
      </c>
      <c r="S60" s="653" t="s">
        <v>151</v>
      </c>
      <c r="T60" s="788" t="s">
        <v>767</v>
      </c>
      <c r="U60" s="653" t="s">
        <v>152</v>
      </c>
      <c r="V60" s="801" t="s">
        <v>768</v>
      </c>
    </row>
    <row r="61" spans="1:22" ht="90.75" customHeight="1" thickBot="1" x14ac:dyDescent="0.35">
      <c r="A61" s="1574"/>
      <c r="B61" s="1576"/>
      <c r="C61" s="647" t="s">
        <v>629</v>
      </c>
      <c r="D61" s="648" t="s">
        <v>1045</v>
      </c>
      <c r="E61" s="649" t="s">
        <v>769</v>
      </c>
      <c r="F61" s="787" t="s">
        <v>770</v>
      </c>
      <c r="G61" s="650" t="s">
        <v>771</v>
      </c>
      <c r="H61" s="787" t="s">
        <v>772</v>
      </c>
      <c r="I61" s="650" t="s">
        <v>773</v>
      </c>
      <c r="J61" s="787" t="s">
        <v>774</v>
      </c>
      <c r="K61" s="651" t="s">
        <v>775</v>
      </c>
      <c r="L61" s="787" t="s">
        <v>776</v>
      </c>
      <c r="M61" s="650" t="s">
        <v>777</v>
      </c>
      <c r="N61" s="787" t="s">
        <v>778</v>
      </c>
      <c r="O61" s="650" t="s">
        <v>779</v>
      </c>
      <c r="P61" s="787" t="s">
        <v>780</v>
      </c>
      <c r="Q61" s="651" t="s">
        <v>677</v>
      </c>
      <c r="R61" s="787" t="s">
        <v>1118</v>
      </c>
      <c r="S61" s="651" t="s">
        <v>1119</v>
      </c>
      <c r="T61" s="787" t="s">
        <v>1120</v>
      </c>
      <c r="U61" s="651" t="s">
        <v>1121</v>
      </c>
      <c r="V61" s="800" t="s">
        <v>1122</v>
      </c>
    </row>
    <row r="62" spans="1:22" ht="56.25" customHeight="1" thickBot="1" x14ac:dyDescent="0.35">
      <c r="A62" s="1573">
        <f>A60+1</f>
        <v>25</v>
      </c>
      <c r="B62" s="1575" t="s">
        <v>1134</v>
      </c>
      <c r="C62" s="655" t="s">
        <v>628</v>
      </c>
      <c r="D62" s="637" t="s">
        <v>1045</v>
      </c>
      <c r="E62" s="640"/>
      <c r="F62" s="789"/>
      <c r="G62" s="640"/>
      <c r="H62" s="789"/>
      <c r="I62" s="656">
        <v>4.1898148148148155E-4</v>
      </c>
      <c r="J62" s="789">
        <v>4.5949074074074078E-4</v>
      </c>
      <c r="K62" s="656">
        <v>4.4907407407407401E-4</v>
      </c>
      <c r="L62" s="789">
        <v>4.9305555555555561E-4</v>
      </c>
      <c r="M62" s="656">
        <v>4.8726851851851855E-4</v>
      </c>
      <c r="N62" s="789">
        <v>5.3472222222222224E-4</v>
      </c>
      <c r="O62" s="656">
        <v>5.3009259259259253E-4</v>
      </c>
      <c r="P62" s="789">
        <v>5.8101851851851858E-4</v>
      </c>
      <c r="Q62" s="657" t="s">
        <v>158</v>
      </c>
      <c r="R62" s="790" t="s">
        <v>159</v>
      </c>
      <c r="S62" s="657" t="s">
        <v>160</v>
      </c>
      <c r="T62" s="790" t="s">
        <v>161</v>
      </c>
      <c r="U62" s="657" t="s">
        <v>162</v>
      </c>
      <c r="V62" s="802" t="s">
        <v>163</v>
      </c>
    </row>
    <row r="63" spans="1:22" ht="56.25" customHeight="1" thickBot="1" x14ac:dyDescent="0.35">
      <c r="A63" s="1574"/>
      <c r="B63" s="1576"/>
      <c r="C63" s="655" t="s">
        <v>629</v>
      </c>
      <c r="D63" s="637" t="s">
        <v>1045</v>
      </c>
      <c r="E63" s="658" t="s">
        <v>823</v>
      </c>
      <c r="F63" s="790" t="s">
        <v>824</v>
      </c>
      <c r="G63" s="657" t="s">
        <v>825</v>
      </c>
      <c r="H63" s="790" t="s">
        <v>826</v>
      </c>
      <c r="I63" s="657" t="s">
        <v>827</v>
      </c>
      <c r="J63" s="790" t="s">
        <v>828</v>
      </c>
      <c r="K63" s="659" t="s">
        <v>756</v>
      </c>
      <c r="L63" s="790" t="s">
        <v>829</v>
      </c>
      <c r="M63" s="657" t="s">
        <v>830</v>
      </c>
      <c r="N63" s="790" t="s">
        <v>831</v>
      </c>
      <c r="O63" s="657" t="s">
        <v>721</v>
      </c>
      <c r="P63" s="790" t="s">
        <v>832</v>
      </c>
      <c r="Q63" s="659" t="s">
        <v>832</v>
      </c>
      <c r="R63" s="790" t="s">
        <v>1135</v>
      </c>
      <c r="S63" s="659" t="s">
        <v>1136</v>
      </c>
      <c r="T63" s="790" t="s">
        <v>1137</v>
      </c>
      <c r="U63" s="659" t="s">
        <v>1138</v>
      </c>
      <c r="V63" s="802" t="s">
        <v>1139</v>
      </c>
    </row>
    <row r="64" spans="1:22" ht="54.75" customHeight="1" x14ac:dyDescent="0.3">
      <c r="A64" s="1573">
        <f>A62+1</f>
        <v>26</v>
      </c>
      <c r="B64" s="1575" t="s">
        <v>833</v>
      </c>
      <c r="C64" s="642" t="s">
        <v>628</v>
      </c>
      <c r="D64" s="643" t="s">
        <v>1045</v>
      </c>
      <c r="E64" s="644"/>
      <c r="F64" s="786"/>
      <c r="G64" s="644"/>
      <c r="H64" s="786"/>
      <c r="I64" s="660">
        <v>2.1724537037037038E-3</v>
      </c>
      <c r="J64" s="809">
        <v>2.3495370370370371E-3</v>
      </c>
      <c r="K64" s="660">
        <v>2.3263888888888887E-3</v>
      </c>
      <c r="L64" s="809">
        <v>2.5231481481481481E-3</v>
      </c>
      <c r="M64" s="660">
        <v>2.5231481481481481E-3</v>
      </c>
      <c r="N64" s="809">
        <v>2.7314814814814819E-3</v>
      </c>
      <c r="O64" s="660">
        <v>2.7372685185185187E-3</v>
      </c>
      <c r="P64" s="809">
        <v>2.9513888888888888E-3</v>
      </c>
      <c r="Q64" s="661"/>
      <c r="R64" s="809"/>
      <c r="S64" s="661"/>
      <c r="T64" s="809"/>
      <c r="U64" s="661"/>
      <c r="V64" s="803"/>
    </row>
    <row r="65" spans="1:22" ht="54.75" customHeight="1" thickBot="1" x14ac:dyDescent="0.35">
      <c r="A65" s="1574"/>
      <c r="B65" s="1576"/>
      <c r="C65" s="647" t="s">
        <v>629</v>
      </c>
      <c r="D65" s="648" t="s">
        <v>1045</v>
      </c>
      <c r="E65" s="649" t="s">
        <v>834</v>
      </c>
      <c r="F65" s="787" t="s">
        <v>835</v>
      </c>
      <c r="G65" s="650" t="s">
        <v>836</v>
      </c>
      <c r="H65" s="787" t="s">
        <v>837</v>
      </c>
      <c r="I65" s="650" t="s">
        <v>838</v>
      </c>
      <c r="J65" s="787" t="s">
        <v>839</v>
      </c>
      <c r="K65" s="651" t="s">
        <v>840</v>
      </c>
      <c r="L65" s="787" t="s">
        <v>841</v>
      </c>
      <c r="M65" s="650" t="s">
        <v>841</v>
      </c>
      <c r="N65" s="787" t="s">
        <v>842</v>
      </c>
      <c r="O65" s="650" t="s">
        <v>843</v>
      </c>
      <c r="P65" s="787" t="s">
        <v>844</v>
      </c>
      <c r="Q65" s="652"/>
      <c r="R65" s="787"/>
      <c r="S65" s="652"/>
      <c r="T65" s="787"/>
      <c r="U65" s="652"/>
      <c r="V65" s="800"/>
    </row>
    <row r="66" spans="1:22" s="665" customFormat="1" ht="57.75" customHeight="1" x14ac:dyDescent="0.35">
      <c r="A66" s="1573">
        <f>A64+1</f>
        <v>27</v>
      </c>
      <c r="B66" s="1602" t="s">
        <v>980</v>
      </c>
      <c r="C66" s="642" t="s">
        <v>628</v>
      </c>
      <c r="D66" s="643" t="s">
        <v>1045</v>
      </c>
      <c r="E66" s="644"/>
      <c r="F66" s="786"/>
      <c r="G66" s="644"/>
      <c r="H66" s="786"/>
      <c r="I66" s="645">
        <v>4.409722222222222E-3</v>
      </c>
      <c r="J66" s="786">
        <v>4.8032407407407407E-3</v>
      </c>
      <c r="K66" s="645">
        <v>4.7916666666666672E-3</v>
      </c>
      <c r="L66" s="786">
        <v>5.2662037037037035E-3</v>
      </c>
      <c r="M66" s="645">
        <v>5.5439814814814822E-3</v>
      </c>
      <c r="N66" s="786">
        <v>6.1342592592592594E-3</v>
      </c>
      <c r="O66" s="645">
        <v>6.5972222222222222E-3</v>
      </c>
      <c r="P66" s="786">
        <v>7.2453703703703708E-3</v>
      </c>
      <c r="Q66" s="644"/>
      <c r="R66" s="786"/>
      <c r="S66" s="644"/>
      <c r="T66" s="786"/>
      <c r="U66" s="644"/>
      <c r="V66" s="797"/>
    </row>
    <row r="67" spans="1:22" s="665" customFormat="1" ht="57.75" customHeight="1" thickBot="1" x14ac:dyDescent="0.4">
      <c r="A67" s="1574"/>
      <c r="B67" s="1576"/>
      <c r="C67" s="647" t="s">
        <v>629</v>
      </c>
      <c r="D67" s="648" t="s">
        <v>1045</v>
      </c>
      <c r="E67" s="662"/>
      <c r="F67" s="791"/>
      <c r="G67" s="650" t="s">
        <v>845</v>
      </c>
      <c r="H67" s="787" t="s">
        <v>846</v>
      </c>
      <c r="I67" s="650" t="s">
        <v>847</v>
      </c>
      <c r="J67" s="787" t="s">
        <v>848</v>
      </c>
      <c r="K67" s="651" t="s">
        <v>849</v>
      </c>
      <c r="L67" s="787" t="s">
        <v>850</v>
      </c>
      <c r="M67" s="650" t="s">
        <v>851</v>
      </c>
      <c r="N67" s="787" t="s">
        <v>852</v>
      </c>
      <c r="O67" s="650" t="s">
        <v>853</v>
      </c>
      <c r="P67" s="787" t="s">
        <v>854</v>
      </c>
      <c r="Q67" s="662"/>
      <c r="R67" s="791"/>
      <c r="S67" s="662"/>
      <c r="T67" s="791"/>
      <c r="U67" s="662"/>
      <c r="V67" s="804"/>
    </row>
    <row r="68" spans="1:22" s="665" customFormat="1" ht="57.75" customHeight="1" x14ac:dyDescent="0.35">
      <c r="A68" s="1573">
        <f>A66+1</f>
        <v>28</v>
      </c>
      <c r="B68" s="1602" t="s">
        <v>981</v>
      </c>
      <c r="C68" s="642" t="s">
        <v>628</v>
      </c>
      <c r="D68" s="643" t="s">
        <v>1045</v>
      </c>
      <c r="E68" s="644"/>
      <c r="F68" s="786"/>
      <c r="G68" s="644"/>
      <c r="H68" s="786"/>
      <c r="I68" s="645">
        <v>4.8611111111111112E-3</v>
      </c>
      <c r="J68" s="786">
        <v>5.347222222222222E-3</v>
      </c>
      <c r="K68" s="645">
        <v>5.347222222222222E-3</v>
      </c>
      <c r="L68" s="786">
        <v>5.8449074074074072E-3</v>
      </c>
      <c r="M68" s="645">
        <v>6.1574074074074074E-3</v>
      </c>
      <c r="N68" s="786">
        <v>6.7708333333333336E-3</v>
      </c>
      <c r="O68" s="645">
        <v>7.1759259259259259E-3</v>
      </c>
      <c r="P68" s="786">
        <v>7.9629629629629634E-3</v>
      </c>
      <c r="Q68" s="644"/>
      <c r="R68" s="786"/>
      <c r="S68" s="644"/>
      <c r="T68" s="786"/>
      <c r="U68" s="644"/>
      <c r="V68" s="797"/>
    </row>
    <row r="69" spans="1:22" s="665" customFormat="1" ht="57.75" customHeight="1" thickBot="1" x14ac:dyDescent="0.4">
      <c r="A69" s="1574"/>
      <c r="B69" s="1576"/>
      <c r="C69" s="647" t="s">
        <v>629</v>
      </c>
      <c r="D69" s="648" t="s">
        <v>1045</v>
      </c>
      <c r="E69" s="662"/>
      <c r="F69" s="791"/>
      <c r="G69" s="650" t="s">
        <v>855</v>
      </c>
      <c r="H69" s="787" t="s">
        <v>856</v>
      </c>
      <c r="I69" s="650" t="s">
        <v>857</v>
      </c>
      <c r="J69" s="787" t="s">
        <v>858</v>
      </c>
      <c r="K69" s="651" t="s">
        <v>858</v>
      </c>
      <c r="L69" s="787" t="s">
        <v>804</v>
      </c>
      <c r="M69" s="650" t="s">
        <v>859</v>
      </c>
      <c r="N69" s="787" t="s">
        <v>860</v>
      </c>
      <c r="O69" s="650" t="s">
        <v>861</v>
      </c>
      <c r="P69" s="787" t="s">
        <v>862</v>
      </c>
      <c r="Q69" s="662"/>
      <c r="R69" s="791"/>
      <c r="S69" s="662"/>
      <c r="T69" s="791"/>
      <c r="U69" s="662"/>
      <c r="V69" s="804"/>
    </row>
    <row r="70" spans="1:22" s="665" customFormat="1" ht="57.75" customHeight="1" x14ac:dyDescent="0.35">
      <c r="A70" s="1573">
        <f>A68+1</f>
        <v>29</v>
      </c>
      <c r="B70" s="1602" t="s">
        <v>982</v>
      </c>
      <c r="C70" s="642" t="s">
        <v>628</v>
      </c>
      <c r="D70" s="643" t="s">
        <v>1045</v>
      </c>
      <c r="E70" s="663"/>
      <c r="F70" s="786"/>
      <c r="G70" s="644"/>
      <c r="H70" s="786"/>
      <c r="I70" s="645">
        <v>4.7453703703703703E-3</v>
      </c>
      <c r="J70" s="786">
        <v>5.208333333333333E-3</v>
      </c>
      <c r="K70" s="645">
        <v>5.2314814814814819E-3</v>
      </c>
      <c r="L70" s="786">
        <v>5.7638888888888887E-3</v>
      </c>
      <c r="M70" s="645">
        <v>6.053240740740741E-3</v>
      </c>
      <c r="N70" s="786">
        <v>6.6782407407407415E-3</v>
      </c>
      <c r="O70" s="645">
        <v>7.0486111111111105E-3</v>
      </c>
      <c r="P70" s="786">
        <v>7.8472222222222224E-3</v>
      </c>
      <c r="Q70" s="644"/>
      <c r="R70" s="786"/>
      <c r="S70" s="644"/>
      <c r="T70" s="786"/>
      <c r="U70" s="644"/>
      <c r="V70" s="797"/>
    </row>
    <row r="71" spans="1:22" s="665" customFormat="1" ht="57.75" customHeight="1" thickBot="1" x14ac:dyDescent="0.4">
      <c r="A71" s="1574"/>
      <c r="B71" s="1576"/>
      <c r="C71" s="647" t="s">
        <v>629</v>
      </c>
      <c r="D71" s="648" t="s">
        <v>1045</v>
      </c>
      <c r="E71" s="664"/>
      <c r="F71" s="791"/>
      <c r="G71" s="650" t="s">
        <v>846</v>
      </c>
      <c r="H71" s="787" t="s">
        <v>863</v>
      </c>
      <c r="I71" s="650" t="s">
        <v>864</v>
      </c>
      <c r="J71" s="787" t="s">
        <v>865</v>
      </c>
      <c r="K71" s="651" t="s">
        <v>866</v>
      </c>
      <c r="L71" s="787" t="s">
        <v>867</v>
      </c>
      <c r="M71" s="650" t="s">
        <v>868</v>
      </c>
      <c r="N71" s="787" t="s">
        <v>869</v>
      </c>
      <c r="O71" s="650" t="s">
        <v>870</v>
      </c>
      <c r="P71" s="787" t="s">
        <v>871</v>
      </c>
      <c r="Q71" s="662"/>
      <c r="R71" s="791"/>
      <c r="S71" s="662"/>
      <c r="T71" s="791"/>
      <c r="U71" s="662"/>
      <c r="V71" s="804"/>
    </row>
    <row r="72" spans="1:22" s="665" customFormat="1" ht="32.25" customHeight="1" x14ac:dyDescent="0.35">
      <c r="A72" s="1603" t="s">
        <v>167</v>
      </c>
      <c r="B72" s="1604"/>
      <c r="C72" s="1593" t="s">
        <v>1140</v>
      </c>
      <c r="D72" s="1594"/>
      <c r="E72" s="1594"/>
      <c r="F72" s="1594"/>
      <c r="G72" s="1594"/>
      <c r="H72" s="1594"/>
      <c r="I72" s="1594"/>
      <c r="J72" s="1594"/>
      <c r="K72" s="1594"/>
      <c r="L72" s="1594"/>
      <c r="M72" s="1594"/>
      <c r="N72" s="1594"/>
      <c r="O72" s="1594"/>
      <c r="P72" s="1594"/>
      <c r="Q72" s="1594"/>
      <c r="R72" s="1594"/>
      <c r="S72" s="1594"/>
      <c r="T72" s="1594"/>
      <c r="U72" s="1594"/>
      <c r="V72" s="1595"/>
    </row>
    <row r="73" spans="1:22" s="665" customFormat="1" ht="73.5" customHeight="1" x14ac:dyDescent="0.35">
      <c r="A73" s="1605"/>
      <c r="B73" s="1606"/>
      <c r="C73" s="1580" t="s">
        <v>1141</v>
      </c>
      <c r="D73" s="1557"/>
      <c r="E73" s="1557"/>
      <c r="F73" s="1557"/>
      <c r="G73" s="1557"/>
      <c r="H73" s="1557"/>
      <c r="I73" s="1557"/>
      <c r="J73" s="1557"/>
      <c r="K73" s="1557"/>
      <c r="L73" s="1557"/>
      <c r="M73" s="1557"/>
      <c r="N73" s="1557"/>
      <c r="O73" s="1557"/>
      <c r="P73" s="1557"/>
      <c r="Q73" s="1557"/>
      <c r="R73" s="1557"/>
      <c r="S73" s="1557"/>
      <c r="T73" s="1557"/>
      <c r="U73" s="1557"/>
      <c r="V73" s="1558"/>
    </row>
    <row r="74" spans="1:22" s="665" customFormat="1" ht="60.75" customHeight="1" x14ac:dyDescent="0.4">
      <c r="A74" s="1605"/>
      <c r="B74" s="1606"/>
      <c r="C74" s="1581" t="s">
        <v>1142</v>
      </c>
      <c r="D74" s="1582"/>
      <c r="E74" s="1582"/>
      <c r="F74" s="1582"/>
      <c r="G74" s="1582"/>
      <c r="H74" s="1582"/>
      <c r="I74" s="1582"/>
      <c r="J74" s="1582"/>
      <c r="K74" s="1582"/>
      <c r="L74" s="1582"/>
      <c r="M74" s="1582"/>
      <c r="N74" s="1582"/>
      <c r="O74" s="1582"/>
      <c r="P74" s="1582"/>
      <c r="Q74" s="1582"/>
      <c r="R74" s="1582"/>
      <c r="S74" s="1582"/>
      <c r="T74" s="1582"/>
      <c r="U74" s="1582"/>
      <c r="V74" s="1583"/>
    </row>
    <row r="75" spans="1:22" s="665" customFormat="1" ht="78.75" customHeight="1" x14ac:dyDescent="0.35">
      <c r="A75" s="1605"/>
      <c r="B75" s="1606"/>
      <c r="C75" s="1559" t="s">
        <v>1143</v>
      </c>
      <c r="D75" s="1584"/>
      <c r="E75" s="1584"/>
      <c r="F75" s="1584"/>
      <c r="G75" s="1584"/>
      <c r="H75" s="1584"/>
      <c r="I75" s="1584"/>
      <c r="J75" s="1584"/>
      <c r="K75" s="1584"/>
      <c r="L75" s="1584"/>
      <c r="M75" s="1584"/>
      <c r="N75" s="1584"/>
      <c r="O75" s="1584"/>
      <c r="P75" s="1584"/>
      <c r="Q75" s="1584"/>
      <c r="R75" s="1584"/>
      <c r="S75" s="1584"/>
      <c r="T75" s="1584"/>
      <c r="U75" s="1584"/>
      <c r="V75" s="1585"/>
    </row>
    <row r="76" spans="1:22" s="665" customFormat="1" ht="48" customHeight="1" x14ac:dyDescent="0.4">
      <c r="A76" s="1605"/>
      <c r="B76" s="1606"/>
      <c r="C76" s="1581" t="s">
        <v>1144</v>
      </c>
      <c r="D76" s="1582"/>
      <c r="E76" s="1582"/>
      <c r="F76" s="1582"/>
      <c r="G76" s="1582"/>
      <c r="H76" s="1582"/>
      <c r="I76" s="1582"/>
      <c r="J76" s="1582"/>
      <c r="K76" s="1582"/>
      <c r="L76" s="1582"/>
      <c r="M76" s="1582"/>
      <c r="N76" s="1582"/>
      <c r="O76" s="1582"/>
      <c r="P76" s="1582"/>
      <c r="Q76" s="1582"/>
      <c r="R76" s="1582"/>
      <c r="S76" s="1582"/>
      <c r="T76" s="1582"/>
      <c r="U76" s="1582"/>
      <c r="V76" s="1583"/>
    </row>
    <row r="77" spans="1:22" s="665" customFormat="1" ht="27" customHeight="1" x14ac:dyDescent="0.4">
      <c r="A77" s="1605"/>
      <c r="B77" s="1606"/>
      <c r="C77" s="1581" t="s">
        <v>1145</v>
      </c>
      <c r="D77" s="1582"/>
      <c r="E77" s="1582"/>
      <c r="F77" s="1582"/>
      <c r="G77" s="1582"/>
      <c r="H77" s="1582"/>
      <c r="I77" s="1582"/>
      <c r="J77" s="1582"/>
      <c r="K77" s="1582"/>
      <c r="L77" s="1582"/>
      <c r="M77" s="1582"/>
      <c r="N77" s="1582"/>
      <c r="O77" s="1582"/>
      <c r="P77" s="1582"/>
      <c r="Q77" s="1582"/>
      <c r="R77" s="1582"/>
      <c r="S77" s="1582"/>
      <c r="T77" s="1582"/>
      <c r="U77" s="1582"/>
      <c r="V77" s="1583"/>
    </row>
    <row r="78" spans="1:22" s="665" customFormat="1" ht="29.25" customHeight="1" x14ac:dyDescent="0.35">
      <c r="A78" s="1605"/>
      <c r="B78" s="1606"/>
      <c r="C78" s="1586" t="s">
        <v>1146</v>
      </c>
      <c r="D78" s="1557"/>
      <c r="E78" s="1557"/>
      <c r="F78" s="1557"/>
      <c r="G78" s="1557"/>
      <c r="H78" s="1557"/>
      <c r="I78" s="1557"/>
      <c r="J78" s="1557"/>
      <c r="K78" s="1557"/>
      <c r="L78" s="1557"/>
      <c r="M78" s="1557"/>
      <c r="N78" s="1557"/>
      <c r="O78" s="1557"/>
      <c r="P78" s="1557"/>
      <c r="Q78" s="1557"/>
      <c r="R78" s="1557"/>
      <c r="S78" s="1557"/>
      <c r="T78" s="1557"/>
      <c r="U78" s="1557"/>
      <c r="V78" s="1558"/>
    </row>
    <row r="79" spans="1:22" s="665" customFormat="1" ht="27.75" customHeight="1" x14ac:dyDescent="0.4">
      <c r="A79" s="1605"/>
      <c r="B79" s="1606"/>
      <c r="C79" s="1581" t="s">
        <v>1147</v>
      </c>
      <c r="D79" s="1582"/>
      <c r="E79" s="1582"/>
      <c r="F79" s="1582"/>
      <c r="G79" s="1582"/>
      <c r="H79" s="1582"/>
      <c r="I79" s="1582"/>
      <c r="J79" s="1582"/>
      <c r="K79" s="1582"/>
      <c r="L79" s="1582"/>
      <c r="M79" s="1582"/>
      <c r="N79" s="1582"/>
      <c r="O79" s="1582"/>
      <c r="P79" s="1582"/>
      <c r="Q79" s="1582"/>
      <c r="R79" s="1582"/>
      <c r="S79" s="1582"/>
      <c r="T79" s="1582"/>
      <c r="U79" s="1582"/>
      <c r="V79" s="1583"/>
    </row>
    <row r="80" spans="1:22" s="665" customFormat="1" ht="45" customHeight="1" x14ac:dyDescent="0.4">
      <c r="A80" s="1605"/>
      <c r="B80" s="1606"/>
      <c r="C80" s="1581" t="s">
        <v>1148</v>
      </c>
      <c r="D80" s="1582"/>
      <c r="E80" s="1582"/>
      <c r="F80" s="1582"/>
      <c r="G80" s="1582"/>
      <c r="H80" s="1582"/>
      <c r="I80" s="1582"/>
      <c r="J80" s="1582"/>
      <c r="K80" s="1582"/>
      <c r="L80" s="1582"/>
      <c r="M80" s="1582"/>
      <c r="N80" s="1582"/>
      <c r="O80" s="1582"/>
      <c r="P80" s="1582"/>
      <c r="Q80" s="1582"/>
      <c r="R80" s="1582"/>
      <c r="S80" s="1582"/>
      <c r="T80" s="1582"/>
      <c r="U80" s="1582"/>
      <c r="V80" s="1583"/>
    </row>
    <row r="81" spans="1:22" s="665" customFormat="1" ht="48.75" customHeight="1" x14ac:dyDescent="0.4">
      <c r="A81" s="1607"/>
      <c r="B81" s="1608"/>
      <c r="C81" s="1587" t="s">
        <v>872</v>
      </c>
      <c r="D81" s="1588"/>
      <c r="E81" s="1588"/>
      <c r="F81" s="1588"/>
      <c r="G81" s="1588"/>
      <c r="H81" s="1588"/>
      <c r="I81" s="1588"/>
      <c r="J81" s="1588"/>
      <c r="K81" s="1588"/>
      <c r="L81" s="1588"/>
      <c r="M81" s="1588"/>
      <c r="N81" s="1588"/>
      <c r="O81" s="1588"/>
      <c r="P81" s="1588"/>
      <c r="Q81" s="1588"/>
      <c r="R81" s="1588"/>
      <c r="S81" s="1588"/>
      <c r="T81" s="1588"/>
      <c r="U81" s="1588"/>
      <c r="V81" s="1589"/>
    </row>
    <row r="82" spans="1:22" s="665" customFormat="1" ht="44.25" customHeight="1" x14ac:dyDescent="0.4">
      <c r="A82" s="1554"/>
      <c r="B82" s="1555"/>
      <c r="C82" s="1590" t="s">
        <v>873</v>
      </c>
      <c r="D82" s="1591"/>
      <c r="E82" s="1591"/>
      <c r="F82" s="1591"/>
      <c r="G82" s="1591"/>
      <c r="H82" s="1591"/>
      <c r="I82" s="1591"/>
      <c r="J82" s="1591"/>
      <c r="K82" s="1591"/>
      <c r="L82" s="1591"/>
      <c r="M82" s="1591"/>
      <c r="N82" s="1591"/>
      <c r="O82" s="1591"/>
      <c r="P82" s="1591"/>
      <c r="Q82" s="1591"/>
      <c r="R82" s="1591"/>
      <c r="S82" s="1591"/>
      <c r="T82" s="1591"/>
      <c r="U82" s="1591"/>
      <c r="V82" s="1592"/>
    </row>
    <row r="83" spans="1:22" s="665" customFormat="1" ht="43.5" customHeight="1" x14ac:dyDescent="0.35">
      <c r="A83" s="1554"/>
      <c r="B83" s="1555"/>
      <c r="C83" s="1559" t="s">
        <v>1149</v>
      </c>
      <c r="D83" s="1557"/>
      <c r="E83" s="1557"/>
      <c r="F83" s="1557"/>
      <c r="G83" s="1557"/>
      <c r="H83" s="1557"/>
      <c r="I83" s="1557"/>
      <c r="J83" s="1557"/>
      <c r="K83" s="1557"/>
      <c r="L83" s="1557"/>
      <c r="M83" s="1557"/>
      <c r="N83" s="1557"/>
      <c r="O83" s="1557"/>
      <c r="P83" s="1557"/>
      <c r="Q83" s="1557"/>
      <c r="R83" s="1557"/>
      <c r="S83" s="1557"/>
      <c r="T83" s="1557"/>
      <c r="U83" s="1557"/>
      <c r="V83" s="1558"/>
    </row>
    <row r="84" spans="1:22" s="665" customFormat="1" ht="30" customHeight="1" x14ac:dyDescent="0.35">
      <c r="A84" s="1554"/>
      <c r="B84" s="1555"/>
      <c r="C84" s="1580" t="s">
        <v>1150</v>
      </c>
      <c r="D84" s="1560"/>
      <c r="E84" s="1560"/>
      <c r="F84" s="1560"/>
      <c r="G84" s="1560"/>
      <c r="H84" s="1560"/>
      <c r="I84" s="1560"/>
      <c r="J84" s="1560"/>
      <c r="K84" s="1560"/>
      <c r="L84" s="1560"/>
      <c r="M84" s="1560"/>
      <c r="N84" s="1560"/>
      <c r="O84" s="1560"/>
      <c r="P84" s="1560"/>
      <c r="Q84" s="1560"/>
      <c r="R84" s="1560"/>
      <c r="S84" s="1560"/>
      <c r="T84" s="1560"/>
      <c r="U84" s="1560"/>
      <c r="V84" s="1561"/>
    </row>
    <row r="85" spans="1:22" s="665" customFormat="1" ht="95.25" customHeight="1" x14ac:dyDescent="0.35">
      <c r="A85" s="1554"/>
      <c r="B85" s="1555"/>
      <c r="C85" s="1556" t="s">
        <v>1151</v>
      </c>
      <c r="D85" s="1557"/>
      <c r="E85" s="1557"/>
      <c r="F85" s="1557"/>
      <c r="G85" s="1557"/>
      <c r="H85" s="1557"/>
      <c r="I85" s="1557"/>
      <c r="J85" s="1557"/>
      <c r="K85" s="1557"/>
      <c r="L85" s="1557"/>
      <c r="M85" s="1557"/>
      <c r="N85" s="1557"/>
      <c r="O85" s="1557"/>
      <c r="P85" s="1557"/>
      <c r="Q85" s="1557"/>
      <c r="R85" s="1557"/>
      <c r="S85" s="1557"/>
      <c r="T85" s="1557"/>
      <c r="U85" s="1557"/>
      <c r="V85" s="1558"/>
    </row>
    <row r="86" spans="1:22" s="665" customFormat="1" ht="93.75" customHeight="1" x14ac:dyDescent="0.35">
      <c r="A86" s="1554"/>
      <c r="B86" s="1555"/>
      <c r="C86" s="1556" t="s">
        <v>1152</v>
      </c>
      <c r="D86" s="1557"/>
      <c r="E86" s="1557"/>
      <c r="F86" s="1557"/>
      <c r="G86" s="1557"/>
      <c r="H86" s="1557"/>
      <c r="I86" s="1557"/>
      <c r="J86" s="1557"/>
      <c r="K86" s="1557"/>
      <c r="L86" s="1557"/>
      <c r="M86" s="1557"/>
      <c r="N86" s="1557"/>
      <c r="O86" s="1557"/>
      <c r="P86" s="1557"/>
      <c r="Q86" s="1557"/>
      <c r="R86" s="1557"/>
      <c r="S86" s="1557"/>
      <c r="T86" s="1557"/>
      <c r="U86" s="1557"/>
      <c r="V86" s="1558"/>
    </row>
    <row r="87" spans="1:22" s="632" customFormat="1" ht="54" customHeight="1" x14ac:dyDescent="0.3">
      <c r="A87" s="1554"/>
      <c r="B87" s="1555"/>
      <c r="C87" s="1559" t="s">
        <v>1153</v>
      </c>
      <c r="D87" s="1560"/>
      <c r="E87" s="1560"/>
      <c r="F87" s="1560"/>
      <c r="G87" s="1560"/>
      <c r="H87" s="1560"/>
      <c r="I87" s="1560"/>
      <c r="J87" s="1560"/>
      <c r="K87" s="1560"/>
      <c r="L87" s="1560"/>
      <c r="M87" s="1560"/>
      <c r="N87" s="1560"/>
      <c r="O87" s="1560"/>
      <c r="P87" s="1560"/>
      <c r="Q87" s="1560"/>
      <c r="R87" s="1560"/>
      <c r="S87" s="1560"/>
      <c r="T87" s="1560"/>
      <c r="U87" s="1560"/>
      <c r="V87" s="1561"/>
    </row>
    <row r="88" spans="1:22" s="632" customFormat="1" ht="39.75" customHeight="1" x14ac:dyDescent="0.3">
      <c r="A88" s="1554"/>
      <c r="B88" s="1555"/>
      <c r="C88" s="1556" t="s">
        <v>1154</v>
      </c>
      <c r="D88" s="1557"/>
      <c r="E88" s="1557"/>
      <c r="F88" s="1557"/>
      <c r="G88" s="1557"/>
      <c r="H88" s="1557"/>
      <c r="I88" s="1557"/>
      <c r="J88" s="1557"/>
      <c r="K88" s="1557"/>
      <c r="L88" s="1557"/>
      <c r="M88" s="1557"/>
      <c r="N88" s="1557"/>
      <c r="O88" s="1557"/>
      <c r="P88" s="1557"/>
      <c r="Q88" s="1557"/>
      <c r="R88" s="1557"/>
      <c r="S88" s="1557"/>
      <c r="T88" s="1557"/>
      <c r="U88" s="1557"/>
      <c r="V88" s="1558"/>
    </row>
    <row r="89" spans="1:22" s="632" customFormat="1" ht="130.5" customHeight="1" x14ac:dyDescent="0.3">
      <c r="A89" s="1554"/>
      <c r="B89" s="1555"/>
      <c r="C89" s="1559" t="s">
        <v>1155</v>
      </c>
      <c r="D89" s="1560"/>
      <c r="E89" s="1560"/>
      <c r="F89" s="1560"/>
      <c r="G89" s="1560"/>
      <c r="H89" s="1560"/>
      <c r="I89" s="1560"/>
      <c r="J89" s="1560"/>
      <c r="K89" s="1560"/>
      <c r="L89" s="1560"/>
      <c r="M89" s="1560"/>
      <c r="N89" s="1560"/>
      <c r="O89" s="1560"/>
      <c r="P89" s="1560"/>
      <c r="Q89" s="1560"/>
      <c r="R89" s="1560"/>
      <c r="S89" s="1560"/>
      <c r="T89" s="1560"/>
      <c r="U89" s="1560"/>
      <c r="V89" s="1561"/>
    </row>
    <row r="90" spans="1:22" s="666" customFormat="1" ht="203.25" customHeight="1" x14ac:dyDescent="0.3">
      <c r="A90" s="1554"/>
      <c r="B90" s="1555"/>
      <c r="C90" s="1562" t="s">
        <v>1156</v>
      </c>
      <c r="D90" s="1563"/>
      <c r="E90" s="1563"/>
      <c r="F90" s="1563"/>
      <c r="G90" s="1563"/>
      <c r="H90" s="1563"/>
      <c r="I90" s="1563"/>
      <c r="J90" s="1563"/>
      <c r="K90" s="1563"/>
      <c r="L90" s="1563"/>
      <c r="M90" s="1563"/>
      <c r="N90" s="1563"/>
      <c r="O90" s="1563"/>
      <c r="P90" s="1563"/>
      <c r="Q90" s="1563"/>
      <c r="R90" s="1563"/>
      <c r="S90" s="1563"/>
      <c r="T90" s="1563"/>
      <c r="U90" s="1563"/>
      <c r="V90" s="1564"/>
    </row>
    <row r="91" spans="1:22" s="666" customFormat="1" ht="62.25" customHeight="1" x14ac:dyDescent="0.3">
      <c r="A91" s="1554"/>
      <c r="B91" s="1555"/>
      <c r="C91" s="1567" t="s">
        <v>1157</v>
      </c>
      <c r="D91" s="1568"/>
      <c r="E91" s="1568"/>
      <c r="F91" s="1568"/>
      <c r="G91" s="1568"/>
      <c r="H91" s="1568"/>
      <c r="I91" s="1568"/>
      <c r="J91" s="1568"/>
      <c r="K91" s="1568"/>
      <c r="L91" s="1568"/>
      <c r="M91" s="1568"/>
      <c r="N91" s="1568"/>
      <c r="O91" s="1568"/>
      <c r="P91" s="1568"/>
      <c r="Q91" s="1568"/>
      <c r="R91" s="1568"/>
      <c r="S91" s="1568"/>
      <c r="T91" s="1568"/>
      <c r="U91" s="1568"/>
      <c r="V91" s="1569"/>
    </row>
    <row r="92" spans="1:22" s="666" customFormat="1" ht="50.25" customHeight="1" x14ac:dyDescent="0.3">
      <c r="A92" s="1554"/>
      <c r="B92" s="1555"/>
      <c r="C92" s="1559" t="s">
        <v>1158</v>
      </c>
      <c r="D92" s="1560"/>
      <c r="E92" s="1560"/>
      <c r="F92" s="1560"/>
      <c r="G92" s="1560"/>
      <c r="H92" s="1560"/>
      <c r="I92" s="1560"/>
      <c r="J92" s="1560"/>
      <c r="K92" s="1560"/>
      <c r="L92" s="1560"/>
      <c r="M92" s="1560"/>
      <c r="N92" s="1560"/>
      <c r="O92" s="1560"/>
      <c r="P92" s="1560"/>
      <c r="Q92" s="1560"/>
      <c r="R92" s="1560"/>
      <c r="S92" s="1560"/>
      <c r="T92" s="1560"/>
      <c r="U92" s="1560"/>
      <c r="V92" s="1561"/>
    </row>
    <row r="93" spans="1:22" s="632" customFormat="1" ht="50.25" customHeight="1" thickBot="1" x14ac:dyDescent="0.35">
      <c r="A93" s="1565"/>
      <c r="B93" s="1566"/>
      <c r="C93" s="1570" t="s">
        <v>1159</v>
      </c>
      <c r="D93" s="1571"/>
      <c r="E93" s="1571"/>
      <c r="F93" s="1571"/>
      <c r="G93" s="1571"/>
      <c r="H93" s="1571"/>
      <c r="I93" s="1571"/>
      <c r="J93" s="1571"/>
      <c r="K93" s="1571"/>
      <c r="L93" s="1571"/>
      <c r="M93" s="1571"/>
      <c r="N93" s="1571"/>
      <c r="O93" s="1571"/>
      <c r="P93" s="1571"/>
      <c r="Q93" s="1571"/>
      <c r="R93" s="1571"/>
      <c r="S93" s="1571"/>
      <c r="T93" s="1571"/>
      <c r="U93" s="1571"/>
      <c r="V93" s="1572"/>
    </row>
    <row r="94" spans="1:22" s="632" customFormat="1" ht="36" customHeight="1" x14ac:dyDescent="0.35">
      <c r="A94" s="1549"/>
      <c r="B94" s="1550"/>
      <c r="C94" s="770"/>
      <c r="D94" s="1549"/>
      <c r="E94" s="1550"/>
      <c r="F94" s="1550"/>
      <c r="G94" s="1550"/>
      <c r="H94" s="1550"/>
      <c r="I94" s="1550"/>
      <c r="J94" s="1550"/>
      <c r="K94" s="1550"/>
      <c r="L94" s="1550"/>
      <c r="M94" s="1550"/>
      <c r="N94" s="1550"/>
      <c r="O94" s="1550"/>
      <c r="P94" s="1550"/>
      <c r="Q94" s="1550"/>
      <c r="R94" s="1550"/>
      <c r="S94" s="1550"/>
      <c r="T94" s="1550"/>
      <c r="U94" s="1550"/>
      <c r="V94" s="769"/>
    </row>
    <row r="95" spans="1:22" s="667" customFormat="1" ht="38.1" customHeight="1" x14ac:dyDescent="0.3">
      <c r="A95" s="1577" t="s">
        <v>168</v>
      </c>
      <c r="B95" s="1578"/>
      <c r="C95" s="1578"/>
      <c r="D95" s="1578"/>
      <c r="E95" s="1578"/>
      <c r="F95" s="1579"/>
      <c r="G95" s="1579"/>
      <c r="H95" s="1579"/>
      <c r="I95" s="1579"/>
      <c r="J95" s="1579"/>
      <c r="K95" s="1579"/>
      <c r="L95" s="1579"/>
      <c r="M95" s="1579"/>
      <c r="N95" s="1579"/>
      <c r="O95" s="1579"/>
      <c r="P95" s="1579"/>
      <c r="Q95" s="1579"/>
      <c r="R95" s="1579"/>
      <c r="S95" s="1579"/>
      <c r="T95" s="1579"/>
      <c r="U95" s="1579"/>
      <c r="V95" s="1579"/>
    </row>
    <row r="96" spans="1:22" s="667" customFormat="1" ht="33" customHeight="1" x14ac:dyDescent="0.3">
      <c r="A96" s="1551" t="s">
        <v>169</v>
      </c>
      <c r="B96" s="1551"/>
      <c r="C96" s="1551"/>
      <c r="D96" s="1551"/>
      <c r="E96" s="1551"/>
      <c r="F96" s="1553"/>
      <c r="G96" s="1553"/>
      <c r="H96" s="1553"/>
      <c r="I96" s="1553"/>
      <c r="J96" s="1553"/>
      <c r="K96" s="1553"/>
      <c r="L96" s="1553"/>
      <c r="M96" s="1553"/>
      <c r="N96" s="1553"/>
      <c r="O96" s="1553"/>
      <c r="P96" s="1553"/>
      <c r="Q96" s="1553"/>
      <c r="R96" s="1553"/>
      <c r="S96" s="1553"/>
      <c r="T96" s="1553"/>
      <c r="U96" s="1553"/>
      <c r="V96" s="1553"/>
    </row>
    <row r="97" spans="1:22" s="667" customFormat="1" ht="30" customHeight="1" x14ac:dyDescent="0.3">
      <c r="A97" s="1551" t="s">
        <v>170</v>
      </c>
      <c r="B97" s="1552"/>
      <c r="C97" s="1552"/>
      <c r="D97" s="1552"/>
      <c r="E97" s="1552"/>
      <c r="F97" s="1553"/>
      <c r="G97" s="1553"/>
      <c r="H97" s="1553"/>
      <c r="I97" s="1553"/>
      <c r="J97" s="1553"/>
      <c r="K97" s="1553"/>
      <c r="L97" s="1553"/>
      <c r="M97" s="1553"/>
      <c r="N97" s="1553"/>
      <c r="O97" s="1553"/>
      <c r="P97" s="1553"/>
      <c r="Q97" s="1553"/>
      <c r="R97" s="1553"/>
      <c r="S97" s="1553"/>
      <c r="T97" s="1553"/>
      <c r="U97" s="1553"/>
      <c r="V97" s="1553"/>
    </row>
    <row r="98" spans="1:22" s="667" customFormat="1" ht="32.25" customHeight="1" x14ac:dyDescent="0.3">
      <c r="A98" s="1551" t="s">
        <v>171</v>
      </c>
      <c r="B98" s="1551"/>
      <c r="C98" s="1551"/>
      <c r="D98" s="1551"/>
      <c r="E98" s="1551"/>
      <c r="F98" s="1553"/>
      <c r="G98" s="1553"/>
      <c r="H98" s="1553"/>
      <c r="I98" s="1553"/>
      <c r="J98" s="1553"/>
      <c r="K98" s="1553"/>
      <c r="L98" s="1553"/>
      <c r="M98" s="1553"/>
      <c r="N98" s="1553"/>
      <c r="O98" s="1553"/>
      <c r="P98" s="1553"/>
      <c r="Q98" s="1553"/>
      <c r="R98" s="1553"/>
      <c r="S98" s="1553"/>
      <c r="T98" s="1553"/>
      <c r="U98" s="1553"/>
      <c r="V98" s="1553"/>
    </row>
    <row r="99" spans="1:22" s="667" customFormat="1" ht="30.75" customHeight="1" x14ac:dyDescent="0.3">
      <c r="A99" s="1551" t="s">
        <v>874</v>
      </c>
      <c r="B99" s="1548"/>
      <c r="C99" s="1548"/>
      <c r="D99" s="1548"/>
      <c r="E99" s="1548"/>
      <c r="F99" s="1548"/>
      <c r="G99" s="1548"/>
      <c r="H99" s="1548"/>
      <c r="I99" s="1548"/>
      <c r="J99" s="1548"/>
      <c r="K99" s="1548"/>
      <c r="L99" s="1548"/>
      <c r="M99" s="1548"/>
      <c r="N99" s="1548"/>
      <c r="O99" s="1548"/>
      <c r="P99" s="1548"/>
      <c r="Q99" s="1548"/>
      <c r="R99" s="1548"/>
      <c r="S99" s="1548"/>
      <c r="T99" s="1548"/>
      <c r="U99" s="1548"/>
      <c r="V99" s="1548"/>
    </row>
    <row r="100" spans="1:22" s="667" customFormat="1" ht="30.75" customHeight="1" x14ac:dyDescent="0.3">
      <c r="A100" s="1551" t="s">
        <v>875</v>
      </c>
      <c r="B100" s="1548"/>
      <c r="C100" s="1548"/>
      <c r="D100" s="1548"/>
      <c r="E100" s="1548"/>
      <c r="F100" s="1548"/>
      <c r="G100" s="1548"/>
      <c r="H100" s="1548"/>
      <c r="I100" s="1548"/>
      <c r="J100" s="1548"/>
      <c r="K100" s="1548"/>
      <c r="L100" s="1548"/>
      <c r="M100" s="1548"/>
      <c r="N100" s="1548"/>
      <c r="O100" s="1548"/>
      <c r="P100" s="1548"/>
      <c r="Q100" s="1548"/>
      <c r="R100" s="1548"/>
      <c r="S100" s="1548"/>
      <c r="T100" s="1548"/>
      <c r="U100" s="1548"/>
      <c r="V100" s="1548"/>
    </row>
    <row r="101" spans="1:22" s="667" customFormat="1" ht="29.25" customHeight="1" x14ac:dyDescent="0.3">
      <c r="A101" s="1551" t="s">
        <v>876</v>
      </c>
      <c r="B101" s="1548"/>
      <c r="C101" s="1548"/>
      <c r="D101" s="1548"/>
      <c r="E101" s="1548"/>
      <c r="F101" s="1548"/>
      <c r="G101" s="1548"/>
      <c r="H101" s="1548"/>
      <c r="I101" s="1548"/>
      <c r="J101" s="1548"/>
      <c r="K101" s="1548"/>
      <c r="L101" s="1548"/>
      <c r="M101" s="1548"/>
      <c r="N101" s="1548"/>
      <c r="O101" s="1548"/>
      <c r="P101" s="1548"/>
      <c r="Q101" s="1548"/>
      <c r="R101" s="1548"/>
      <c r="S101" s="1548"/>
      <c r="T101" s="1548"/>
      <c r="U101" s="1548"/>
      <c r="V101" s="1548"/>
    </row>
    <row r="102" spans="1:22" s="667" customFormat="1" ht="48" customHeight="1" x14ac:dyDescent="0.3">
      <c r="A102" s="1551" t="s">
        <v>877</v>
      </c>
      <c r="B102" s="1551"/>
      <c r="C102" s="1551"/>
      <c r="D102" s="1551"/>
      <c r="E102" s="1551"/>
      <c r="F102" s="1553"/>
      <c r="G102" s="1553"/>
      <c r="H102" s="1553"/>
      <c r="I102" s="1553"/>
      <c r="J102" s="1553"/>
      <c r="K102" s="1553"/>
      <c r="L102" s="1553"/>
      <c r="M102" s="1553"/>
      <c r="N102" s="1553"/>
      <c r="O102" s="1553"/>
      <c r="P102" s="1553"/>
      <c r="Q102" s="1553"/>
      <c r="R102" s="1553"/>
      <c r="S102" s="1553"/>
      <c r="T102" s="1553"/>
      <c r="U102" s="1553"/>
      <c r="V102" s="1553"/>
    </row>
    <row r="103" spans="1:22" ht="28.5" customHeight="1" x14ac:dyDescent="0.3">
      <c r="A103" s="1548" t="s">
        <v>878</v>
      </c>
      <c r="B103" s="1548"/>
      <c r="C103" s="1548"/>
      <c r="D103" s="1548"/>
      <c r="E103" s="1548"/>
      <c r="F103" s="1548"/>
      <c r="G103" s="1548"/>
      <c r="H103" s="1548"/>
      <c r="I103" s="1548"/>
      <c r="J103" s="1548"/>
      <c r="K103" s="1548"/>
      <c r="L103" s="1548"/>
      <c r="M103" s="1548"/>
      <c r="N103" s="1548"/>
      <c r="O103" s="1548"/>
      <c r="P103" s="1548"/>
      <c r="Q103" s="1548"/>
      <c r="R103" s="1548"/>
      <c r="S103" s="1548"/>
      <c r="T103" s="1548"/>
      <c r="U103" s="1548"/>
      <c r="V103" s="1548"/>
    </row>
    <row r="104" spans="1:22" ht="28.5" customHeight="1" x14ac:dyDescent="0.3">
      <c r="A104" s="1548" t="s">
        <v>879</v>
      </c>
      <c r="B104" s="1548"/>
      <c r="C104" s="1548"/>
      <c r="D104" s="1548"/>
      <c r="E104" s="1548"/>
      <c r="F104" s="1548"/>
      <c r="G104" s="1548"/>
      <c r="H104" s="1548"/>
      <c r="I104" s="1548"/>
      <c r="J104" s="1548"/>
      <c r="K104" s="1548"/>
      <c r="L104" s="1548"/>
      <c r="M104" s="1548"/>
      <c r="N104" s="1548"/>
      <c r="O104" s="1548"/>
      <c r="P104" s="1548"/>
      <c r="Q104" s="1548"/>
      <c r="R104" s="1548"/>
      <c r="S104" s="1548"/>
      <c r="T104" s="1548"/>
      <c r="U104" s="1548"/>
      <c r="V104" s="1548"/>
    </row>
    <row r="105" spans="1:22" ht="28.5" customHeight="1" x14ac:dyDescent="0.3">
      <c r="A105" s="1548" t="s">
        <v>880</v>
      </c>
      <c r="B105" s="1548"/>
      <c r="C105" s="1548"/>
      <c r="D105" s="1548"/>
      <c r="E105" s="1548"/>
      <c r="F105" s="1548"/>
      <c r="G105" s="1548"/>
      <c r="H105" s="1548"/>
      <c r="I105" s="1548"/>
      <c r="J105" s="1548"/>
      <c r="K105" s="1548"/>
      <c r="L105" s="1548"/>
      <c r="M105" s="1548"/>
      <c r="N105" s="1548"/>
      <c r="O105" s="1548"/>
      <c r="P105" s="1548"/>
      <c r="Q105" s="1548"/>
      <c r="R105" s="1548"/>
      <c r="S105" s="1548"/>
      <c r="T105" s="1548"/>
      <c r="U105" s="1548"/>
      <c r="V105" s="1548"/>
    </row>
  </sheetData>
  <mergeCells count="113">
    <mergeCell ref="A42:A43"/>
    <mergeCell ref="B42:B43"/>
    <mergeCell ref="A44:A45"/>
    <mergeCell ref="B44:B45"/>
    <mergeCell ref="A46:A47"/>
    <mergeCell ref="B46:B47"/>
    <mergeCell ref="A48:A49"/>
    <mergeCell ref="B48:B49"/>
    <mergeCell ref="A1:V1"/>
    <mergeCell ref="C3:V3"/>
    <mergeCell ref="C4:V4"/>
    <mergeCell ref="C5:V5"/>
    <mergeCell ref="C11:V11"/>
    <mergeCell ref="C12:V12"/>
    <mergeCell ref="D13:V13"/>
    <mergeCell ref="C6:V6"/>
    <mergeCell ref="C7:V7"/>
    <mergeCell ref="C8:V8"/>
    <mergeCell ref="C9:V9"/>
    <mergeCell ref="C10:V10"/>
    <mergeCell ref="A14:A16"/>
    <mergeCell ref="B14:B16"/>
    <mergeCell ref="C14:C16"/>
    <mergeCell ref="D14:D16"/>
    <mergeCell ref="B70:B71"/>
    <mergeCell ref="A72:B81"/>
    <mergeCell ref="A50:A51"/>
    <mergeCell ref="B50:B51"/>
    <mergeCell ref="A52:A53"/>
    <mergeCell ref="B52:B53"/>
    <mergeCell ref="A54:A55"/>
    <mergeCell ref="B54:B55"/>
    <mergeCell ref="A56:A57"/>
    <mergeCell ref="B56:B57"/>
    <mergeCell ref="A58:A59"/>
    <mergeCell ref="B58:B59"/>
    <mergeCell ref="A60:A61"/>
    <mergeCell ref="B60:B61"/>
    <mergeCell ref="A62:A63"/>
    <mergeCell ref="B62:B63"/>
    <mergeCell ref="A64:A65"/>
    <mergeCell ref="B64:B65"/>
    <mergeCell ref="A66:A67"/>
    <mergeCell ref="B66:B67"/>
    <mergeCell ref="A68:A69"/>
    <mergeCell ref="B68:B69"/>
    <mergeCell ref="E14:F15"/>
    <mergeCell ref="G14:H15"/>
    <mergeCell ref="I14:J15"/>
    <mergeCell ref="K14:P14"/>
    <mergeCell ref="Q14:V14"/>
    <mergeCell ref="K15:L15"/>
    <mergeCell ref="M15:N15"/>
    <mergeCell ref="O15:P15"/>
    <mergeCell ref="Q15:R15"/>
    <mergeCell ref="S15:T15"/>
    <mergeCell ref="U15:V15"/>
    <mergeCell ref="A24:A25"/>
    <mergeCell ref="B24:B25"/>
    <mergeCell ref="A26:A27"/>
    <mergeCell ref="B26:B27"/>
    <mergeCell ref="A28:A29"/>
    <mergeCell ref="B28:B29"/>
    <mergeCell ref="A30:A31"/>
    <mergeCell ref="B30:B31"/>
    <mergeCell ref="A96:V96"/>
    <mergeCell ref="A95:V95"/>
    <mergeCell ref="C84:V84"/>
    <mergeCell ref="C74:V74"/>
    <mergeCell ref="C75:V75"/>
    <mergeCell ref="C76:V76"/>
    <mergeCell ref="C77:V77"/>
    <mergeCell ref="C78:V78"/>
    <mergeCell ref="C79:V79"/>
    <mergeCell ref="C80:V80"/>
    <mergeCell ref="C81:V81"/>
    <mergeCell ref="C82:V82"/>
    <mergeCell ref="C83:V83"/>
    <mergeCell ref="C72:V72"/>
    <mergeCell ref="C73:V73"/>
    <mergeCell ref="A70:A71"/>
    <mergeCell ref="A32:A33"/>
    <mergeCell ref="B32:B33"/>
    <mergeCell ref="A34:A35"/>
    <mergeCell ref="B34:B35"/>
    <mergeCell ref="A36:A37"/>
    <mergeCell ref="B36:B37"/>
    <mergeCell ref="A38:A39"/>
    <mergeCell ref="B38:B39"/>
    <mergeCell ref="A40:A41"/>
    <mergeCell ref="B40:B41"/>
    <mergeCell ref="A82:B90"/>
    <mergeCell ref="C85:V85"/>
    <mergeCell ref="C86:V86"/>
    <mergeCell ref="C87:V87"/>
    <mergeCell ref="C88:V88"/>
    <mergeCell ref="C89:V89"/>
    <mergeCell ref="C90:V90"/>
    <mergeCell ref="A91:B93"/>
    <mergeCell ref="C91:V91"/>
    <mergeCell ref="C92:V92"/>
    <mergeCell ref="C93:V93"/>
    <mergeCell ref="A104:V104"/>
    <mergeCell ref="A105:V105"/>
    <mergeCell ref="A94:B94"/>
    <mergeCell ref="D94:U94"/>
    <mergeCell ref="A97:V97"/>
    <mergeCell ref="A98:V98"/>
    <mergeCell ref="A99:V99"/>
    <mergeCell ref="A100:V100"/>
    <mergeCell ref="A101:V101"/>
    <mergeCell ref="A102:V102"/>
    <mergeCell ref="A103:V10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9"/>
  <dimension ref="A1:X1245"/>
  <sheetViews>
    <sheetView tabSelected="1" view="pageLayout" topLeftCell="A864" zoomScale="102" zoomScalePageLayoutView="102" workbookViewId="0">
      <selection activeCell="H356" sqref="H356"/>
    </sheetView>
  </sheetViews>
  <sheetFormatPr defaultRowHeight="14.4" x14ac:dyDescent="0.3"/>
  <cols>
    <col min="1" max="1" width="3" customWidth="1"/>
    <col min="2" max="2" width="6.5546875" customWidth="1"/>
    <col min="3" max="3" width="18.6640625" customWidth="1"/>
    <col min="4" max="4" width="12.5546875" customWidth="1"/>
    <col min="5" max="5" width="10.6640625" customWidth="1"/>
    <col min="6" max="6" width="19.21875" customWidth="1"/>
    <col min="7" max="7" width="2.44140625" customWidth="1"/>
    <col min="8" max="8" width="6.77734375" customWidth="1"/>
    <col min="9" max="9" width="8.21875" customWidth="1"/>
    <col min="10" max="10" width="11.6640625" customWidth="1"/>
    <col min="11" max="11" width="5.109375" customWidth="1"/>
    <col min="12" max="14" width="0.6640625" customWidth="1"/>
  </cols>
  <sheetData>
    <row r="1" spans="1:11" s="552" customFormat="1" x14ac:dyDescent="0.3">
      <c r="A1" s="1169"/>
      <c r="B1" s="1169"/>
      <c r="C1" s="1169"/>
      <c r="D1" s="1169"/>
      <c r="E1" s="1169"/>
      <c r="F1" s="1169"/>
      <c r="G1" s="1169"/>
      <c r="H1" s="1169"/>
      <c r="I1" s="1169"/>
      <c r="J1" s="1169"/>
      <c r="K1" s="1169"/>
    </row>
    <row r="2" spans="1:11" s="552" customFormat="1" x14ac:dyDescent="0.3">
      <c r="A2" s="1169"/>
      <c r="B2" s="1169"/>
      <c r="C2" s="1169"/>
      <c r="D2" s="1169"/>
      <c r="E2" s="1169"/>
      <c r="F2" s="1169"/>
      <c r="G2" s="1169"/>
      <c r="H2" s="1169"/>
      <c r="I2" s="1169"/>
      <c r="J2" s="1169"/>
      <c r="K2" s="1169"/>
    </row>
    <row r="3" spans="1:11" s="552" customFormat="1" x14ac:dyDescent="0.3">
      <c r="A3" s="1169"/>
      <c r="B3" s="1169"/>
      <c r="C3" s="1169"/>
      <c r="D3" s="1169"/>
      <c r="E3" s="1169"/>
      <c r="F3" s="1169"/>
      <c r="G3" s="1169"/>
      <c r="H3" s="1169"/>
      <c r="I3" s="1169"/>
      <c r="J3" s="1169"/>
      <c r="K3" s="1169"/>
    </row>
    <row r="4" spans="1:11" s="552" customFormat="1" ht="12.75" customHeight="1" x14ac:dyDescent="0.3">
      <c r="A4" s="357"/>
      <c r="B4" s="548"/>
      <c r="C4" s="548"/>
      <c r="D4" s="355"/>
      <c r="E4" s="406"/>
      <c r="F4" s="548"/>
      <c r="G4" s="548"/>
      <c r="H4" s="353"/>
      <c r="I4" s="353"/>
      <c r="J4" s="355"/>
      <c r="K4" s="379"/>
    </row>
    <row r="5" spans="1:11" s="552" customFormat="1" ht="12.75" customHeight="1" x14ac:dyDescent="0.3">
      <c r="A5" s="357"/>
      <c r="B5" s="548"/>
      <c r="C5" s="548"/>
      <c r="D5" s="355"/>
      <c r="E5" s="406"/>
      <c r="F5" s="548"/>
      <c r="G5" s="548"/>
      <c r="H5" s="353"/>
      <c r="I5" s="353"/>
      <c r="J5" s="355"/>
      <c r="K5" s="379"/>
    </row>
    <row r="6" spans="1:11" s="552" customFormat="1" ht="12.75" customHeight="1" x14ac:dyDescent="0.3">
      <c r="A6" s="357"/>
      <c r="B6" s="548"/>
      <c r="C6" s="548"/>
      <c r="D6" s="355"/>
      <c r="E6" s="406"/>
      <c r="F6" s="548"/>
      <c r="G6" s="548"/>
      <c r="H6" s="353"/>
      <c r="I6" s="353"/>
      <c r="J6" s="355"/>
      <c r="K6" s="379"/>
    </row>
    <row r="7" spans="1:11" s="552" customFormat="1" ht="12.75" customHeight="1" x14ac:dyDescent="0.3">
      <c r="A7" s="357"/>
      <c r="B7" s="548"/>
      <c r="C7" s="548"/>
      <c r="D7" s="355"/>
      <c r="E7" s="406"/>
      <c r="F7" s="548"/>
      <c r="G7" s="548"/>
      <c r="H7" s="353"/>
      <c r="I7" s="353"/>
      <c r="J7" s="355"/>
      <c r="K7" s="379"/>
    </row>
    <row r="8" spans="1:11" s="552" customFormat="1" ht="12.75" customHeight="1" x14ac:dyDescent="0.3">
      <c r="A8" s="357"/>
      <c r="B8" s="548"/>
      <c r="C8" s="548"/>
      <c r="D8" s="355"/>
      <c r="E8" s="406"/>
      <c r="F8" s="548"/>
      <c r="G8" s="548"/>
      <c r="H8" s="353"/>
      <c r="I8" s="353"/>
      <c r="J8" s="355"/>
      <c r="K8" s="379"/>
    </row>
    <row r="9" spans="1:11" s="552" customFormat="1" ht="12.75" customHeight="1" x14ac:dyDescent="0.3">
      <c r="A9" s="357"/>
      <c r="B9" s="548"/>
      <c r="C9" s="548"/>
      <c r="D9" s="355"/>
      <c r="E9" s="406"/>
      <c r="F9" s="548"/>
      <c r="G9" s="548"/>
      <c r="H9" s="353"/>
      <c r="I9" s="353"/>
      <c r="J9" s="355"/>
      <c r="K9" s="379"/>
    </row>
    <row r="10" spans="1:11" s="552" customFormat="1" ht="12.75" customHeight="1" x14ac:dyDescent="0.3">
      <c r="A10" s="357"/>
      <c r="B10" s="548"/>
      <c r="C10" s="548"/>
      <c r="D10" s="355"/>
      <c r="E10" s="406"/>
      <c r="F10" s="548"/>
      <c r="G10" s="548"/>
      <c r="H10" s="353"/>
      <c r="I10" s="353"/>
      <c r="J10" s="355"/>
      <c r="K10" s="379"/>
    </row>
    <row r="11" spans="1:11" s="552" customFormat="1" ht="12.75" customHeight="1" x14ac:dyDescent="0.3">
      <c r="A11" s="548"/>
      <c r="B11" s="548"/>
      <c r="C11" s="548"/>
      <c r="D11" s="548"/>
      <c r="E11" s="548"/>
      <c r="F11" s="548"/>
      <c r="G11" s="548"/>
      <c r="H11" s="548"/>
      <c r="I11" s="548"/>
      <c r="J11" s="548"/>
      <c r="K11" s="548"/>
    </row>
    <row r="12" spans="1:11" s="552" customFormat="1" ht="12.75" customHeight="1" x14ac:dyDescent="0.3">
      <c r="A12" s="548"/>
      <c r="B12" s="548"/>
      <c r="C12" s="548"/>
      <c r="D12" s="548"/>
      <c r="E12" s="548"/>
      <c r="F12" s="548"/>
      <c r="G12" s="548"/>
      <c r="H12" s="548"/>
      <c r="I12" s="548"/>
      <c r="J12" s="548"/>
      <c r="K12" s="548"/>
    </row>
    <row r="13" spans="1:11" s="552" customFormat="1" ht="12.75" customHeight="1" x14ac:dyDescent="0.3">
      <c r="A13" s="548"/>
      <c r="B13" s="548"/>
      <c r="C13" s="548"/>
      <c r="D13" s="548"/>
      <c r="E13" s="548"/>
      <c r="F13" s="548"/>
      <c r="G13" s="548"/>
      <c r="H13" s="548"/>
      <c r="I13" s="548"/>
      <c r="J13" s="548"/>
      <c r="K13" s="548"/>
    </row>
    <row r="14" spans="1:11" s="552" customFormat="1" ht="12.75" customHeight="1" x14ac:dyDescent="0.3">
      <c r="A14" s="548"/>
      <c r="B14" s="548"/>
      <c r="C14" s="548"/>
      <c r="D14" s="548"/>
      <c r="E14" s="548"/>
      <c r="F14" s="548"/>
      <c r="G14" s="548"/>
      <c r="H14" s="548"/>
      <c r="I14" s="548"/>
      <c r="J14" s="548"/>
      <c r="K14" s="548"/>
    </row>
    <row r="15" spans="1:11" s="552" customFormat="1" ht="12.75" customHeight="1" x14ac:dyDescent="0.3">
      <c r="A15" s="548"/>
      <c r="B15" s="548"/>
      <c r="C15" s="548"/>
      <c r="D15" s="548"/>
      <c r="E15" s="548"/>
      <c r="F15" s="548"/>
      <c r="G15" s="548"/>
      <c r="H15" s="548"/>
      <c r="I15" s="548"/>
      <c r="J15" s="548"/>
      <c r="K15" s="548"/>
    </row>
    <row r="16" spans="1:11" s="552" customFormat="1" ht="12.75" customHeight="1" x14ac:dyDescent="0.3">
      <c r="A16" s="357"/>
      <c r="B16" s="548"/>
      <c r="C16" s="548"/>
      <c r="D16" s="355"/>
      <c r="E16" s="406"/>
      <c r="F16" s="548"/>
      <c r="G16" s="548"/>
      <c r="H16" s="353"/>
      <c r="I16" s="353"/>
      <c r="J16" s="355"/>
      <c r="K16" s="379"/>
    </row>
    <row r="17" spans="1:17" s="552" customFormat="1" ht="12.75" customHeight="1" x14ac:dyDescent="0.3">
      <c r="A17" s="548"/>
      <c r="B17" s="548"/>
      <c r="C17" s="548"/>
      <c r="D17" s="548"/>
      <c r="E17" s="548"/>
      <c r="F17" s="548"/>
      <c r="G17" s="548"/>
      <c r="H17" s="548"/>
      <c r="I17" s="548"/>
      <c r="J17" s="548"/>
      <c r="K17" s="548"/>
    </row>
    <row r="18" spans="1:17" s="552" customFormat="1" ht="12.75" customHeight="1" x14ac:dyDescent="0.3">
      <c r="A18" s="548"/>
      <c r="B18" s="548"/>
      <c r="C18" s="548"/>
      <c r="D18" s="548"/>
      <c r="E18" s="548"/>
      <c r="F18" s="548"/>
      <c r="G18" s="548"/>
      <c r="H18" s="548"/>
      <c r="I18" s="548"/>
      <c r="J18" s="548"/>
      <c r="K18" s="548"/>
    </row>
    <row r="19" spans="1:17" s="552" customFormat="1" ht="12.75" customHeight="1" x14ac:dyDescent="0.3">
      <c r="A19" s="548"/>
      <c r="B19" s="548"/>
      <c r="C19" s="548"/>
      <c r="D19" s="548"/>
      <c r="E19" s="548"/>
      <c r="F19" s="548"/>
      <c r="G19" s="548"/>
      <c r="H19" s="548"/>
      <c r="I19" s="548"/>
      <c r="J19" s="548"/>
      <c r="K19" s="548"/>
    </row>
    <row r="20" spans="1:17" s="552" customFormat="1" ht="12.75" customHeight="1" x14ac:dyDescent="0.3">
      <c r="A20" s="548"/>
      <c r="B20" s="548"/>
      <c r="C20" s="548"/>
      <c r="D20" s="548"/>
      <c r="E20" s="548"/>
      <c r="F20" s="548"/>
      <c r="G20" s="548"/>
      <c r="H20" s="548"/>
      <c r="I20" s="548"/>
      <c r="J20" s="548"/>
      <c r="K20" s="548"/>
    </row>
    <row r="21" spans="1:17" s="552" customFormat="1" ht="16.5" customHeight="1" x14ac:dyDescent="0.3">
      <c r="A21" s="548"/>
      <c r="B21" s="548"/>
      <c r="C21" s="548"/>
      <c r="D21" s="548"/>
      <c r="E21" s="548"/>
      <c r="F21" s="548"/>
      <c r="G21" s="548"/>
      <c r="H21" s="548"/>
      <c r="I21" s="548"/>
      <c r="J21" s="548"/>
      <c r="K21" s="548"/>
    </row>
    <row r="22" spans="1:17" s="552" customFormat="1" ht="36.6" customHeight="1" x14ac:dyDescent="0.3">
      <c r="A22" s="1204" t="s">
        <v>1949</v>
      </c>
      <c r="B22" s="1204"/>
      <c r="C22" s="1204"/>
      <c r="D22" s="1204"/>
      <c r="E22" s="1204"/>
      <c r="F22" s="1204"/>
      <c r="G22" s="1204"/>
      <c r="H22" s="1204"/>
      <c r="I22" s="1204"/>
      <c r="J22" s="1204"/>
      <c r="K22" s="1060"/>
      <c r="L22" s="960"/>
      <c r="M22" s="188"/>
      <c r="N22" s="188"/>
      <c r="O22" s="188"/>
      <c r="P22" s="188"/>
      <c r="Q22" s="188"/>
    </row>
    <row r="23" spans="1:17" s="552" customFormat="1" ht="23.4" customHeight="1" x14ac:dyDescent="0.3">
      <c r="A23" s="1170" t="s">
        <v>1397</v>
      </c>
      <c r="B23" s="1170"/>
      <c r="C23" s="1170"/>
      <c r="D23" s="1170"/>
      <c r="E23" s="1170"/>
      <c r="F23" s="1170"/>
      <c r="G23" s="1170"/>
      <c r="H23" s="1170"/>
      <c r="I23" s="1170"/>
      <c r="J23" s="1170"/>
      <c r="K23" s="1170"/>
    </row>
    <row r="24" spans="1:17" s="552" customFormat="1" ht="18" customHeight="1" x14ac:dyDescent="0.3">
      <c r="A24" s="1203"/>
      <c r="B24" s="1203"/>
      <c r="C24" s="1203"/>
      <c r="D24" s="1203"/>
      <c r="E24" s="1203"/>
      <c r="F24" s="1203"/>
      <c r="G24" s="1203"/>
      <c r="H24" s="1203"/>
      <c r="I24" s="1203"/>
      <c r="J24" s="1203"/>
      <c r="K24" s="1203"/>
    </row>
    <row r="25" spans="1:17" s="552" customFormat="1" ht="22.5" customHeight="1" x14ac:dyDescent="0.3">
      <c r="A25" s="1168"/>
      <c r="B25" s="1168"/>
      <c r="C25" s="1168"/>
      <c r="D25" s="1168"/>
      <c r="E25" s="1168"/>
      <c r="F25" s="1168"/>
      <c r="G25" s="1168"/>
      <c r="H25" s="1168"/>
      <c r="I25" s="1168"/>
      <c r="J25" s="1168"/>
      <c r="K25" s="1168"/>
    </row>
    <row r="26" spans="1:17" s="552" customFormat="1" ht="12.75" customHeight="1" x14ac:dyDescent="0.3">
      <c r="A26" s="357"/>
      <c r="B26" s="548"/>
      <c r="C26" s="548"/>
      <c r="D26" s="355"/>
      <c r="E26" s="406"/>
      <c r="F26" s="548"/>
      <c r="G26" s="548"/>
      <c r="H26" s="353"/>
      <c r="I26" s="353"/>
      <c r="J26" s="355"/>
      <c r="K26" s="379"/>
    </row>
    <row r="27" spans="1:17" s="552" customFormat="1" ht="12.75" customHeight="1" x14ac:dyDescent="0.3">
      <c r="A27" s="357"/>
      <c r="B27" s="548"/>
      <c r="C27" s="548"/>
      <c r="D27" s="355"/>
      <c r="E27" s="406"/>
      <c r="F27" s="548"/>
      <c r="G27" s="548"/>
      <c r="H27" s="353"/>
      <c r="I27" s="353"/>
      <c r="J27" s="355"/>
      <c r="K27" s="379"/>
    </row>
    <row r="28" spans="1:17" s="552" customFormat="1" ht="12.75" customHeight="1" x14ac:dyDescent="0.3">
      <c r="A28" s="357"/>
      <c r="B28" s="548"/>
      <c r="C28" s="548"/>
      <c r="D28" s="355"/>
      <c r="E28" s="406"/>
      <c r="F28" s="548"/>
      <c r="G28" s="548"/>
      <c r="H28" s="353"/>
      <c r="I28" s="353"/>
      <c r="J28" s="355"/>
      <c r="K28" s="379"/>
    </row>
    <row r="29" spans="1:17" s="552" customFormat="1" ht="12.75" customHeight="1" x14ac:dyDescent="0.3">
      <c r="A29" s="357"/>
      <c r="B29" s="548"/>
      <c r="C29" s="548"/>
      <c r="D29" s="355"/>
      <c r="E29" s="406"/>
      <c r="F29" s="548"/>
      <c r="G29" s="548"/>
      <c r="H29" s="353"/>
      <c r="I29" s="353"/>
      <c r="J29" s="355"/>
      <c r="K29" s="379"/>
    </row>
    <row r="30" spans="1:17" s="552" customFormat="1" ht="12.75" customHeight="1" x14ac:dyDescent="0.3">
      <c r="A30" s="357"/>
      <c r="B30" s="548"/>
      <c r="C30" s="548"/>
      <c r="D30" s="355"/>
      <c r="E30" s="406"/>
      <c r="F30" s="548"/>
      <c r="G30" s="548"/>
      <c r="H30" s="353"/>
      <c r="I30" s="353"/>
      <c r="J30" s="355"/>
      <c r="K30" s="379"/>
    </row>
    <row r="31" spans="1:17" s="552" customFormat="1" ht="12.75" customHeight="1" x14ac:dyDescent="0.3">
      <c r="A31" s="357"/>
      <c r="B31" s="548"/>
      <c r="C31" s="548"/>
      <c r="D31" s="355"/>
      <c r="E31" s="406"/>
      <c r="F31" s="548"/>
      <c r="G31" s="548"/>
      <c r="H31" s="353"/>
      <c r="I31" s="353"/>
      <c r="J31" s="355"/>
      <c r="K31" s="379"/>
    </row>
    <row r="32" spans="1:17" s="552" customFormat="1" ht="16.5" customHeight="1" x14ac:dyDescent="0.3">
      <c r="A32" s="357"/>
      <c r="B32" s="548"/>
      <c r="C32" s="548"/>
      <c r="D32" s="355"/>
      <c r="E32" s="406"/>
      <c r="F32" s="548"/>
      <c r="G32" s="548"/>
      <c r="H32" s="353"/>
      <c r="I32" s="353"/>
      <c r="J32" s="355"/>
      <c r="K32" s="379"/>
    </row>
    <row r="33" spans="1:13" s="552" customFormat="1" ht="16.5" customHeight="1" x14ac:dyDescent="0.3">
      <c r="A33" s="357"/>
      <c r="B33" s="548"/>
      <c r="C33" s="548"/>
      <c r="D33" s="355"/>
      <c r="E33" s="406"/>
      <c r="F33" s="548"/>
      <c r="G33" s="548"/>
      <c r="H33" s="353"/>
      <c r="I33" s="353"/>
      <c r="J33" s="355"/>
      <c r="K33" s="379"/>
    </row>
    <row r="34" spans="1:13" s="552" customFormat="1" ht="16.5" customHeight="1" x14ac:dyDescent="0.3">
      <c r="A34" s="357"/>
      <c r="B34" s="548"/>
      <c r="C34" s="548"/>
      <c r="D34" s="355"/>
      <c r="E34" s="406"/>
      <c r="F34" s="548"/>
      <c r="G34" s="548"/>
      <c r="H34" s="353"/>
      <c r="I34" s="353"/>
      <c r="J34" s="355"/>
      <c r="K34" s="379"/>
    </row>
    <row r="35" spans="1:13" s="552" customFormat="1" ht="12.75" customHeight="1" x14ac:dyDescent="0.3">
      <c r="A35" s="357"/>
      <c r="B35" s="548"/>
      <c r="C35" s="548"/>
      <c r="D35" s="355"/>
      <c r="E35" s="406"/>
      <c r="F35" s="548"/>
      <c r="G35" s="548"/>
      <c r="H35" s="353"/>
      <c r="I35" s="353"/>
      <c r="J35" s="355"/>
      <c r="K35" s="379"/>
    </row>
    <row r="36" spans="1:13" s="552" customFormat="1" ht="12.75" customHeight="1" x14ac:dyDescent="0.3">
      <c r="A36" s="357"/>
      <c r="B36" s="548"/>
      <c r="C36" s="548"/>
      <c r="D36" s="355"/>
      <c r="E36" s="406"/>
      <c r="F36" s="548"/>
      <c r="G36" s="548"/>
      <c r="H36" s="353"/>
      <c r="I36" s="353"/>
      <c r="J36" s="355"/>
      <c r="K36" s="379"/>
    </row>
    <row r="37" spans="1:13" s="552" customFormat="1" ht="12.75" customHeight="1" x14ac:dyDescent="0.3">
      <c r="A37" s="357"/>
      <c r="B37" s="548"/>
      <c r="C37" s="548"/>
      <c r="D37" s="355"/>
      <c r="E37" s="406"/>
      <c r="F37" s="548"/>
      <c r="G37" s="548"/>
      <c r="H37" s="353"/>
      <c r="I37" s="353"/>
      <c r="J37" s="355"/>
      <c r="K37" s="379"/>
    </row>
    <row r="38" spans="1:13" s="552" customFormat="1" ht="12.75" customHeight="1" x14ac:dyDescent="0.3">
      <c r="A38" s="357"/>
      <c r="B38" s="548"/>
      <c r="C38" s="548"/>
      <c r="D38" s="355"/>
      <c r="E38" s="406"/>
      <c r="F38" s="548"/>
      <c r="G38" s="548"/>
      <c r="H38" s="353"/>
      <c r="I38" s="353"/>
      <c r="J38" s="355"/>
      <c r="K38" s="379"/>
    </row>
    <row r="39" spans="1:13" s="552" customFormat="1" ht="12.75" customHeight="1" x14ac:dyDescent="0.3">
      <c r="A39" s="357"/>
      <c r="B39" s="548"/>
      <c r="C39" s="548"/>
      <c r="D39" s="355"/>
      <c r="E39" s="406"/>
      <c r="F39" s="548"/>
      <c r="G39" s="548"/>
      <c r="H39" s="353"/>
      <c r="I39" s="353"/>
      <c r="J39" s="355"/>
      <c r="K39" s="379"/>
    </row>
    <row r="40" spans="1:13" s="552" customFormat="1" ht="12.75" customHeight="1" x14ac:dyDescent="0.3">
      <c r="A40" s="357"/>
      <c r="B40" s="548"/>
      <c r="C40" s="548"/>
      <c r="D40" s="355"/>
      <c r="E40" s="406"/>
      <c r="F40" s="548"/>
      <c r="G40" s="548"/>
      <c r="H40" s="353"/>
      <c r="I40" s="353"/>
      <c r="J40" s="355"/>
      <c r="K40" s="379"/>
    </row>
    <row r="41" spans="1:13" s="552" customFormat="1" ht="12.75" customHeight="1" x14ac:dyDescent="0.3">
      <c r="A41" s="357"/>
      <c r="B41" s="548"/>
      <c r="C41" s="548"/>
      <c r="D41" s="355"/>
      <c r="E41" s="406"/>
      <c r="F41" s="548"/>
      <c r="G41" s="548"/>
      <c r="H41" s="353"/>
      <c r="I41" s="353"/>
      <c r="J41" s="355"/>
      <c r="K41" s="379"/>
    </row>
    <row r="42" spans="1:13" s="552" customFormat="1" ht="12.75" customHeight="1" x14ac:dyDescent="0.3">
      <c r="A42" s="357"/>
      <c r="B42" s="548"/>
      <c r="C42" s="548"/>
      <c r="D42" s="355"/>
      <c r="E42" s="406"/>
      <c r="F42" s="548"/>
      <c r="G42" s="548"/>
      <c r="H42" s="353"/>
      <c r="I42" s="353"/>
      <c r="J42" s="355"/>
      <c r="K42" s="379"/>
    </row>
    <row r="43" spans="1:13" s="552" customFormat="1" ht="12.75" customHeight="1" x14ac:dyDescent="0.3">
      <c r="A43" s="357"/>
      <c r="B43" s="548"/>
      <c r="C43" s="548"/>
      <c r="D43" s="355"/>
      <c r="E43" s="406"/>
      <c r="F43" s="548"/>
      <c r="G43" s="548"/>
      <c r="H43" s="353"/>
      <c r="I43" s="353"/>
      <c r="J43" s="355"/>
      <c r="K43" s="379"/>
    </row>
    <row r="44" spans="1:13" s="552" customFormat="1" ht="12.75" customHeight="1" x14ac:dyDescent="0.3">
      <c r="A44" s="137"/>
      <c r="B44" s="138"/>
      <c r="C44" s="139"/>
      <c r="D44" s="139"/>
      <c r="E44" s="139"/>
      <c r="F44" s="139"/>
      <c r="G44" s="139"/>
      <c r="H44" s="141"/>
      <c r="I44" s="138"/>
      <c r="J44" s="140"/>
    </row>
    <row r="45" spans="1:13" s="552" customFormat="1" ht="12.75" customHeight="1" x14ac:dyDescent="0.3">
      <c r="A45" s="137"/>
      <c r="B45" s="138"/>
      <c r="C45" s="139"/>
      <c r="D45" s="139"/>
      <c r="E45" s="139"/>
      <c r="F45" s="139"/>
      <c r="G45" s="139"/>
      <c r="H45" s="141"/>
      <c r="I45" s="138"/>
      <c r="J45" s="140"/>
    </row>
    <row r="46" spans="1:13" s="552" customFormat="1" ht="12.75" customHeight="1" x14ac:dyDescent="0.3">
      <c r="A46" s="137"/>
      <c r="B46" s="138"/>
      <c r="C46" s="139"/>
      <c r="D46" s="139"/>
      <c r="E46" s="139"/>
      <c r="F46" s="139"/>
      <c r="G46" s="139"/>
      <c r="H46" s="141"/>
      <c r="I46" s="138"/>
      <c r="J46" s="140"/>
    </row>
    <row r="47" spans="1:13" s="552" customFormat="1" ht="12.75" customHeight="1" x14ac:dyDescent="0.3">
      <c r="A47" s="357"/>
      <c r="B47" s="768"/>
      <c r="C47" s="1178" t="s">
        <v>1950</v>
      </c>
      <c r="D47" s="1178"/>
      <c r="E47" s="1178"/>
      <c r="F47" s="1178"/>
      <c r="G47" s="1178"/>
      <c r="H47" s="1178"/>
      <c r="I47" s="881"/>
      <c r="J47" s="881"/>
      <c r="K47" s="553"/>
      <c r="L47" s="553"/>
      <c r="M47" s="553"/>
    </row>
    <row r="48" spans="1:13" s="552" customFormat="1" ht="12.75" customHeight="1" x14ac:dyDescent="0.3">
      <c r="A48" s="357"/>
      <c r="B48" s="768"/>
      <c r="C48" s="1178"/>
      <c r="D48" s="1178"/>
      <c r="E48" s="1178"/>
      <c r="F48" s="1178"/>
      <c r="G48" s="1178"/>
      <c r="H48" s="1178"/>
      <c r="I48" s="882"/>
      <c r="J48" s="882"/>
      <c r="K48" s="882"/>
      <c r="L48" s="882"/>
      <c r="M48" s="882"/>
    </row>
    <row r="49" spans="1:13" s="552" customFormat="1" ht="12.75" customHeight="1" x14ac:dyDescent="0.3">
      <c r="A49" s="357"/>
      <c r="B49" s="1053"/>
      <c r="C49" s="1051"/>
      <c r="D49" s="1051"/>
      <c r="E49" s="1051"/>
      <c r="F49" s="1051"/>
      <c r="G49" s="1051"/>
      <c r="H49" s="1051"/>
      <c r="I49" s="1054"/>
      <c r="J49" s="1054"/>
      <c r="K49" s="1054"/>
      <c r="L49" s="1054"/>
      <c r="M49" s="1054"/>
    </row>
    <row r="50" spans="1:13" s="552" customFormat="1" ht="12.75" customHeight="1" x14ac:dyDescent="0.3">
      <c r="A50" s="357"/>
      <c r="B50" s="1053"/>
      <c r="C50" s="1051"/>
      <c r="D50" s="1051"/>
      <c r="E50" s="1051"/>
      <c r="F50" s="1051"/>
      <c r="G50" s="1051"/>
      <c r="H50" s="1051"/>
      <c r="I50" s="1054"/>
      <c r="J50" s="1054"/>
      <c r="K50" s="1054"/>
      <c r="L50" s="1054"/>
      <c r="M50" s="1054"/>
    </row>
    <row r="51" spans="1:13" s="552" customFormat="1" ht="12.75" customHeight="1" x14ac:dyDescent="0.3">
      <c r="A51" s="357"/>
      <c r="B51" s="1053"/>
      <c r="C51" s="1051"/>
      <c r="D51" s="1051"/>
      <c r="E51" s="1051"/>
      <c r="F51" s="1051"/>
      <c r="G51" s="1051"/>
      <c r="H51" s="1051"/>
      <c r="I51" s="1054"/>
      <c r="J51" s="1054"/>
      <c r="K51" s="1054"/>
      <c r="L51" s="1054"/>
      <c r="M51" s="1054"/>
    </row>
    <row r="52" spans="1:13" s="552" customFormat="1" ht="12.75" customHeight="1" x14ac:dyDescent="0.3">
      <c r="A52" s="357"/>
      <c r="B52" s="768"/>
      <c r="C52" s="768"/>
      <c r="D52" s="355"/>
      <c r="E52" s="406"/>
      <c r="F52" s="768"/>
      <c r="G52" s="768"/>
      <c r="H52" s="353"/>
      <c r="I52" s="353"/>
      <c r="J52" s="355"/>
      <c r="K52" s="379"/>
    </row>
    <row r="53" spans="1:13" ht="12.6" customHeight="1" x14ac:dyDescent="0.3">
      <c r="A53" s="1204"/>
      <c r="B53" s="1204"/>
      <c r="C53" s="1204"/>
      <c r="D53" s="1204"/>
      <c r="E53" s="1204"/>
      <c r="F53" s="1204"/>
      <c r="G53" s="1204"/>
      <c r="H53" s="1204"/>
      <c r="I53" s="1204"/>
      <c r="J53" s="1204"/>
      <c r="K53" s="1060"/>
    </row>
    <row r="54" spans="1:13" ht="10.8" customHeight="1" x14ac:dyDescent="0.3">
      <c r="A54" s="1170"/>
      <c r="B54" s="1170"/>
      <c r="C54" s="1170"/>
      <c r="D54" s="1170"/>
      <c r="E54" s="1170"/>
      <c r="F54" s="1170"/>
      <c r="G54" s="1170"/>
      <c r="H54" s="1170"/>
      <c r="I54" s="1170"/>
      <c r="J54" s="1170"/>
      <c r="K54" s="1170"/>
    </row>
    <row r="55" spans="1:13" s="948" customFormat="1" ht="25.2" customHeight="1" x14ac:dyDescent="0.3">
      <c r="A55" s="1204" t="s">
        <v>1949</v>
      </c>
      <c r="B55" s="1204"/>
      <c r="C55" s="1204"/>
      <c r="D55" s="1204"/>
      <c r="E55" s="1204"/>
      <c r="F55" s="1204"/>
      <c r="G55" s="1204"/>
      <c r="H55" s="1204"/>
      <c r="I55" s="1204"/>
      <c r="J55" s="1204"/>
      <c r="K55" s="1060"/>
    </row>
    <row r="56" spans="1:13" ht="34.200000000000003" customHeight="1" x14ac:dyDescent="0.3">
      <c r="A56" s="1170" t="s">
        <v>1397</v>
      </c>
      <c r="B56" s="1170"/>
      <c r="C56" s="1170"/>
      <c r="D56" s="1170"/>
      <c r="E56" s="1170"/>
      <c r="F56" s="1170"/>
      <c r="G56" s="1170"/>
      <c r="H56" s="1170"/>
      <c r="I56" s="1170"/>
      <c r="J56" s="1170"/>
      <c r="K56" s="1170"/>
    </row>
    <row r="57" spans="1:13" ht="29.25" customHeight="1" x14ac:dyDescent="0.3">
      <c r="A57" s="1179" t="s">
        <v>1589</v>
      </c>
      <c r="B57" s="1179"/>
      <c r="C57" s="1179"/>
      <c r="D57" s="89"/>
      <c r="E57" s="85"/>
      <c r="F57" s="1180" t="s">
        <v>1398</v>
      </c>
      <c r="G57" s="1180"/>
      <c r="H57" s="1180"/>
      <c r="I57" s="1180"/>
      <c r="J57" s="1180"/>
      <c r="K57" s="1021"/>
    </row>
    <row r="58" spans="1:13" ht="20.25" customHeight="1" x14ac:dyDescent="0.3">
      <c r="A58" s="1181" t="s">
        <v>0</v>
      </c>
      <c r="B58" s="1181"/>
      <c r="C58" s="1181"/>
      <c r="D58" s="1181"/>
      <c r="E58" s="1181"/>
      <c r="F58" s="1181"/>
      <c r="G58" s="1181"/>
      <c r="H58" s="1181"/>
      <c r="I58" s="1181"/>
      <c r="J58" s="1181"/>
      <c r="K58" s="1181"/>
    </row>
    <row r="59" spans="1:13" ht="27" customHeight="1" x14ac:dyDescent="0.3">
      <c r="A59" s="10" t="s">
        <v>1</v>
      </c>
      <c r="B59" s="1172" t="s">
        <v>2</v>
      </c>
      <c r="C59" s="1172"/>
      <c r="D59" s="1173"/>
      <c r="E59" s="1174" t="s">
        <v>3</v>
      </c>
      <c r="F59" s="1172"/>
      <c r="G59" s="1172"/>
      <c r="H59" s="11" t="s">
        <v>4</v>
      </c>
      <c r="I59" s="1175" t="s">
        <v>5</v>
      </c>
      <c r="J59" s="1176"/>
      <c r="K59" s="1176"/>
    </row>
    <row r="60" spans="1:13" ht="9" customHeight="1" x14ac:dyDescent="0.3">
      <c r="A60" s="12"/>
      <c r="B60" s="12"/>
      <c r="C60" s="13"/>
      <c r="D60" s="13"/>
      <c r="E60" s="13"/>
      <c r="F60" s="12"/>
      <c r="G60" s="13"/>
      <c r="H60" s="13"/>
      <c r="I60" s="14"/>
      <c r="J60" s="13"/>
      <c r="K60" s="15"/>
    </row>
    <row r="61" spans="1:13" ht="15" customHeight="1" x14ac:dyDescent="0.3">
      <c r="A61" s="952">
        <v>1</v>
      </c>
      <c r="B61" s="955" t="s">
        <v>7</v>
      </c>
      <c r="C61" s="1039"/>
      <c r="D61" s="1039"/>
      <c r="E61" s="1177" t="s">
        <v>1952</v>
      </c>
      <c r="F61" s="1177"/>
      <c r="G61" s="956"/>
      <c r="H61" s="1040" t="s">
        <v>1042</v>
      </c>
      <c r="I61" s="1037" t="s">
        <v>1587</v>
      </c>
      <c r="J61" s="952"/>
      <c r="K61" s="952"/>
    </row>
    <row r="62" spans="1:13" ht="14.4" customHeight="1" x14ac:dyDescent="0.3">
      <c r="A62" s="952">
        <v>2</v>
      </c>
      <c r="B62" s="955" t="s">
        <v>8</v>
      </c>
      <c r="C62" s="952"/>
      <c r="D62" s="952"/>
      <c r="E62" s="1037" t="s">
        <v>1287</v>
      </c>
      <c r="F62" s="952"/>
      <c r="G62" s="957"/>
      <c r="H62" s="1040" t="s">
        <v>1041</v>
      </c>
      <c r="I62" s="1037" t="s">
        <v>926</v>
      </c>
      <c r="J62" s="952"/>
      <c r="K62" s="952"/>
    </row>
    <row r="63" spans="1:13" x14ac:dyDescent="0.3">
      <c r="A63" s="952">
        <v>3</v>
      </c>
      <c r="B63" s="1167" t="s">
        <v>1306</v>
      </c>
      <c r="C63" s="1167"/>
      <c r="D63" s="1167"/>
      <c r="E63" s="1037" t="s">
        <v>1957</v>
      </c>
      <c r="F63" s="957"/>
      <c r="G63" s="952"/>
      <c r="H63" s="1040"/>
      <c r="I63" s="1037" t="s">
        <v>1587</v>
      </c>
      <c r="J63" s="952"/>
      <c r="K63" s="952"/>
    </row>
    <row r="64" spans="1:13" ht="15" customHeight="1" x14ac:dyDescent="0.3">
      <c r="A64" s="952">
        <v>4</v>
      </c>
      <c r="B64" s="955" t="s">
        <v>10</v>
      </c>
      <c r="C64" s="952"/>
      <c r="D64" s="952"/>
      <c r="E64" s="1037" t="s">
        <v>1958</v>
      </c>
      <c r="F64" s="952"/>
      <c r="G64" s="957"/>
      <c r="H64" s="1040" t="s">
        <v>1042</v>
      </c>
      <c r="I64" s="1037" t="s">
        <v>926</v>
      </c>
      <c r="J64" s="952"/>
      <c r="K64" s="952"/>
    </row>
    <row r="65" spans="1:11" ht="15" customHeight="1" x14ac:dyDescent="0.3">
      <c r="A65" s="952">
        <v>5</v>
      </c>
      <c r="B65" s="955" t="s">
        <v>11</v>
      </c>
      <c r="C65" s="952"/>
      <c r="D65" s="952"/>
      <c r="E65" s="946" t="s">
        <v>1959</v>
      </c>
      <c r="F65" s="957"/>
      <c r="G65" s="952"/>
      <c r="H65" s="1040" t="s">
        <v>1960</v>
      </c>
      <c r="I65" s="1056" t="s">
        <v>926</v>
      </c>
      <c r="J65" s="952"/>
      <c r="K65" s="952"/>
    </row>
    <row r="66" spans="1:11" ht="15" customHeight="1" x14ac:dyDescent="0.3">
      <c r="A66" s="952">
        <v>6</v>
      </c>
      <c r="B66" s="955" t="s">
        <v>9</v>
      </c>
      <c r="C66" s="952"/>
      <c r="D66" s="947"/>
      <c r="E66" s="1037" t="s">
        <v>1963</v>
      </c>
      <c r="F66" s="956"/>
      <c r="G66" s="957"/>
      <c r="H66" s="1040" t="s">
        <v>1042</v>
      </c>
      <c r="I66" s="1056" t="s">
        <v>926</v>
      </c>
      <c r="J66" s="952"/>
      <c r="K66" s="952"/>
    </row>
    <row r="67" spans="1:11" ht="15" customHeight="1" x14ac:dyDescent="0.3">
      <c r="A67" s="952">
        <v>7</v>
      </c>
      <c r="B67" s="955" t="s">
        <v>14</v>
      </c>
      <c r="C67" s="952"/>
      <c r="D67" s="952"/>
      <c r="E67" s="1037" t="s">
        <v>1964</v>
      </c>
      <c r="F67" s="952"/>
      <c r="G67" s="957"/>
      <c r="H67" s="1040" t="s">
        <v>1042</v>
      </c>
      <c r="I67" s="1056" t="s">
        <v>926</v>
      </c>
      <c r="J67" s="952"/>
      <c r="K67" s="952"/>
    </row>
    <row r="68" spans="1:11" ht="15" customHeight="1" x14ac:dyDescent="0.3">
      <c r="A68" s="952">
        <v>8</v>
      </c>
      <c r="B68" s="955" t="s">
        <v>12</v>
      </c>
      <c r="C68" s="952"/>
      <c r="D68" s="952"/>
      <c r="E68" s="946" t="s">
        <v>1965</v>
      </c>
      <c r="F68" s="957"/>
      <c r="G68" s="1030"/>
      <c r="H68" s="1040" t="s">
        <v>1042</v>
      </c>
      <c r="I68" s="1037" t="s">
        <v>1966</v>
      </c>
      <c r="J68" s="952"/>
      <c r="K68" s="952"/>
    </row>
    <row r="69" spans="1:11" ht="15" customHeight="1" x14ac:dyDescent="0.3">
      <c r="A69" s="952">
        <v>9</v>
      </c>
      <c r="B69" s="955" t="s">
        <v>13</v>
      </c>
      <c r="C69" s="952"/>
      <c r="D69" s="952"/>
      <c r="E69" s="946" t="s">
        <v>1967</v>
      </c>
      <c r="F69" s="957"/>
      <c r="G69" s="957"/>
      <c r="H69" s="1040" t="s">
        <v>1968</v>
      </c>
      <c r="I69" s="1037" t="s">
        <v>926</v>
      </c>
      <c r="J69" s="952"/>
      <c r="K69" s="952"/>
    </row>
    <row r="70" spans="1:11" ht="15" customHeight="1" x14ac:dyDescent="0.3">
      <c r="A70" s="952">
        <v>10</v>
      </c>
      <c r="B70" s="943" t="s">
        <v>1288</v>
      </c>
      <c r="C70" s="1041"/>
      <c r="D70" s="1041"/>
      <c r="E70" s="946" t="s">
        <v>1969</v>
      </c>
      <c r="F70" s="1041"/>
      <c r="G70" s="957"/>
      <c r="H70" s="1040" t="s">
        <v>1042</v>
      </c>
      <c r="I70" s="1056" t="s">
        <v>926</v>
      </c>
      <c r="J70" s="952"/>
      <c r="K70" s="952"/>
    </row>
    <row r="71" spans="1:11" ht="15" customHeight="1" x14ac:dyDescent="0.3">
      <c r="A71" s="952">
        <v>11</v>
      </c>
      <c r="B71" s="943" t="s">
        <v>1307</v>
      </c>
      <c r="C71" s="952"/>
      <c r="D71" s="952"/>
      <c r="E71" s="946" t="s">
        <v>1961</v>
      </c>
      <c r="F71" s="957"/>
      <c r="G71" s="957"/>
      <c r="H71" s="1040" t="s">
        <v>1962</v>
      </c>
      <c r="I71" s="1037" t="s">
        <v>926</v>
      </c>
      <c r="J71" s="952"/>
      <c r="K71" s="952"/>
    </row>
    <row r="72" spans="1:11" ht="15" customHeight="1" x14ac:dyDescent="0.3">
      <c r="A72" s="952">
        <v>12</v>
      </c>
      <c r="B72" s="955" t="s">
        <v>15</v>
      </c>
      <c r="C72" s="952"/>
      <c r="D72" s="952"/>
      <c r="E72" s="946" t="s">
        <v>1970</v>
      </c>
      <c r="F72" s="957"/>
      <c r="G72" s="952"/>
      <c r="H72" s="1040" t="s">
        <v>1968</v>
      </c>
      <c r="I72" s="1037" t="s">
        <v>1587</v>
      </c>
      <c r="J72" s="952"/>
      <c r="K72" s="952"/>
    </row>
    <row r="73" spans="1:11" ht="15" customHeight="1" x14ac:dyDescent="0.3">
      <c r="A73" s="952">
        <v>13</v>
      </c>
      <c r="B73" s="955" t="s">
        <v>15</v>
      </c>
      <c r="C73" s="952"/>
      <c r="D73" s="952"/>
      <c r="E73" s="946" t="s">
        <v>1971</v>
      </c>
      <c r="F73" s="957"/>
      <c r="G73" s="957"/>
      <c r="H73" s="1040" t="s">
        <v>1960</v>
      </c>
      <c r="I73" s="1037" t="s">
        <v>1974</v>
      </c>
      <c r="J73" s="952"/>
      <c r="K73" s="952"/>
    </row>
    <row r="74" spans="1:11" ht="15" customHeight="1" x14ac:dyDescent="0.3">
      <c r="A74" s="952">
        <v>14</v>
      </c>
      <c r="B74" s="955" t="s">
        <v>15</v>
      </c>
      <c r="C74" s="952"/>
      <c r="D74" s="952"/>
      <c r="E74" s="946" t="s">
        <v>1972</v>
      </c>
      <c r="F74" s="957"/>
      <c r="G74" s="952"/>
      <c r="H74" s="1040" t="s">
        <v>1968</v>
      </c>
      <c r="I74" s="1037" t="s">
        <v>1587</v>
      </c>
      <c r="J74" s="952"/>
      <c r="K74" s="952"/>
    </row>
    <row r="75" spans="1:11" ht="15" customHeight="1" x14ac:dyDescent="0.3">
      <c r="A75" s="952">
        <v>15</v>
      </c>
      <c r="B75" s="955" t="s">
        <v>15</v>
      </c>
      <c r="C75" s="952"/>
      <c r="D75" s="952"/>
      <c r="E75" s="1037" t="s">
        <v>1973</v>
      </c>
      <c r="F75" s="952"/>
      <c r="G75" s="952"/>
      <c r="H75" s="1040" t="s">
        <v>1962</v>
      </c>
      <c r="I75" s="1037" t="s">
        <v>1966</v>
      </c>
      <c r="J75" s="952"/>
      <c r="K75" s="952"/>
    </row>
    <row r="76" spans="1:11" ht="15" customHeight="1" x14ac:dyDescent="0.3">
      <c r="A76" s="952">
        <v>16</v>
      </c>
      <c r="B76" s="955" t="s">
        <v>15</v>
      </c>
      <c r="C76" s="952"/>
      <c r="D76" s="952"/>
      <c r="E76" s="946" t="s">
        <v>1975</v>
      </c>
      <c r="F76" s="957"/>
      <c r="G76" s="947"/>
      <c r="H76" s="1040" t="s">
        <v>1968</v>
      </c>
      <c r="I76" s="1037" t="s">
        <v>1587</v>
      </c>
      <c r="J76" s="952"/>
      <c r="K76" s="952"/>
    </row>
    <row r="77" spans="1:11" ht="15" customHeight="1" x14ac:dyDescent="0.3">
      <c r="A77" s="952">
        <v>17</v>
      </c>
      <c r="B77" s="955" t="s">
        <v>15</v>
      </c>
      <c r="C77" s="952"/>
      <c r="D77" s="952"/>
      <c r="E77" s="946" t="s">
        <v>1976</v>
      </c>
      <c r="F77" s="952"/>
      <c r="G77" s="76"/>
      <c r="H77" s="1040" t="s">
        <v>1968</v>
      </c>
      <c r="I77" s="1037" t="s">
        <v>1587</v>
      </c>
      <c r="J77" s="952"/>
      <c r="K77" s="952"/>
    </row>
    <row r="78" spans="1:11" ht="15" customHeight="1" x14ac:dyDescent="0.3">
      <c r="A78" s="952">
        <v>18</v>
      </c>
      <c r="B78" s="955" t="s">
        <v>1588</v>
      </c>
      <c r="C78" s="952"/>
      <c r="D78" s="952"/>
      <c r="E78" s="946" t="s">
        <v>1977</v>
      </c>
      <c r="F78" s="1029"/>
      <c r="G78" s="76"/>
      <c r="H78" s="1040" t="s">
        <v>1968</v>
      </c>
      <c r="I78" s="1037" t="s">
        <v>926</v>
      </c>
      <c r="J78" s="76"/>
      <c r="K78" s="5"/>
    </row>
    <row r="79" spans="1:11" ht="12.75" customHeight="1" x14ac:dyDescent="0.3">
      <c r="A79" s="952">
        <v>19</v>
      </c>
      <c r="B79" s="955" t="s">
        <v>1588</v>
      </c>
      <c r="C79" s="952"/>
      <c r="D79" s="952"/>
      <c r="E79" s="1037" t="s">
        <v>1978</v>
      </c>
      <c r="F79" s="947"/>
      <c r="G79" s="946"/>
      <c r="H79" s="1040" t="s">
        <v>1968</v>
      </c>
      <c r="I79" s="1037" t="s">
        <v>1587</v>
      </c>
      <c r="J79" s="952"/>
      <c r="K79" s="952"/>
    </row>
    <row r="80" spans="1:11" ht="15" customHeight="1" x14ac:dyDescent="0.3">
      <c r="A80" s="952">
        <v>20</v>
      </c>
      <c r="B80" s="941" t="s">
        <v>1979</v>
      </c>
      <c r="C80" s="939"/>
      <c r="D80" s="940"/>
      <c r="E80" s="945" t="s">
        <v>1980</v>
      </c>
      <c r="F80" s="944"/>
      <c r="G80" s="920"/>
      <c r="H80" s="1040" t="s">
        <v>1968</v>
      </c>
      <c r="I80" s="1056" t="s">
        <v>1587</v>
      </c>
      <c r="J80" s="20"/>
      <c r="K80" s="20"/>
    </row>
    <row r="81" spans="1:11" ht="15" customHeight="1" x14ac:dyDescent="0.3">
      <c r="A81" s="952">
        <v>21</v>
      </c>
      <c r="B81" s="955" t="s">
        <v>1979</v>
      </c>
      <c r="C81" s="937"/>
      <c r="D81" s="938"/>
      <c r="E81" s="945" t="s">
        <v>1981</v>
      </c>
      <c r="F81" s="944"/>
      <c r="G81" s="927"/>
      <c r="H81" s="1040" t="s">
        <v>1968</v>
      </c>
      <c r="I81" s="1056" t="s">
        <v>1587</v>
      </c>
      <c r="J81" s="20"/>
      <c r="K81" s="20"/>
    </row>
    <row r="82" spans="1:11" ht="15" customHeight="1" x14ac:dyDescent="0.3">
      <c r="A82" s="952">
        <v>22</v>
      </c>
      <c r="B82" s="917" t="s">
        <v>1982</v>
      </c>
      <c r="C82" s="916"/>
      <c r="D82" s="918"/>
      <c r="E82" s="1065" t="s">
        <v>2065</v>
      </c>
      <c r="F82" s="952"/>
      <c r="G82" s="951"/>
      <c r="H82" s="1040" t="s">
        <v>1968</v>
      </c>
      <c r="I82" s="1065" t="s">
        <v>1587</v>
      </c>
      <c r="J82" s="20"/>
      <c r="K82" s="20"/>
    </row>
    <row r="83" spans="1:11" ht="15" customHeight="1" x14ac:dyDescent="0.3">
      <c r="A83" s="952">
        <v>23</v>
      </c>
      <c r="B83" s="917" t="s">
        <v>1983</v>
      </c>
      <c r="C83" s="916"/>
      <c r="D83" s="918"/>
      <c r="E83" s="1056" t="s">
        <v>1984</v>
      </c>
      <c r="F83" s="924"/>
      <c r="G83" s="925"/>
      <c r="H83" s="1040" t="s">
        <v>1968</v>
      </c>
      <c r="I83" s="17" t="s">
        <v>1587</v>
      </c>
      <c r="J83" s="20"/>
      <c r="K83" s="20"/>
    </row>
    <row r="84" spans="1:11" ht="15" customHeight="1" x14ac:dyDescent="0.3">
      <c r="A84" s="952">
        <v>24</v>
      </c>
      <c r="B84" s="917" t="s">
        <v>1985</v>
      </c>
      <c r="C84" s="916"/>
      <c r="D84" s="918"/>
      <c r="E84" s="926" t="s">
        <v>1986</v>
      </c>
      <c r="F84" s="924"/>
      <c r="G84" s="925"/>
      <c r="H84" s="1040" t="s">
        <v>1968</v>
      </c>
      <c r="I84" s="1056" t="s">
        <v>1587</v>
      </c>
      <c r="J84" s="20"/>
      <c r="K84" s="20"/>
    </row>
    <row r="85" spans="1:11" ht="15" customHeight="1" x14ac:dyDescent="0.3">
      <c r="A85" s="952">
        <v>25</v>
      </c>
      <c r="B85" s="917" t="s">
        <v>1987</v>
      </c>
      <c r="C85" s="916"/>
      <c r="D85" s="918"/>
      <c r="E85" s="921" t="s">
        <v>1958</v>
      </c>
      <c r="F85" s="922"/>
      <c r="G85" s="920"/>
      <c r="H85" s="19" t="s">
        <v>1962</v>
      </c>
      <c r="I85" s="17" t="s">
        <v>926</v>
      </c>
      <c r="J85" s="20"/>
      <c r="K85" s="20"/>
    </row>
    <row r="86" spans="1:11" s="948" customFormat="1" ht="15" customHeight="1" x14ac:dyDescent="0.3">
      <c r="A86" s="952"/>
      <c r="B86" s="955"/>
      <c r="C86" s="951"/>
      <c r="D86" s="1059"/>
      <c r="E86" s="1056"/>
      <c r="F86" s="952"/>
      <c r="G86" s="951"/>
      <c r="H86" s="950"/>
      <c r="I86" s="1056"/>
      <c r="J86" s="951"/>
      <c r="K86" s="951"/>
    </row>
    <row r="87" spans="1:11" s="948" customFormat="1" ht="15" customHeight="1" x14ac:dyDescent="0.3">
      <c r="A87" s="952"/>
      <c r="B87" s="955"/>
      <c r="C87" s="951"/>
      <c r="D87" s="1059"/>
      <c r="E87" s="1056"/>
      <c r="F87" s="952"/>
      <c r="G87" s="951"/>
      <c r="H87" s="950"/>
      <c r="I87" s="1056"/>
      <c r="J87" s="951"/>
      <c r="K87" s="951"/>
    </row>
    <row r="88" spans="1:11" s="948" customFormat="1" ht="15" customHeight="1" x14ac:dyDescent="0.3">
      <c r="A88" s="952"/>
      <c r="B88" s="955"/>
      <c r="C88" s="951"/>
      <c r="D88" s="1059"/>
      <c r="E88" s="1056"/>
      <c r="F88" s="952"/>
      <c r="G88" s="951"/>
      <c r="H88" s="950"/>
      <c r="I88" s="1056"/>
      <c r="J88" s="951"/>
      <c r="K88" s="951"/>
    </row>
    <row r="89" spans="1:11" s="948" customFormat="1" ht="15" customHeight="1" x14ac:dyDescent="0.3">
      <c r="A89" s="952"/>
      <c r="B89" s="955"/>
      <c r="C89" s="951"/>
      <c r="D89" s="1059"/>
      <c r="E89" s="1056"/>
      <c r="F89" s="952"/>
      <c r="G89" s="951"/>
      <c r="H89" s="950"/>
      <c r="I89" s="1056"/>
      <c r="J89" s="951"/>
      <c r="K89" s="951"/>
    </row>
    <row r="90" spans="1:11" s="948" customFormat="1" ht="15" customHeight="1" x14ac:dyDescent="0.3">
      <c r="A90" s="952"/>
      <c r="B90" s="955"/>
      <c r="C90" s="951"/>
      <c r="D90" s="1059"/>
      <c r="E90" s="1056"/>
      <c r="F90" s="952"/>
      <c r="G90" s="951"/>
      <c r="H90" s="950"/>
      <c r="I90" s="1056"/>
      <c r="J90" s="951"/>
      <c r="K90" s="951"/>
    </row>
    <row r="91" spans="1:11" s="948" customFormat="1" ht="15" customHeight="1" x14ac:dyDescent="0.3">
      <c r="A91" s="952"/>
      <c r="B91" s="955"/>
      <c r="C91" s="951"/>
      <c r="D91" s="1059"/>
      <c r="E91" s="1056"/>
      <c r="F91" s="952"/>
      <c r="G91" s="951"/>
      <c r="H91" s="950"/>
      <c r="I91" s="1056"/>
      <c r="J91" s="951"/>
      <c r="K91" s="951"/>
    </row>
    <row r="92" spans="1:11" s="948" customFormat="1" ht="15" customHeight="1" x14ac:dyDescent="0.3">
      <c r="A92" s="952"/>
      <c r="B92" s="955"/>
      <c r="C92" s="951"/>
      <c r="D92" s="1059"/>
      <c r="E92" s="1056"/>
      <c r="F92" s="952"/>
      <c r="G92" s="951"/>
      <c r="H92" s="950"/>
      <c r="I92" s="1056"/>
      <c r="J92" s="951"/>
      <c r="K92" s="951"/>
    </row>
    <row r="93" spans="1:11" s="948" customFormat="1" ht="15" customHeight="1" x14ac:dyDescent="0.3">
      <c r="A93" s="952"/>
      <c r="B93" s="955"/>
      <c r="C93" s="951"/>
      <c r="D93" s="1059"/>
      <c r="E93" s="1056"/>
      <c r="F93" s="952"/>
      <c r="G93" s="951"/>
      <c r="H93" s="950"/>
      <c r="I93" s="1056"/>
      <c r="J93" s="951"/>
      <c r="K93" s="951"/>
    </row>
    <row r="94" spans="1:11" s="948" customFormat="1" ht="15" customHeight="1" x14ac:dyDescent="0.3">
      <c r="A94" s="952"/>
      <c r="B94" s="955"/>
      <c r="C94" s="951"/>
      <c r="D94" s="1059"/>
      <c r="E94" s="1056"/>
      <c r="F94" s="952"/>
      <c r="G94" s="951"/>
      <c r="H94" s="950"/>
      <c r="I94" s="1056"/>
      <c r="J94" s="951"/>
      <c r="K94" s="951"/>
    </row>
    <row r="95" spans="1:11" s="948" customFormat="1" ht="15" customHeight="1" x14ac:dyDescent="0.3">
      <c r="A95" s="952"/>
      <c r="B95" s="955"/>
      <c r="C95" s="951"/>
      <c r="D95" s="1059"/>
      <c r="E95" s="1056"/>
      <c r="F95" s="952"/>
      <c r="G95" s="951"/>
      <c r="H95" s="950"/>
      <c r="I95" s="1056"/>
      <c r="J95" s="951"/>
      <c r="K95" s="951"/>
    </row>
    <row r="96" spans="1:11" s="948" customFormat="1" ht="15" customHeight="1" x14ac:dyDescent="0.3">
      <c r="A96" s="952"/>
      <c r="B96" s="955"/>
      <c r="C96" s="951"/>
      <c r="D96" s="1059"/>
      <c r="E96" s="1056"/>
      <c r="F96" s="952"/>
      <c r="G96" s="951"/>
      <c r="H96" s="950"/>
      <c r="I96" s="1056"/>
      <c r="J96" s="951"/>
      <c r="K96" s="951"/>
    </row>
    <row r="97" spans="1:11" s="948" customFormat="1" ht="15" customHeight="1" x14ac:dyDescent="0.3">
      <c r="A97" s="952"/>
      <c r="B97" s="955"/>
      <c r="C97" s="951"/>
      <c r="D97" s="1059"/>
      <c r="E97" s="1056"/>
      <c r="F97" s="952"/>
      <c r="G97" s="951"/>
      <c r="H97" s="950"/>
      <c r="I97" s="1056"/>
      <c r="J97" s="951"/>
      <c r="K97" s="951"/>
    </row>
    <row r="98" spans="1:11" s="948" customFormat="1" ht="15" customHeight="1" x14ac:dyDescent="0.3">
      <c r="A98" s="952"/>
      <c r="B98" s="955"/>
      <c r="C98" s="951"/>
      <c r="D98" s="1059"/>
      <c r="E98" s="1056"/>
      <c r="F98" s="952"/>
      <c r="G98" s="951"/>
      <c r="H98" s="950"/>
      <c r="I98" s="1056"/>
      <c r="J98" s="951"/>
      <c r="K98" s="951"/>
    </row>
    <row r="99" spans="1:11" s="948" customFormat="1" ht="20.399999999999999" customHeight="1" x14ac:dyDescent="0.3">
      <c r="A99" s="1206" t="s">
        <v>1993</v>
      </c>
      <c r="B99" s="1206"/>
      <c r="C99" s="1206"/>
      <c r="D99" s="1206"/>
      <c r="E99" s="1206"/>
      <c r="F99" s="1206"/>
      <c r="G99" s="1206"/>
      <c r="H99" s="1206"/>
      <c r="I99" s="1206"/>
      <c r="J99" s="1206"/>
      <c r="K99" s="951"/>
    </row>
    <row r="100" spans="1:11" s="948" customFormat="1" ht="15" customHeight="1" x14ac:dyDescent="0.3">
      <c r="A100" s="1169" t="s">
        <v>1994</v>
      </c>
      <c r="B100" s="1169"/>
      <c r="C100" s="1169"/>
      <c r="D100" s="1169"/>
      <c r="E100" s="1169"/>
      <c r="F100" s="1169"/>
      <c r="G100" s="1169"/>
      <c r="H100" s="1169"/>
      <c r="I100" s="1169"/>
      <c r="J100" s="1169"/>
      <c r="K100" s="951"/>
    </row>
    <row r="101" spans="1:11" s="948" customFormat="1" ht="21" customHeight="1" x14ac:dyDescent="0.3">
      <c r="A101" s="1204" t="s">
        <v>1949</v>
      </c>
      <c r="B101" s="1204"/>
      <c r="C101" s="1204"/>
      <c r="D101" s="1204"/>
      <c r="E101" s="1204"/>
      <c r="F101" s="1204"/>
      <c r="G101" s="1204"/>
      <c r="H101" s="1204"/>
      <c r="I101" s="1204"/>
      <c r="J101" s="1204"/>
      <c r="K101" s="1060"/>
    </row>
    <row r="102" spans="1:11" s="948" customFormat="1" ht="23.4" customHeight="1" x14ac:dyDescent="0.3">
      <c r="A102" s="1170" t="s">
        <v>1397</v>
      </c>
      <c r="B102" s="1170"/>
      <c r="C102" s="1170"/>
      <c r="D102" s="1170"/>
      <c r="E102" s="1170"/>
      <c r="F102" s="1170"/>
      <c r="G102" s="1170"/>
      <c r="H102" s="1170"/>
      <c r="I102" s="1170"/>
      <c r="J102" s="1170"/>
      <c r="K102" s="1170"/>
    </row>
    <row r="103" spans="1:11" s="948" customFormat="1" ht="23.4" customHeight="1" x14ac:dyDescent="0.3">
      <c r="A103" s="1207" t="s">
        <v>1995</v>
      </c>
      <c r="B103" s="1207"/>
      <c r="C103" s="1207"/>
      <c r="D103" s="1207"/>
      <c r="E103" s="1207"/>
      <c r="F103" s="1207"/>
      <c r="G103" s="1207"/>
      <c r="H103" s="1207"/>
      <c r="I103" s="1207"/>
      <c r="J103" s="1207"/>
      <c r="K103" s="951"/>
    </row>
    <row r="104" spans="1:11" s="948" customFormat="1" ht="15" customHeight="1" x14ac:dyDescent="0.3">
      <c r="A104" s="1200" t="s">
        <v>1589</v>
      </c>
      <c r="B104" s="1200"/>
      <c r="C104" s="1200"/>
      <c r="D104" s="1089"/>
      <c r="E104" s="1089"/>
      <c r="F104" s="1088"/>
      <c r="G104" s="1201" t="s">
        <v>1996</v>
      </c>
      <c r="H104" s="1201"/>
      <c r="I104" s="1201"/>
      <c r="J104" s="1201"/>
      <c r="K104" s="951"/>
    </row>
    <row r="105" spans="1:11" s="948" customFormat="1" ht="30" customHeight="1" x14ac:dyDescent="0.3">
      <c r="A105" s="1198" t="s">
        <v>1997</v>
      </c>
      <c r="B105" s="1198"/>
      <c r="C105" s="1198"/>
      <c r="D105" s="1198"/>
      <c r="E105" s="1198"/>
      <c r="F105" s="1198"/>
      <c r="G105" s="1198"/>
      <c r="H105" s="1198"/>
      <c r="I105" s="1198"/>
      <c r="J105" s="1198"/>
      <c r="K105" s="951"/>
    </row>
    <row r="106" spans="1:11" s="948" customFormat="1" ht="31.8" customHeight="1" x14ac:dyDescent="0.3">
      <c r="A106" s="1091" t="s">
        <v>1</v>
      </c>
      <c r="B106" s="1092" t="s">
        <v>16</v>
      </c>
      <c r="C106" s="1195" t="s">
        <v>1999</v>
      </c>
      <c r="D106" s="1196"/>
      <c r="E106" s="1092" t="s">
        <v>1998</v>
      </c>
      <c r="F106" s="1195" t="s">
        <v>17</v>
      </c>
      <c r="G106" s="1197"/>
      <c r="H106" s="1195" t="s">
        <v>18</v>
      </c>
      <c r="I106" s="1197"/>
      <c r="J106" s="1197"/>
      <c r="K106" s="951"/>
    </row>
    <row r="107" spans="1:11" s="948" customFormat="1" ht="15" customHeight="1" x14ac:dyDescent="0.3">
      <c r="A107" s="952"/>
      <c r="B107" s="955"/>
      <c r="C107" s="951"/>
      <c r="D107" s="1059"/>
      <c r="E107" s="1056"/>
      <c r="F107" s="952"/>
      <c r="G107" s="951"/>
      <c r="H107" s="950"/>
      <c r="I107" s="1056"/>
      <c r="J107" s="951"/>
      <c r="K107" s="951"/>
    </row>
    <row r="108" spans="1:11" s="948" customFormat="1" ht="15" customHeight="1" x14ac:dyDescent="0.35">
      <c r="A108" s="952"/>
      <c r="B108" s="955"/>
      <c r="C108" s="951"/>
      <c r="D108" s="1059"/>
      <c r="E108" s="1056"/>
      <c r="F108" s="1093" t="s">
        <v>2000</v>
      </c>
      <c r="G108" s="1094"/>
      <c r="H108" s="1095"/>
      <c r="I108" s="1096"/>
      <c r="J108" s="1089"/>
      <c r="K108" s="951"/>
    </row>
    <row r="109" spans="1:11" s="948" customFormat="1" ht="15" customHeight="1" x14ac:dyDescent="0.3">
      <c r="A109" s="1138">
        <v>1</v>
      </c>
      <c r="B109" s="24" t="s">
        <v>34</v>
      </c>
      <c r="C109" s="892" t="s">
        <v>1904</v>
      </c>
      <c r="D109" s="890" t="s">
        <v>1723</v>
      </c>
      <c r="E109" s="1097" t="s">
        <v>1905</v>
      </c>
      <c r="F109" s="897" t="s">
        <v>460</v>
      </c>
      <c r="G109" s="894"/>
      <c r="H109" s="897" t="s">
        <v>2002</v>
      </c>
      <c r="I109" s="1056"/>
      <c r="J109" s="951"/>
      <c r="K109" s="951"/>
    </row>
    <row r="110" spans="1:11" s="948" customFormat="1" ht="15" customHeight="1" x14ac:dyDescent="0.3">
      <c r="A110" s="1138">
        <v>2</v>
      </c>
      <c r="B110" s="897" t="s">
        <v>6</v>
      </c>
      <c r="C110" s="892" t="s">
        <v>1900</v>
      </c>
      <c r="D110" s="1098" t="s">
        <v>1807</v>
      </c>
      <c r="E110" s="1099">
        <v>39576</v>
      </c>
      <c r="F110" s="897" t="s">
        <v>460</v>
      </c>
      <c r="G110" s="894"/>
      <c r="H110" s="897" t="s">
        <v>2002</v>
      </c>
      <c r="I110" s="1056"/>
      <c r="J110" s="951"/>
      <c r="K110" s="951"/>
    </row>
    <row r="111" spans="1:11" s="948" customFormat="1" ht="15" customHeight="1" x14ac:dyDescent="0.3">
      <c r="A111" s="1138">
        <v>3</v>
      </c>
      <c r="B111" s="897" t="s">
        <v>34</v>
      </c>
      <c r="C111" s="892" t="s">
        <v>1901</v>
      </c>
      <c r="D111" s="1098" t="s">
        <v>1830</v>
      </c>
      <c r="E111" s="1099">
        <v>39611</v>
      </c>
      <c r="F111" s="897" t="s">
        <v>460</v>
      </c>
      <c r="G111" s="894"/>
      <c r="H111" s="897" t="s">
        <v>2002</v>
      </c>
      <c r="I111" s="1056"/>
      <c r="J111" s="951"/>
      <c r="K111" s="951"/>
    </row>
    <row r="112" spans="1:11" s="948" customFormat="1" ht="15" customHeight="1" x14ac:dyDescent="0.3">
      <c r="A112" s="1138">
        <v>4</v>
      </c>
      <c r="B112" s="897" t="s">
        <v>6</v>
      </c>
      <c r="C112" s="892" t="s">
        <v>1706</v>
      </c>
      <c r="D112" s="890" t="s">
        <v>1642</v>
      </c>
      <c r="E112" s="1097" t="s">
        <v>1707</v>
      </c>
      <c r="F112" s="897" t="s">
        <v>460</v>
      </c>
      <c r="G112" s="894"/>
      <c r="H112" s="897" t="s">
        <v>2001</v>
      </c>
      <c r="I112" s="1056"/>
      <c r="J112" s="951"/>
      <c r="K112" s="951"/>
    </row>
    <row r="113" spans="1:11" s="948" customFormat="1" ht="15" customHeight="1" x14ac:dyDescent="0.3">
      <c r="A113" s="1138">
        <v>5</v>
      </c>
      <c r="B113" s="897" t="s">
        <v>1702</v>
      </c>
      <c r="C113" s="892" t="s">
        <v>1714</v>
      </c>
      <c r="D113" s="890" t="s">
        <v>1715</v>
      </c>
      <c r="E113" s="1097" t="s">
        <v>1716</v>
      </c>
      <c r="F113" s="897" t="s">
        <v>460</v>
      </c>
      <c r="G113" s="894"/>
      <c r="H113" s="897" t="str">
        <f>H112</f>
        <v>Иваницкий В.В.</v>
      </c>
      <c r="I113" s="1056"/>
      <c r="J113" s="951"/>
      <c r="K113" s="951"/>
    </row>
    <row r="114" spans="1:11" s="948" customFormat="1" ht="15" customHeight="1" x14ac:dyDescent="0.3">
      <c r="A114" s="1138">
        <v>6</v>
      </c>
      <c r="B114" s="1139" t="s">
        <v>23</v>
      </c>
      <c r="C114" s="892" t="s">
        <v>1891</v>
      </c>
      <c r="D114" s="1098" t="s">
        <v>1737</v>
      </c>
      <c r="E114" s="1099">
        <v>40372</v>
      </c>
      <c r="F114" s="897" t="s">
        <v>460</v>
      </c>
      <c r="G114" s="894"/>
      <c r="H114" s="897" t="str">
        <f>H113</f>
        <v>Иваницкий В.В.</v>
      </c>
      <c r="I114" s="1056"/>
      <c r="J114" s="951"/>
      <c r="K114" s="951"/>
    </row>
    <row r="115" spans="1:11" s="948" customFormat="1" ht="15" customHeight="1" x14ac:dyDescent="0.3">
      <c r="A115" s="1138">
        <v>7</v>
      </c>
      <c r="B115" s="24" t="s">
        <v>34</v>
      </c>
      <c r="C115" s="892" t="s">
        <v>1902</v>
      </c>
      <c r="D115" s="890" t="s">
        <v>1725</v>
      </c>
      <c r="E115" s="1097" t="s">
        <v>1903</v>
      </c>
      <c r="F115" s="897" t="s">
        <v>460</v>
      </c>
      <c r="G115" s="894"/>
      <c r="H115" s="897" t="str">
        <f>H114</f>
        <v>Иваницкий В.В.</v>
      </c>
      <c r="I115" s="1056"/>
      <c r="J115" s="951"/>
      <c r="K115" s="951"/>
    </row>
    <row r="116" spans="1:11" s="948" customFormat="1" ht="15" customHeight="1" x14ac:dyDescent="0.3">
      <c r="A116" s="1138">
        <v>8</v>
      </c>
      <c r="B116" s="897" t="s">
        <v>1702</v>
      </c>
      <c r="C116" s="892" t="s">
        <v>1703</v>
      </c>
      <c r="D116" s="890" t="s">
        <v>1603</v>
      </c>
      <c r="E116" s="1097" t="s">
        <v>1704</v>
      </c>
      <c r="F116" s="897" t="s">
        <v>460</v>
      </c>
      <c r="G116" s="894"/>
      <c r="H116" s="897" t="str">
        <f>H115</f>
        <v>Иваницкий В.В.</v>
      </c>
      <c r="I116" s="1056"/>
      <c r="J116" s="951"/>
      <c r="K116" s="951"/>
    </row>
    <row r="117" spans="1:11" s="948" customFormat="1" ht="15" customHeight="1" x14ac:dyDescent="0.3">
      <c r="A117" s="1138">
        <v>9</v>
      </c>
      <c r="B117" s="897" t="s">
        <v>24</v>
      </c>
      <c r="C117" s="892" t="s">
        <v>1696</v>
      </c>
      <c r="D117" s="1098" t="s">
        <v>1620</v>
      </c>
      <c r="E117" s="1099">
        <v>40849</v>
      </c>
      <c r="F117" s="897" t="s">
        <v>460</v>
      </c>
      <c r="G117" s="894"/>
      <c r="H117" s="897" t="s">
        <v>2002</v>
      </c>
      <c r="I117" s="1056"/>
      <c r="J117" s="951"/>
      <c r="K117" s="951"/>
    </row>
    <row r="118" spans="1:11" s="948" customFormat="1" ht="15" customHeight="1" x14ac:dyDescent="0.3">
      <c r="A118" s="1138">
        <v>10</v>
      </c>
      <c r="B118" s="897" t="s">
        <v>24</v>
      </c>
      <c r="C118" s="892" t="s">
        <v>1670</v>
      </c>
      <c r="D118" s="1098" t="s">
        <v>1652</v>
      </c>
      <c r="E118" s="1099">
        <v>41171</v>
      </c>
      <c r="F118" s="897" t="s">
        <v>460</v>
      </c>
      <c r="G118" s="894"/>
      <c r="H118" s="897" t="str">
        <f>H117</f>
        <v>Сбродов И. Г.</v>
      </c>
      <c r="I118" s="1056"/>
      <c r="J118" s="951"/>
      <c r="K118" s="951"/>
    </row>
    <row r="119" spans="1:11" s="948" customFormat="1" ht="15" customHeight="1" x14ac:dyDescent="0.3">
      <c r="A119" s="1138">
        <v>11</v>
      </c>
      <c r="B119" s="897" t="s">
        <v>1811</v>
      </c>
      <c r="C119" s="892" t="s">
        <v>1812</v>
      </c>
      <c r="D119" s="1098" t="s">
        <v>1778</v>
      </c>
      <c r="E119" s="1099">
        <v>41178</v>
      </c>
      <c r="F119" s="897" t="s">
        <v>460</v>
      </c>
      <c r="G119" s="894"/>
      <c r="H119" s="897" t="str">
        <f>H118</f>
        <v>Сбродов И. Г.</v>
      </c>
      <c r="I119" s="1056"/>
      <c r="J119" s="951"/>
      <c r="K119" s="951"/>
    </row>
    <row r="120" spans="1:11" s="948" customFormat="1" ht="15" customHeight="1" x14ac:dyDescent="0.3">
      <c r="A120" s="1138">
        <v>12</v>
      </c>
      <c r="B120" s="897" t="s">
        <v>24</v>
      </c>
      <c r="C120" s="892" t="s">
        <v>1849</v>
      </c>
      <c r="D120" s="1098" t="s">
        <v>1737</v>
      </c>
      <c r="E120" s="1099">
        <v>41278</v>
      </c>
      <c r="F120" s="897" t="s">
        <v>460</v>
      </c>
      <c r="G120" s="894"/>
      <c r="H120" s="897" t="str">
        <f>H119</f>
        <v>Сбродов И. Г.</v>
      </c>
      <c r="I120" s="1056"/>
      <c r="J120" s="951"/>
      <c r="K120" s="951"/>
    </row>
    <row r="121" spans="1:11" s="948" customFormat="1" ht="15" customHeight="1" x14ac:dyDescent="0.3">
      <c r="A121" s="1138">
        <v>13</v>
      </c>
      <c r="B121" s="897" t="s">
        <v>1839</v>
      </c>
      <c r="C121" s="892" t="s">
        <v>1840</v>
      </c>
      <c r="D121" s="1098" t="s">
        <v>1733</v>
      </c>
      <c r="E121" s="1099">
        <v>41375</v>
      </c>
      <c r="F121" s="897" t="s">
        <v>460</v>
      </c>
      <c r="G121" s="894"/>
      <c r="H121" s="897" t="str">
        <f>H120</f>
        <v>Сбродов И. Г.</v>
      </c>
      <c r="I121" s="1056"/>
      <c r="J121" s="951"/>
      <c r="K121" s="951"/>
    </row>
    <row r="122" spans="1:11" s="948" customFormat="1" ht="15" customHeight="1" x14ac:dyDescent="0.3">
      <c r="A122" s="1138">
        <v>14</v>
      </c>
      <c r="B122" s="897" t="s">
        <v>24</v>
      </c>
      <c r="C122" s="892" t="s">
        <v>1669</v>
      </c>
      <c r="D122" s="1098" t="s">
        <v>1595</v>
      </c>
      <c r="E122" s="1099">
        <v>41576</v>
      </c>
      <c r="F122" s="897" t="s">
        <v>460</v>
      </c>
      <c r="G122" s="894"/>
      <c r="H122" s="897" t="str">
        <f>H121</f>
        <v>Сбродов И. Г.</v>
      </c>
      <c r="I122" s="1056"/>
      <c r="J122" s="951"/>
      <c r="K122" s="951"/>
    </row>
    <row r="123" spans="1:11" s="948" customFormat="1" ht="15" customHeight="1" x14ac:dyDescent="0.3">
      <c r="A123" s="952"/>
      <c r="B123" s="955"/>
      <c r="C123" s="951"/>
      <c r="D123" s="1100" t="s">
        <v>62</v>
      </c>
      <c r="E123" s="1088"/>
      <c r="F123" s="1087"/>
      <c r="G123" s="1100" t="s">
        <v>2004</v>
      </c>
      <c r="H123" s="1101"/>
      <c r="I123" s="1096"/>
      <c r="K123" s="951"/>
    </row>
    <row r="124" spans="1:11" s="948" customFormat="1" ht="15" customHeight="1" x14ac:dyDescent="0.3">
      <c r="A124" s="952"/>
      <c r="B124" s="955"/>
      <c r="C124" s="951"/>
      <c r="D124" s="1100" t="s">
        <v>62</v>
      </c>
      <c r="E124" s="1100"/>
      <c r="F124" s="1102"/>
      <c r="G124" s="1100" t="s">
        <v>2003</v>
      </c>
      <c r="H124" s="1103"/>
      <c r="I124" s="1104"/>
      <c r="K124" s="951"/>
    </row>
    <row r="125" spans="1:11" s="948" customFormat="1" ht="15" customHeight="1" x14ac:dyDescent="0.3">
      <c r="A125" s="952"/>
      <c r="B125" s="955"/>
      <c r="C125" s="951"/>
      <c r="D125" s="1059"/>
      <c r="E125" s="1056"/>
      <c r="F125" s="952"/>
      <c r="G125" s="951"/>
      <c r="H125" s="950"/>
      <c r="I125" s="1056"/>
      <c r="J125" s="951"/>
      <c r="K125" s="951"/>
    </row>
    <row r="126" spans="1:11" s="948" customFormat="1" ht="15" customHeight="1" x14ac:dyDescent="0.35">
      <c r="A126" s="952"/>
      <c r="B126" s="955"/>
      <c r="C126" s="951"/>
      <c r="D126" s="1059"/>
      <c r="E126" s="1056"/>
      <c r="F126" s="1093" t="s">
        <v>2005</v>
      </c>
      <c r="G126" s="1100"/>
      <c r="H126" s="1101"/>
      <c r="I126" s="1096"/>
      <c r="J126" s="951"/>
      <c r="K126" s="951"/>
    </row>
    <row r="127" spans="1:11" s="948" customFormat="1" ht="15" customHeight="1" x14ac:dyDescent="0.3">
      <c r="A127" s="1070">
        <v>15</v>
      </c>
      <c r="B127" s="550" t="s">
        <v>6</v>
      </c>
      <c r="C127" s="550" t="s">
        <v>1895</v>
      </c>
      <c r="D127" s="551" t="s">
        <v>1896</v>
      </c>
      <c r="E127" s="1042">
        <v>39816</v>
      </c>
      <c r="F127" s="550" t="s">
        <v>1628</v>
      </c>
      <c r="G127" s="951"/>
      <c r="H127" s="1107" t="s">
        <v>2006</v>
      </c>
      <c r="I127" s="7"/>
      <c r="J127" s="22"/>
      <c r="K127" s="951"/>
    </row>
    <row r="128" spans="1:11" s="948" customFormat="1" ht="15" customHeight="1" x14ac:dyDescent="0.3">
      <c r="A128" s="1070">
        <v>16</v>
      </c>
      <c r="B128" s="550" t="s">
        <v>6</v>
      </c>
      <c r="C128" s="551" t="s">
        <v>2007</v>
      </c>
      <c r="D128" s="890" t="s">
        <v>1630</v>
      </c>
      <c r="E128" s="1042">
        <v>39996</v>
      </c>
      <c r="F128" s="550" t="s">
        <v>1628</v>
      </c>
      <c r="G128" s="951"/>
      <c r="H128" s="1107" t="s">
        <v>2006</v>
      </c>
      <c r="I128" s="7"/>
      <c r="J128" s="22"/>
      <c r="K128" s="951"/>
    </row>
    <row r="129" spans="1:11" s="948" customFormat="1" ht="15" customHeight="1" x14ac:dyDescent="0.3">
      <c r="A129" s="1070">
        <v>17</v>
      </c>
      <c r="B129" s="550" t="s">
        <v>6</v>
      </c>
      <c r="C129" s="550" t="s">
        <v>1892</v>
      </c>
      <c r="D129" s="551" t="s">
        <v>1729</v>
      </c>
      <c r="E129" s="1042">
        <v>40177</v>
      </c>
      <c r="F129" s="550" t="s">
        <v>1628</v>
      </c>
      <c r="G129" s="951"/>
      <c r="H129" s="1107" t="s">
        <v>2006</v>
      </c>
      <c r="I129" s="7"/>
      <c r="J129" s="22"/>
      <c r="K129" s="951"/>
    </row>
    <row r="130" spans="1:11" s="948" customFormat="1" ht="15" customHeight="1" x14ac:dyDescent="0.3">
      <c r="A130" s="1070">
        <v>18</v>
      </c>
      <c r="B130" s="550" t="s">
        <v>24</v>
      </c>
      <c r="C130" s="550" t="s">
        <v>1869</v>
      </c>
      <c r="D130" s="551" t="s">
        <v>1757</v>
      </c>
      <c r="E130" s="1042">
        <v>40221</v>
      </c>
      <c r="F130" s="550" t="s">
        <v>1628</v>
      </c>
      <c r="G130" s="951"/>
      <c r="H130" s="1107" t="s">
        <v>2006</v>
      </c>
      <c r="I130" s="7"/>
      <c r="J130" s="22"/>
      <c r="K130" s="951"/>
    </row>
    <row r="131" spans="1:11" s="948" customFormat="1" ht="15" customHeight="1" x14ac:dyDescent="0.3">
      <c r="A131" s="1070">
        <v>19</v>
      </c>
      <c r="B131" s="550" t="s">
        <v>6</v>
      </c>
      <c r="C131" s="550" t="s">
        <v>1890</v>
      </c>
      <c r="D131" s="551" t="s">
        <v>1766</v>
      </c>
      <c r="E131" s="1042">
        <v>40226</v>
      </c>
      <c r="F131" s="550" t="s">
        <v>1628</v>
      </c>
      <c r="G131" s="951"/>
      <c r="H131" s="1107" t="s">
        <v>2006</v>
      </c>
      <c r="I131" s="7"/>
      <c r="J131" s="22"/>
      <c r="K131" s="951"/>
    </row>
    <row r="132" spans="1:11" s="948" customFormat="1" ht="15" customHeight="1" x14ac:dyDescent="0.3">
      <c r="A132" s="1070">
        <v>20</v>
      </c>
      <c r="B132" s="550" t="s">
        <v>23</v>
      </c>
      <c r="C132" s="550" t="s">
        <v>1878</v>
      </c>
      <c r="D132" s="551" t="s">
        <v>1760</v>
      </c>
      <c r="E132" s="1042">
        <v>40233</v>
      </c>
      <c r="F132" s="550" t="s">
        <v>1628</v>
      </c>
      <c r="G132" s="951"/>
      <c r="H132" s="1107" t="s">
        <v>2006</v>
      </c>
      <c r="I132" s="7"/>
      <c r="J132" s="22"/>
      <c r="K132" s="951"/>
    </row>
    <row r="133" spans="1:11" s="948" customFormat="1" ht="15" customHeight="1" x14ac:dyDescent="0.3">
      <c r="A133" s="1070">
        <v>21</v>
      </c>
      <c r="B133" s="550" t="s">
        <v>6</v>
      </c>
      <c r="C133" s="550" t="s">
        <v>1859</v>
      </c>
      <c r="D133" s="551" t="s">
        <v>1737</v>
      </c>
      <c r="E133" s="1042">
        <v>40374</v>
      </c>
      <c r="F133" s="550" t="s">
        <v>1628</v>
      </c>
      <c r="G133" s="951"/>
      <c r="H133" s="1107" t="s">
        <v>2006</v>
      </c>
      <c r="I133" s="7"/>
      <c r="J133" s="22"/>
      <c r="K133" s="951"/>
    </row>
    <row r="134" spans="1:11" s="948" customFormat="1" ht="15" customHeight="1" x14ac:dyDescent="0.3">
      <c r="A134" s="1070">
        <v>22</v>
      </c>
      <c r="B134" s="550" t="s">
        <v>23</v>
      </c>
      <c r="C134" s="550" t="s">
        <v>1943</v>
      </c>
      <c r="D134" s="551" t="s">
        <v>1725</v>
      </c>
      <c r="E134" s="1042">
        <v>40414</v>
      </c>
      <c r="F134" s="550" t="s">
        <v>1628</v>
      </c>
      <c r="G134" s="951"/>
      <c r="H134" s="1107" t="s">
        <v>2006</v>
      </c>
      <c r="I134" s="7"/>
      <c r="J134" s="22"/>
      <c r="K134" s="951"/>
    </row>
    <row r="135" spans="1:11" s="948" customFormat="1" ht="15" customHeight="1" x14ac:dyDescent="0.3">
      <c r="A135" s="1070">
        <v>23</v>
      </c>
      <c r="B135" s="550" t="s">
        <v>21</v>
      </c>
      <c r="C135" s="550" t="s">
        <v>1858</v>
      </c>
      <c r="D135" s="551" t="s">
        <v>1798</v>
      </c>
      <c r="E135" s="1042">
        <v>40471</v>
      </c>
      <c r="F135" s="550" t="s">
        <v>1628</v>
      </c>
      <c r="G135" s="951"/>
      <c r="H135" s="1107" t="s">
        <v>2006</v>
      </c>
      <c r="I135" s="7"/>
      <c r="J135" s="22"/>
      <c r="K135" s="951"/>
    </row>
    <row r="136" spans="1:11" s="948" customFormat="1" ht="15" customHeight="1" x14ac:dyDescent="0.3">
      <c r="A136" s="1070">
        <v>24</v>
      </c>
      <c r="B136" s="550" t="s">
        <v>24</v>
      </c>
      <c r="C136" s="550" t="s">
        <v>1870</v>
      </c>
      <c r="D136" s="551" t="s">
        <v>1781</v>
      </c>
      <c r="E136" s="1042">
        <v>40551</v>
      </c>
      <c r="F136" s="550" t="s">
        <v>1628</v>
      </c>
      <c r="G136" s="951"/>
      <c r="H136" s="1107" t="s">
        <v>2006</v>
      </c>
      <c r="I136" s="7"/>
      <c r="J136" s="22"/>
      <c r="K136" s="951"/>
    </row>
    <row r="137" spans="1:11" s="948" customFormat="1" ht="15" customHeight="1" x14ac:dyDescent="0.3">
      <c r="A137" s="1070">
        <v>25</v>
      </c>
      <c r="B137" s="550" t="s">
        <v>23</v>
      </c>
      <c r="C137" s="550" t="s">
        <v>1879</v>
      </c>
      <c r="D137" s="551" t="s">
        <v>1760</v>
      </c>
      <c r="E137" s="1042">
        <v>40563</v>
      </c>
      <c r="F137" s="550" t="s">
        <v>1628</v>
      </c>
      <c r="G137" s="951"/>
      <c r="H137" s="1107" t="s">
        <v>2006</v>
      </c>
      <c r="I137" s="7"/>
      <c r="J137" s="22"/>
      <c r="K137" s="951"/>
    </row>
    <row r="138" spans="1:11" s="948" customFormat="1" ht="15" customHeight="1" x14ac:dyDescent="0.3">
      <c r="A138" s="1070">
        <v>26</v>
      </c>
      <c r="B138" s="550" t="s">
        <v>23</v>
      </c>
      <c r="C138" s="550" t="s">
        <v>1887</v>
      </c>
      <c r="D138" s="551" t="s">
        <v>1792</v>
      </c>
      <c r="E138" s="1042">
        <v>40569</v>
      </c>
      <c r="F138" s="550" t="s">
        <v>1628</v>
      </c>
      <c r="G138" s="951"/>
      <c r="H138" s="1107" t="s">
        <v>2006</v>
      </c>
      <c r="I138" s="7"/>
      <c r="J138" s="22"/>
      <c r="K138" s="951"/>
    </row>
    <row r="139" spans="1:11" s="948" customFormat="1" ht="15" customHeight="1" x14ac:dyDescent="0.3">
      <c r="A139" s="1070">
        <v>27</v>
      </c>
      <c r="B139" s="550" t="s">
        <v>23</v>
      </c>
      <c r="C139" s="550" t="s">
        <v>1881</v>
      </c>
      <c r="D139" s="551" t="s">
        <v>1781</v>
      </c>
      <c r="E139" s="1042">
        <v>40624</v>
      </c>
      <c r="F139" s="550" t="s">
        <v>1628</v>
      </c>
      <c r="G139" s="951"/>
      <c r="H139" s="1107" t="s">
        <v>2006</v>
      </c>
      <c r="I139" s="7"/>
      <c r="J139" s="22"/>
      <c r="K139" s="951"/>
    </row>
    <row r="140" spans="1:11" s="948" customFormat="1" ht="15" customHeight="1" x14ac:dyDescent="0.3">
      <c r="A140" s="1070">
        <v>28</v>
      </c>
      <c r="B140" s="550" t="s">
        <v>20</v>
      </c>
      <c r="C140" s="550" t="s">
        <v>1860</v>
      </c>
      <c r="D140" s="551" t="s">
        <v>1744</v>
      </c>
      <c r="E140" s="1042">
        <v>40668</v>
      </c>
      <c r="F140" s="550" t="s">
        <v>1628</v>
      </c>
      <c r="G140" s="951"/>
      <c r="H140" s="1107" t="s">
        <v>2006</v>
      </c>
      <c r="I140" s="7"/>
      <c r="J140" s="22"/>
      <c r="K140" s="951"/>
    </row>
    <row r="141" spans="1:11" s="948" customFormat="1" ht="15" customHeight="1" x14ac:dyDescent="0.3">
      <c r="A141" s="1070">
        <v>29</v>
      </c>
      <c r="B141" s="550" t="s">
        <v>35</v>
      </c>
      <c r="C141" s="550" t="s">
        <v>1864</v>
      </c>
      <c r="D141" s="551" t="s">
        <v>1817</v>
      </c>
      <c r="E141" s="1042">
        <v>40697</v>
      </c>
      <c r="F141" s="550" t="s">
        <v>1628</v>
      </c>
      <c r="G141" s="951"/>
      <c r="H141" s="1107" t="s">
        <v>2006</v>
      </c>
      <c r="I141" s="7"/>
      <c r="J141" s="22"/>
      <c r="K141" s="951"/>
    </row>
    <row r="142" spans="1:11" s="948" customFormat="1" ht="15" customHeight="1" x14ac:dyDescent="0.3">
      <c r="A142" s="1070">
        <v>30</v>
      </c>
      <c r="B142" s="550" t="s">
        <v>35</v>
      </c>
      <c r="C142" s="550" t="s">
        <v>1866</v>
      </c>
      <c r="D142" s="551" t="s">
        <v>1798</v>
      </c>
      <c r="E142" s="1042">
        <v>40835</v>
      </c>
      <c r="F142" s="550" t="s">
        <v>1628</v>
      </c>
      <c r="G142" s="951"/>
      <c r="H142" s="1107" t="s">
        <v>2006</v>
      </c>
      <c r="I142" s="7"/>
      <c r="J142" s="22"/>
      <c r="K142" s="951"/>
    </row>
    <row r="143" spans="1:11" s="948" customFormat="1" ht="15" customHeight="1" x14ac:dyDescent="0.3">
      <c r="A143" s="1070">
        <v>31</v>
      </c>
      <c r="B143" s="550" t="s">
        <v>23</v>
      </c>
      <c r="C143" s="551" t="s">
        <v>1708</v>
      </c>
      <c r="D143" s="890" t="s">
        <v>1642</v>
      </c>
      <c r="E143" s="1042">
        <v>40868</v>
      </c>
      <c r="F143" s="550" t="s">
        <v>1628</v>
      </c>
      <c r="G143" s="951"/>
      <c r="H143" s="1107" t="s">
        <v>2006</v>
      </c>
      <c r="I143" s="7"/>
      <c r="J143" s="22"/>
      <c r="K143" s="951"/>
    </row>
    <row r="144" spans="1:11" s="948" customFormat="1" ht="15" customHeight="1" x14ac:dyDescent="0.3">
      <c r="A144" s="1070">
        <v>32</v>
      </c>
      <c r="B144" s="550" t="s">
        <v>20</v>
      </c>
      <c r="C144" s="550" t="s">
        <v>1857</v>
      </c>
      <c r="D144" s="551" t="s">
        <v>1733</v>
      </c>
      <c r="E144" s="1042">
        <v>40874</v>
      </c>
      <c r="F144" s="550" t="s">
        <v>1628</v>
      </c>
      <c r="G144" s="951"/>
      <c r="H144" s="1107" t="s">
        <v>2006</v>
      </c>
      <c r="I144" s="7"/>
      <c r="J144" s="22"/>
      <c r="K144" s="951"/>
    </row>
    <row r="145" spans="1:11" s="948" customFormat="1" ht="15" customHeight="1" x14ac:dyDescent="0.3">
      <c r="A145" s="1070">
        <v>33</v>
      </c>
      <c r="B145" s="550" t="s">
        <v>24</v>
      </c>
      <c r="C145" s="551" t="s">
        <v>1665</v>
      </c>
      <c r="D145" s="890" t="s">
        <v>1603</v>
      </c>
      <c r="E145" s="1042">
        <v>41039</v>
      </c>
      <c r="F145" s="550" t="s">
        <v>1628</v>
      </c>
      <c r="G145" s="951"/>
      <c r="H145" s="1107" t="s">
        <v>2006</v>
      </c>
      <c r="I145" s="7"/>
      <c r="J145" s="22"/>
      <c r="K145" s="951"/>
    </row>
    <row r="146" spans="1:11" s="948" customFormat="1" ht="15" customHeight="1" x14ac:dyDescent="0.3">
      <c r="A146" s="1070">
        <v>34</v>
      </c>
      <c r="B146" s="550" t="s">
        <v>20</v>
      </c>
      <c r="C146" s="550" t="s">
        <v>1813</v>
      </c>
      <c r="D146" s="551" t="s">
        <v>1733</v>
      </c>
      <c r="E146" s="1042">
        <v>41124</v>
      </c>
      <c r="F146" s="550" t="s">
        <v>1628</v>
      </c>
      <c r="G146" s="951"/>
      <c r="H146" s="1107" t="s">
        <v>2006</v>
      </c>
      <c r="I146" s="7"/>
      <c r="J146" s="22"/>
      <c r="K146" s="951"/>
    </row>
    <row r="147" spans="1:11" s="948" customFormat="1" ht="15" customHeight="1" x14ac:dyDescent="0.3">
      <c r="A147" s="1070">
        <v>35</v>
      </c>
      <c r="B147" s="550" t="s">
        <v>24</v>
      </c>
      <c r="C147" s="551" t="s">
        <v>1667</v>
      </c>
      <c r="D147" s="890" t="s">
        <v>1668</v>
      </c>
      <c r="E147" s="1042">
        <v>41136</v>
      </c>
      <c r="F147" s="550" t="s">
        <v>1628</v>
      </c>
      <c r="G147" s="951"/>
      <c r="H147" s="1107" t="s">
        <v>2006</v>
      </c>
      <c r="I147" s="7"/>
      <c r="J147" s="22"/>
      <c r="K147" s="951"/>
    </row>
    <row r="148" spans="1:11" s="948" customFormat="1" ht="15" customHeight="1" x14ac:dyDescent="0.3">
      <c r="A148" s="1070">
        <v>36</v>
      </c>
      <c r="B148" s="550" t="s">
        <v>35</v>
      </c>
      <c r="C148" s="550" t="s">
        <v>1826</v>
      </c>
      <c r="D148" s="551" t="s">
        <v>1735</v>
      </c>
      <c r="E148" s="1042">
        <v>41139</v>
      </c>
      <c r="F148" s="550" t="s">
        <v>1628</v>
      </c>
      <c r="G148" s="951"/>
      <c r="H148" s="1107" t="s">
        <v>2006</v>
      </c>
      <c r="I148" s="7"/>
      <c r="J148" s="22"/>
      <c r="K148" s="951"/>
    </row>
    <row r="149" spans="1:11" s="948" customFormat="1" ht="15" customHeight="1" x14ac:dyDescent="0.3">
      <c r="A149" s="1070">
        <v>37</v>
      </c>
      <c r="B149" s="550" t="s">
        <v>24</v>
      </c>
      <c r="C149" s="551" t="s">
        <v>1677</v>
      </c>
      <c r="D149" s="890" t="s">
        <v>1620</v>
      </c>
      <c r="E149" s="1042">
        <v>41306</v>
      </c>
      <c r="F149" s="550" t="s">
        <v>1628</v>
      </c>
      <c r="G149" s="951"/>
      <c r="H149" s="1107" t="s">
        <v>2006</v>
      </c>
      <c r="I149" s="7"/>
      <c r="J149" s="22"/>
      <c r="K149" s="951"/>
    </row>
    <row r="150" spans="1:11" s="948" customFormat="1" ht="15" customHeight="1" x14ac:dyDescent="0.3">
      <c r="A150" s="1070">
        <v>38</v>
      </c>
      <c r="B150" s="550" t="s">
        <v>20</v>
      </c>
      <c r="C150" s="550" t="s">
        <v>1816</v>
      </c>
      <c r="D150" s="551" t="s">
        <v>1817</v>
      </c>
      <c r="E150" s="1042">
        <v>41335</v>
      </c>
      <c r="F150" s="550" t="s">
        <v>1628</v>
      </c>
      <c r="G150" s="951"/>
      <c r="H150" s="1107" t="s">
        <v>2006</v>
      </c>
      <c r="I150" s="7"/>
      <c r="J150" s="22"/>
      <c r="K150" s="951"/>
    </row>
    <row r="151" spans="1:11" s="948" customFormat="1" ht="15" customHeight="1" x14ac:dyDescent="0.3">
      <c r="A151" s="1070">
        <v>39</v>
      </c>
      <c r="B151" s="550" t="s">
        <v>21</v>
      </c>
      <c r="C151" s="550" t="s">
        <v>1803</v>
      </c>
      <c r="D151" s="551" t="s">
        <v>1744</v>
      </c>
      <c r="E151" s="1042">
        <v>41405</v>
      </c>
      <c r="F151" s="550" t="s">
        <v>1628</v>
      </c>
      <c r="G151" s="951"/>
      <c r="H151" s="1107" t="s">
        <v>2006</v>
      </c>
      <c r="I151" s="7"/>
      <c r="J151" s="22"/>
      <c r="K151" s="951"/>
    </row>
    <row r="152" spans="1:11" s="948" customFormat="1" ht="15" customHeight="1" x14ac:dyDescent="0.3">
      <c r="A152" s="1070">
        <v>40</v>
      </c>
      <c r="B152" s="550" t="s">
        <v>20</v>
      </c>
      <c r="C152" s="550" t="s">
        <v>1814</v>
      </c>
      <c r="D152" s="551" t="s">
        <v>1760</v>
      </c>
      <c r="E152" s="1042">
        <v>41457</v>
      </c>
      <c r="F152" s="550" t="s">
        <v>1628</v>
      </c>
      <c r="G152" s="951"/>
      <c r="H152" s="1107" t="s">
        <v>2006</v>
      </c>
      <c r="I152" s="7"/>
      <c r="J152" s="22"/>
      <c r="K152" s="951"/>
    </row>
    <row r="153" spans="1:11" s="948" customFormat="1" ht="15" customHeight="1" x14ac:dyDescent="0.3">
      <c r="A153" s="1070">
        <v>41</v>
      </c>
      <c r="B153" s="550" t="s">
        <v>21</v>
      </c>
      <c r="C153" s="550" t="s">
        <v>1805</v>
      </c>
      <c r="D153" s="551" t="s">
        <v>1729</v>
      </c>
      <c r="E153" s="1042">
        <v>41562</v>
      </c>
      <c r="F153" s="550" t="s">
        <v>1628</v>
      </c>
      <c r="G153" s="951"/>
      <c r="H153" s="1107" t="s">
        <v>2006</v>
      </c>
      <c r="I153" s="7"/>
      <c r="J153" s="22"/>
      <c r="K153" s="951"/>
    </row>
    <row r="154" spans="1:11" s="948" customFormat="1" ht="15" customHeight="1" x14ac:dyDescent="0.3">
      <c r="A154" s="952"/>
      <c r="B154" s="955"/>
      <c r="C154" s="951"/>
      <c r="D154" s="1100" t="s">
        <v>62</v>
      </c>
      <c r="E154" s="1088"/>
      <c r="F154" s="1087"/>
      <c r="G154" s="1100" t="s">
        <v>1958</v>
      </c>
      <c r="H154" s="1101"/>
      <c r="I154" s="1096"/>
      <c r="J154" s="300"/>
      <c r="K154" s="951"/>
    </row>
    <row r="155" spans="1:11" s="948" customFormat="1" ht="15" customHeight="1" x14ac:dyDescent="0.3">
      <c r="A155" s="952"/>
      <c r="B155" s="955"/>
      <c r="C155" s="951"/>
      <c r="D155" s="1100" t="s">
        <v>62</v>
      </c>
      <c r="E155" s="1100"/>
      <c r="F155" s="1102"/>
      <c r="G155" s="1100" t="s">
        <v>1961</v>
      </c>
      <c r="H155" s="1103"/>
      <c r="I155" s="1104"/>
      <c r="J155" s="300"/>
      <c r="K155" s="951"/>
    </row>
    <row r="156" spans="1:11" s="948" customFormat="1" ht="15" customHeight="1" x14ac:dyDescent="0.3">
      <c r="A156" s="952"/>
      <c r="B156" s="955"/>
      <c r="C156" s="951"/>
      <c r="D156" s="1100"/>
      <c r="E156" s="1100"/>
      <c r="F156" s="1102"/>
      <c r="G156" s="1100"/>
      <c r="H156" s="1103"/>
      <c r="I156" s="1104"/>
      <c r="J156" s="300"/>
      <c r="K156" s="951"/>
    </row>
    <row r="157" spans="1:11" s="948" customFormat="1" ht="15" customHeight="1" x14ac:dyDescent="0.3">
      <c r="A157" s="952"/>
      <c r="B157" s="955"/>
      <c r="C157" s="951"/>
      <c r="D157" s="1059"/>
      <c r="E157" s="1056"/>
      <c r="F157" s="1106" t="s">
        <v>2008</v>
      </c>
      <c r="G157" s="1105"/>
      <c r="H157" s="1108"/>
      <c r="I157" s="7"/>
      <c r="J157" s="22"/>
      <c r="K157" s="951"/>
    </row>
    <row r="158" spans="1:11" s="948" customFormat="1" ht="15" customHeight="1" x14ac:dyDescent="0.3">
      <c r="A158" s="24">
        <v>42</v>
      </c>
      <c r="B158" s="550" t="s">
        <v>6</v>
      </c>
      <c r="C158" s="24" t="s">
        <v>1899</v>
      </c>
      <c r="D158" s="890" t="s">
        <v>1742</v>
      </c>
      <c r="E158" s="1043">
        <v>39820</v>
      </c>
      <c r="F158" s="550" t="s">
        <v>1430</v>
      </c>
      <c r="G158" s="951"/>
      <c r="H158" s="1107" t="s">
        <v>2010</v>
      </c>
      <c r="I158" s="7"/>
      <c r="J158" s="22"/>
      <c r="K158" s="951"/>
    </row>
    <row r="159" spans="1:11" s="948" customFormat="1" ht="15" customHeight="1" x14ac:dyDescent="0.3">
      <c r="A159" s="24">
        <v>43</v>
      </c>
      <c r="B159" s="24" t="s">
        <v>35</v>
      </c>
      <c r="C159" s="24" t="s">
        <v>1865</v>
      </c>
      <c r="D159" s="890" t="s">
        <v>1735</v>
      </c>
      <c r="E159" s="1043">
        <v>40470</v>
      </c>
      <c r="F159" s="550" t="s">
        <v>1430</v>
      </c>
      <c r="G159" s="951"/>
      <c r="H159" s="1107" t="s">
        <v>2010</v>
      </c>
      <c r="I159" s="7"/>
      <c r="J159" s="22"/>
      <c r="K159" s="951"/>
    </row>
    <row r="160" spans="1:11" s="948" customFormat="1" ht="15" customHeight="1" x14ac:dyDescent="0.3">
      <c r="A160" s="24">
        <v>44</v>
      </c>
      <c r="B160" s="24" t="s">
        <v>35</v>
      </c>
      <c r="C160" s="24" t="s">
        <v>2009</v>
      </c>
      <c r="D160" s="890" t="s">
        <v>1798</v>
      </c>
      <c r="E160" s="1043">
        <v>40648</v>
      </c>
      <c r="F160" s="550" t="s">
        <v>1430</v>
      </c>
      <c r="G160" s="951"/>
      <c r="H160" s="1107" t="s">
        <v>2010</v>
      </c>
      <c r="I160" s="7"/>
      <c r="J160" s="22"/>
      <c r="K160" s="951"/>
    </row>
    <row r="161" spans="1:11" s="948" customFormat="1" ht="15" customHeight="1" x14ac:dyDescent="0.3">
      <c r="A161" s="24">
        <v>45</v>
      </c>
      <c r="B161" s="24" t="s">
        <v>21</v>
      </c>
      <c r="C161" s="551" t="s">
        <v>1804</v>
      </c>
      <c r="D161" s="890" t="s">
        <v>1768</v>
      </c>
      <c r="E161" s="1043">
        <v>41055</v>
      </c>
      <c r="F161" s="550" t="s">
        <v>1430</v>
      </c>
      <c r="G161" s="951"/>
      <c r="H161" s="1107" t="s">
        <v>2010</v>
      </c>
      <c r="I161" s="7"/>
      <c r="J161" s="22"/>
      <c r="K161" s="951"/>
    </row>
    <row r="162" spans="1:11" s="948" customFormat="1" ht="15" customHeight="1" x14ac:dyDescent="0.3">
      <c r="A162" s="24">
        <v>46</v>
      </c>
      <c r="B162" s="24" t="s">
        <v>35</v>
      </c>
      <c r="C162" s="24" t="s">
        <v>1846</v>
      </c>
      <c r="D162" s="890" t="s">
        <v>1807</v>
      </c>
      <c r="E162" s="1043">
        <v>41197</v>
      </c>
      <c r="F162" s="550" t="s">
        <v>1430</v>
      </c>
      <c r="G162" s="951"/>
      <c r="H162" s="1107" t="s">
        <v>2010</v>
      </c>
      <c r="I162" s="7"/>
      <c r="J162" s="22"/>
      <c r="K162" s="951"/>
    </row>
    <row r="163" spans="1:11" s="948" customFormat="1" ht="15" customHeight="1" x14ac:dyDescent="0.3">
      <c r="A163" s="24">
        <v>47</v>
      </c>
      <c r="B163" s="550" t="s">
        <v>24</v>
      </c>
      <c r="C163" s="24" t="s">
        <v>1678</v>
      </c>
      <c r="D163" s="890" t="s">
        <v>1611</v>
      </c>
      <c r="E163" s="1043">
        <v>41307</v>
      </c>
      <c r="F163" s="550" t="s">
        <v>1430</v>
      </c>
      <c r="G163" s="951"/>
      <c r="H163" s="1107" t="s">
        <v>2010</v>
      </c>
      <c r="I163" s="7"/>
      <c r="J163" s="22"/>
      <c r="K163" s="951"/>
    </row>
    <row r="164" spans="1:11" s="948" customFormat="1" ht="15" customHeight="1" x14ac:dyDescent="0.3">
      <c r="A164" s="24">
        <v>48</v>
      </c>
      <c r="B164" s="550" t="s">
        <v>24</v>
      </c>
      <c r="C164" s="24" t="s">
        <v>1847</v>
      </c>
      <c r="D164" s="890" t="s">
        <v>1757</v>
      </c>
      <c r="E164" s="1043">
        <v>41331</v>
      </c>
      <c r="F164" s="550" t="s">
        <v>1430</v>
      </c>
      <c r="G164" s="951"/>
      <c r="H164" s="1107" t="s">
        <v>2010</v>
      </c>
      <c r="I164" s="7"/>
      <c r="J164" s="22"/>
      <c r="K164" s="951"/>
    </row>
    <row r="165" spans="1:11" s="948" customFormat="1" ht="15" customHeight="1" x14ac:dyDescent="0.3">
      <c r="A165" s="24">
        <v>49</v>
      </c>
      <c r="B165" s="550" t="s">
        <v>23</v>
      </c>
      <c r="C165" s="24" t="s">
        <v>1682</v>
      </c>
      <c r="D165" s="890" t="s">
        <v>1613</v>
      </c>
      <c r="E165" s="1043">
        <v>41449</v>
      </c>
      <c r="F165" s="550" t="s">
        <v>1430</v>
      </c>
      <c r="G165" s="951"/>
      <c r="H165" s="1107" t="s">
        <v>2010</v>
      </c>
      <c r="I165" s="7"/>
      <c r="J165" s="22"/>
      <c r="K165" s="951"/>
    </row>
    <row r="166" spans="1:11" s="948" customFormat="1" ht="15" customHeight="1" x14ac:dyDescent="0.3">
      <c r="A166" s="24">
        <v>50</v>
      </c>
      <c r="B166" s="550" t="s">
        <v>24</v>
      </c>
      <c r="C166" s="1048" t="s">
        <v>1848</v>
      </c>
      <c r="D166" s="890" t="s">
        <v>1789</v>
      </c>
      <c r="E166" s="1049">
        <v>41517</v>
      </c>
      <c r="F166" s="550" t="s">
        <v>1430</v>
      </c>
      <c r="G166" s="951"/>
      <c r="H166" s="1107" t="s">
        <v>2010</v>
      </c>
      <c r="I166" s="7"/>
      <c r="J166" s="22"/>
      <c r="K166" s="951"/>
    </row>
    <row r="167" spans="1:11" s="948" customFormat="1" ht="15" customHeight="1" x14ac:dyDescent="0.3">
      <c r="A167" s="952"/>
      <c r="B167" s="955"/>
      <c r="C167" s="951"/>
      <c r="D167" s="1100" t="s">
        <v>62</v>
      </c>
      <c r="E167" s="1088"/>
      <c r="F167" s="1087"/>
      <c r="G167" s="1100" t="s">
        <v>1965</v>
      </c>
      <c r="H167" s="1101"/>
      <c r="I167" s="1096"/>
      <c r="J167" s="22"/>
      <c r="K167" s="951"/>
    </row>
    <row r="168" spans="1:11" s="948" customFormat="1" ht="15" customHeight="1" x14ac:dyDescent="0.3">
      <c r="A168" s="952"/>
      <c r="B168" s="955"/>
      <c r="C168" s="951"/>
      <c r="D168" s="1059"/>
      <c r="E168" s="1056"/>
      <c r="F168" s="952"/>
      <c r="G168" s="951"/>
      <c r="H168" s="1082"/>
      <c r="I168" s="7"/>
      <c r="J168" s="22"/>
      <c r="K168" s="951"/>
    </row>
    <row r="169" spans="1:11" s="948" customFormat="1" ht="15" customHeight="1" x14ac:dyDescent="0.3">
      <c r="A169" s="952"/>
      <c r="B169" s="955"/>
      <c r="C169" s="951"/>
      <c r="D169" s="1059"/>
      <c r="E169" s="1056"/>
      <c r="F169" s="1109" t="s">
        <v>2011</v>
      </c>
      <c r="G169" s="1110"/>
      <c r="H169" s="1111"/>
      <c r="I169" s="1112"/>
      <c r="J169" s="22"/>
      <c r="K169" s="951"/>
    </row>
    <row r="170" spans="1:11" s="948" customFormat="1" ht="15" customHeight="1" x14ac:dyDescent="0.3">
      <c r="A170" s="24">
        <v>51</v>
      </c>
      <c r="B170" s="550" t="s">
        <v>6</v>
      </c>
      <c r="C170" s="551" t="s">
        <v>1709</v>
      </c>
      <c r="D170" s="890" t="s">
        <v>1630</v>
      </c>
      <c r="E170" s="1042">
        <v>39927</v>
      </c>
      <c r="F170" s="550" t="s">
        <v>1634</v>
      </c>
      <c r="G170" s="951"/>
      <c r="H170" s="1107" t="s">
        <v>2012</v>
      </c>
      <c r="I170" s="7"/>
      <c r="J170" s="22"/>
      <c r="K170" s="951"/>
    </row>
    <row r="171" spans="1:11" s="948" customFormat="1" ht="15" customHeight="1" x14ac:dyDescent="0.3">
      <c r="A171" s="24">
        <v>52</v>
      </c>
      <c r="B171" s="550" t="s">
        <v>34</v>
      </c>
      <c r="C171" s="550" t="s">
        <v>1944</v>
      </c>
      <c r="D171" s="551" t="s">
        <v>1768</v>
      </c>
      <c r="E171" s="1042">
        <v>40035</v>
      </c>
      <c r="F171" s="550" t="s">
        <v>1634</v>
      </c>
      <c r="G171" s="951"/>
      <c r="H171" s="1107" t="s">
        <v>2012</v>
      </c>
      <c r="I171" s="7"/>
      <c r="J171" s="22"/>
      <c r="K171" s="951"/>
    </row>
    <row r="172" spans="1:11" s="948" customFormat="1" ht="15" customHeight="1" x14ac:dyDescent="0.3">
      <c r="A172" s="24">
        <v>53</v>
      </c>
      <c r="B172" s="550" t="s">
        <v>23</v>
      </c>
      <c r="C172" s="550" t="s">
        <v>1875</v>
      </c>
      <c r="D172" s="551" t="s">
        <v>1737</v>
      </c>
      <c r="E172" s="1042">
        <v>40048</v>
      </c>
      <c r="F172" s="550" t="s">
        <v>1634</v>
      </c>
      <c r="G172" s="951"/>
      <c r="H172" s="1107" t="s">
        <v>2012</v>
      </c>
      <c r="I172" s="7"/>
      <c r="J172" s="22"/>
      <c r="K172" s="951"/>
    </row>
    <row r="173" spans="1:11" s="948" customFormat="1" ht="15" customHeight="1" x14ac:dyDescent="0.3">
      <c r="A173" s="24">
        <v>54</v>
      </c>
      <c r="B173" s="550" t="s">
        <v>6</v>
      </c>
      <c r="C173" s="551" t="s">
        <v>1701</v>
      </c>
      <c r="D173" s="890" t="s">
        <v>1616</v>
      </c>
      <c r="E173" s="1042">
        <v>40392</v>
      </c>
      <c r="F173" s="550" t="s">
        <v>1634</v>
      </c>
      <c r="G173" s="951"/>
      <c r="H173" s="1107" t="s">
        <v>2012</v>
      </c>
      <c r="I173" s="7"/>
      <c r="J173" s="22"/>
      <c r="K173" s="951"/>
    </row>
    <row r="174" spans="1:11" s="948" customFormat="1" ht="15" customHeight="1" x14ac:dyDescent="0.3">
      <c r="A174" s="24">
        <v>55</v>
      </c>
      <c r="B174" s="550" t="s">
        <v>23</v>
      </c>
      <c r="C174" s="550" t="s">
        <v>1877</v>
      </c>
      <c r="D174" s="551" t="s">
        <v>1781</v>
      </c>
      <c r="E174" s="1042">
        <v>40703</v>
      </c>
      <c r="F174" s="550" t="s">
        <v>1634</v>
      </c>
      <c r="G174" s="951"/>
      <c r="H174" s="1107" t="s">
        <v>2012</v>
      </c>
      <c r="I174" s="7"/>
      <c r="J174" s="22"/>
      <c r="K174" s="951"/>
    </row>
    <row r="175" spans="1:11" s="948" customFormat="1" ht="15" customHeight="1" x14ac:dyDescent="0.3">
      <c r="A175" s="24">
        <v>56</v>
      </c>
      <c r="B175" s="550" t="s">
        <v>23</v>
      </c>
      <c r="C175" s="551" t="s">
        <v>1698</v>
      </c>
      <c r="D175" s="890" t="s">
        <v>1616</v>
      </c>
      <c r="E175" s="1042">
        <v>40816</v>
      </c>
      <c r="F175" s="550" t="s">
        <v>1634</v>
      </c>
      <c r="G175" s="951"/>
      <c r="H175" s="1107" t="s">
        <v>2012</v>
      </c>
      <c r="I175" s="7"/>
      <c r="J175" s="22"/>
      <c r="K175" s="951"/>
    </row>
    <row r="176" spans="1:11" s="948" customFormat="1" ht="15" customHeight="1" x14ac:dyDescent="0.3">
      <c r="A176" s="24">
        <v>57</v>
      </c>
      <c r="B176" s="550" t="s">
        <v>24</v>
      </c>
      <c r="C176" s="550" t="s">
        <v>1871</v>
      </c>
      <c r="D176" s="551" t="s">
        <v>1768</v>
      </c>
      <c r="E176" s="1042">
        <v>40828</v>
      </c>
      <c r="F176" s="550" t="s">
        <v>1634</v>
      </c>
      <c r="G176" s="951"/>
      <c r="H176" s="1107" t="s">
        <v>2012</v>
      </c>
      <c r="I176" s="7"/>
      <c r="J176" s="22"/>
      <c r="K176" s="951"/>
    </row>
    <row r="177" spans="1:11" s="948" customFormat="1" ht="15" customHeight="1" x14ac:dyDescent="0.3">
      <c r="A177" s="24">
        <v>58</v>
      </c>
      <c r="B177" s="550" t="s">
        <v>23</v>
      </c>
      <c r="C177" s="551" t="s">
        <v>1916</v>
      </c>
      <c r="D177" s="890" t="s">
        <v>1595</v>
      </c>
      <c r="E177" s="1042">
        <v>40854</v>
      </c>
      <c r="F177" s="550" t="s">
        <v>1634</v>
      </c>
      <c r="G177" s="951"/>
      <c r="H177" s="1107" t="s">
        <v>2012</v>
      </c>
      <c r="I177" s="7"/>
      <c r="J177" s="22"/>
      <c r="K177" s="951"/>
    </row>
    <row r="178" spans="1:11" s="948" customFormat="1" ht="15" customHeight="1" x14ac:dyDescent="0.3">
      <c r="A178" s="24">
        <v>59</v>
      </c>
      <c r="B178" s="550" t="s">
        <v>23</v>
      </c>
      <c r="C178" s="550" t="s">
        <v>1852</v>
      </c>
      <c r="D178" s="551" t="s">
        <v>1760</v>
      </c>
      <c r="E178" s="1042">
        <v>40930</v>
      </c>
      <c r="F178" s="550" t="s">
        <v>1634</v>
      </c>
      <c r="G178" s="951"/>
      <c r="H178" s="1107" t="s">
        <v>2012</v>
      </c>
      <c r="I178" s="7"/>
      <c r="J178" s="22"/>
      <c r="K178" s="951"/>
    </row>
    <row r="179" spans="1:11" s="948" customFormat="1" ht="15" customHeight="1" x14ac:dyDescent="0.3">
      <c r="A179" s="24">
        <v>60</v>
      </c>
      <c r="B179" s="550" t="s">
        <v>23</v>
      </c>
      <c r="C179" s="551" t="s">
        <v>1685</v>
      </c>
      <c r="D179" s="890" t="s">
        <v>1668</v>
      </c>
      <c r="E179" s="1042">
        <v>40988</v>
      </c>
      <c r="F179" s="550" t="s">
        <v>1634</v>
      </c>
      <c r="G179" s="951"/>
      <c r="H179" s="1107" t="s">
        <v>2012</v>
      </c>
      <c r="I179" s="7"/>
      <c r="J179" s="22"/>
      <c r="K179" s="951"/>
    </row>
    <row r="180" spans="1:11" s="948" customFormat="1" ht="15" customHeight="1" x14ac:dyDescent="0.3">
      <c r="A180" s="24">
        <v>61</v>
      </c>
      <c r="B180" s="550" t="s">
        <v>24</v>
      </c>
      <c r="C180" s="551" t="s">
        <v>1676</v>
      </c>
      <c r="D180" s="890" t="s">
        <v>1630</v>
      </c>
      <c r="E180" s="1042">
        <v>41067</v>
      </c>
      <c r="F180" s="550" t="s">
        <v>1634</v>
      </c>
      <c r="G180" s="951"/>
      <c r="H180" s="1107" t="s">
        <v>2012</v>
      </c>
      <c r="I180" s="7"/>
      <c r="J180" s="22"/>
      <c r="K180" s="951"/>
    </row>
    <row r="181" spans="1:11" s="948" customFormat="1" ht="15" customHeight="1" x14ac:dyDescent="0.3">
      <c r="A181" s="24">
        <v>62</v>
      </c>
      <c r="B181" s="550" t="s">
        <v>35</v>
      </c>
      <c r="C181" s="550" t="s">
        <v>1825</v>
      </c>
      <c r="D181" s="551" t="s">
        <v>1752</v>
      </c>
      <c r="E181" s="1042">
        <v>41113</v>
      </c>
      <c r="F181" s="550" t="s">
        <v>1634</v>
      </c>
      <c r="G181" s="951"/>
      <c r="H181" s="1107" t="s">
        <v>2012</v>
      </c>
      <c r="I181" s="7"/>
      <c r="J181" s="22"/>
      <c r="K181" s="951"/>
    </row>
    <row r="182" spans="1:11" s="948" customFormat="1" ht="15" customHeight="1" x14ac:dyDescent="0.3">
      <c r="A182" s="24">
        <v>63</v>
      </c>
      <c r="B182" s="550" t="s">
        <v>35</v>
      </c>
      <c r="C182" s="550" t="s">
        <v>1824</v>
      </c>
      <c r="D182" s="551" t="s">
        <v>1725</v>
      </c>
      <c r="E182" s="1042">
        <v>41200</v>
      </c>
      <c r="F182" s="550" t="s">
        <v>1634</v>
      </c>
      <c r="G182" s="951"/>
      <c r="H182" s="1107" t="s">
        <v>2012</v>
      </c>
      <c r="I182" s="7"/>
      <c r="J182" s="22"/>
      <c r="K182" s="951"/>
    </row>
    <row r="183" spans="1:11" s="948" customFormat="1" ht="15" customHeight="1" x14ac:dyDescent="0.3">
      <c r="A183" s="24">
        <v>64</v>
      </c>
      <c r="B183" s="550" t="s">
        <v>23</v>
      </c>
      <c r="C183" s="551" t="s">
        <v>1683</v>
      </c>
      <c r="D183" s="890" t="s">
        <v>1613</v>
      </c>
      <c r="E183" s="1042">
        <v>41302</v>
      </c>
      <c r="F183" s="550" t="s">
        <v>1634</v>
      </c>
      <c r="G183" s="951"/>
      <c r="H183" s="1107" t="s">
        <v>2012</v>
      </c>
      <c r="I183" s="7"/>
      <c r="J183" s="22"/>
      <c r="K183" s="951"/>
    </row>
    <row r="184" spans="1:11" s="948" customFormat="1" ht="15" customHeight="1" x14ac:dyDescent="0.3">
      <c r="A184" s="24">
        <v>65</v>
      </c>
      <c r="B184" s="550" t="s">
        <v>24</v>
      </c>
      <c r="C184" s="551" t="s">
        <v>1672</v>
      </c>
      <c r="D184" s="890" t="s">
        <v>1603</v>
      </c>
      <c r="E184" s="1042">
        <v>41347</v>
      </c>
      <c r="F184" s="550" t="s">
        <v>1634</v>
      </c>
      <c r="G184" s="951"/>
      <c r="H184" s="1107" t="s">
        <v>2012</v>
      </c>
      <c r="I184" s="7"/>
      <c r="J184" s="22"/>
      <c r="K184" s="951"/>
    </row>
    <row r="185" spans="1:11" s="948" customFormat="1" ht="15" customHeight="1" x14ac:dyDescent="0.3">
      <c r="A185" s="24">
        <v>66</v>
      </c>
      <c r="B185" s="550" t="s">
        <v>24</v>
      </c>
      <c r="C185" s="550" t="s">
        <v>1941</v>
      </c>
      <c r="D185" s="551" t="s">
        <v>1742</v>
      </c>
      <c r="E185" s="1042">
        <v>41376</v>
      </c>
      <c r="F185" s="550" t="s">
        <v>1634</v>
      </c>
      <c r="G185" s="951"/>
      <c r="H185" s="1107" t="s">
        <v>2012</v>
      </c>
      <c r="I185" s="7"/>
      <c r="J185" s="22"/>
      <c r="K185" s="951"/>
    </row>
    <row r="186" spans="1:11" s="948" customFormat="1" ht="15" customHeight="1" x14ac:dyDescent="0.3">
      <c r="A186" s="24">
        <v>67</v>
      </c>
      <c r="B186" s="550" t="s">
        <v>35</v>
      </c>
      <c r="C186" s="550" t="s">
        <v>1827</v>
      </c>
      <c r="D186" s="551" t="s">
        <v>1737</v>
      </c>
      <c r="E186" s="1042">
        <v>41462</v>
      </c>
      <c r="F186" s="550" t="s">
        <v>1634</v>
      </c>
      <c r="G186" s="951"/>
      <c r="H186" s="1107" t="s">
        <v>2012</v>
      </c>
      <c r="I186" s="7"/>
      <c r="J186" s="22"/>
      <c r="K186" s="951"/>
    </row>
    <row r="187" spans="1:11" s="948" customFormat="1" ht="15" customHeight="1" x14ac:dyDescent="0.3">
      <c r="A187" s="24">
        <v>68</v>
      </c>
      <c r="B187" s="550" t="s">
        <v>20</v>
      </c>
      <c r="C187" s="550" t="s">
        <v>1810</v>
      </c>
      <c r="D187" s="551" t="s">
        <v>1768</v>
      </c>
      <c r="E187" s="1042">
        <v>41626</v>
      </c>
      <c r="F187" s="550" t="s">
        <v>1634</v>
      </c>
      <c r="G187" s="951"/>
      <c r="H187" s="1107" t="s">
        <v>2012</v>
      </c>
      <c r="I187" s="7"/>
      <c r="J187" s="22"/>
      <c r="K187" s="951"/>
    </row>
    <row r="188" spans="1:11" s="948" customFormat="1" ht="15" customHeight="1" x14ac:dyDescent="0.3">
      <c r="A188" s="952"/>
      <c r="B188" s="955"/>
      <c r="C188" s="951"/>
      <c r="D188" s="1059"/>
      <c r="E188" s="1100" t="s">
        <v>62</v>
      </c>
      <c r="F188" s="1088"/>
      <c r="G188" s="1087"/>
      <c r="H188" s="1100" t="s">
        <v>1952</v>
      </c>
      <c r="I188" s="1101"/>
      <c r="J188" s="1096"/>
      <c r="K188" s="951"/>
    </row>
    <row r="189" spans="1:11" s="948" customFormat="1" ht="15" customHeight="1" x14ac:dyDescent="0.3">
      <c r="A189" s="952"/>
      <c r="B189" s="955"/>
      <c r="C189" s="951"/>
      <c r="D189" s="1059"/>
      <c r="E189" s="1056"/>
      <c r="F189" s="952"/>
      <c r="G189" s="951"/>
      <c r="H189" s="1082"/>
      <c r="I189" s="7"/>
      <c r="J189" s="22"/>
      <c r="K189" s="951"/>
    </row>
    <row r="190" spans="1:11" s="948" customFormat="1" ht="15" customHeight="1" x14ac:dyDescent="0.3">
      <c r="A190" s="952"/>
      <c r="B190" s="955"/>
      <c r="C190" s="951"/>
      <c r="D190" s="1059"/>
      <c r="E190" s="1056"/>
      <c r="F190" s="1109" t="s">
        <v>2013</v>
      </c>
      <c r="G190" s="1110"/>
      <c r="H190" s="1113"/>
      <c r="I190" s="7"/>
      <c r="J190" s="22"/>
      <c r="K190" s="951"/>
    </row>
    <row r="191" spans="1:11" s="948" customFormat="1" ht="15" customHeight="1" x14ac:dyDescent="0.3">
      <c r="A191" s="24">
        <v>69</v>
      </c>
      <c r="B191" s="550" t="s">
        <v>136</v>
      </c>
      <c r="C191" s="1047" t="s">
        <v>1529</v>
      </c>
      <c r="D191" s="551" t="s">
        <v>1742</v>
      </c>
      <c r="E191" s="1042">
        <v>39643</v>
      </c>
      <c r="F191" s="550" t="s">
        <v>1596</v>
      </c>
      <c r="G191" s="951"/>
      <c r="H191" s="1107" t="s">
        <v>2014</v>
      </c>
      <c r="I191" s="1065"/>
      <c r="J191" s="951"/>
      <c r="K191" s="951"/>
    </row>
    <row r="192" spans="1:11" s="948" customFormat="1" ht="15" customHeight="1" x14ac:dyDescent="0.3">
      <c r="A192" s="24">
        <v>70</v>
      </c>
      <c r="B192" s="24" t="s">
        <v>6</v>
      </c>
      <c r="C192" s="550" t="s">
        <v>1533</v>
      </c>
      <c r="D192" s="551" t="s">
        <v>1737</v>
      </c>
      <c r="E192" s="1042">
        <v>39993</v>
      </c>
      <c r="F192" s="550" t="s">
        <v>1596</v>
      </c>
      <c r="G192" s="951"/>
      <c r="H192" s="1107" t="s">
        <v>2014</v>
      </c>
      <c r="I192" s="1065"/>
      <c r="J192" s="951"/>
      <c r="K192" s="951"/>
    </row>
    <row r="193" spans="1:11" s="948" customFormat="1" ht="15" customHeight="1" x14ac:dyDescent="0.3">
      <c r="A193" s="24">
        <v>71</v>
      </c>
      <c r="B193" s="550" t="s">
        <v>24</v>
      </c>
      <c r="C193" s="550" t="s">
        <v>1532</v>
      </c>
      <c r="D193" s="551" t="s">
        <v>1737</v>
      </c>
      <c r="E193" s="1042">
        <v>40013</v>
      </c>
      <c r="F193" s="550" t="s">
        <v>1596</v>
      </c>
      <c r="G193" s="951"/>
      <c r="H193" s="1107" t="s">
        <v>2014</v>
      </c>
      <c r="I193" s="1065"/>
      <c r="J193" s="951"/>
      <c r="K193" s="951"/>
    </row>
    <row r="194" spans="1:11" s="948" customFormat="1" ht="15" customHeight="1" x14ac:dyDescent="0.3">
      <c r="A194" s="24">
        <v>72</v>
      </c>
      <c r="B194" s="550" t="s">
        <v>6</v>
      </c>
      <c r="C194" s="551" t="s">
        <v>1888</v>
      </c>
      <c r="D194" s="551" t="s">
        <v>1733</v>
      </c>
      <c r="E194" s="1042">
        <v>40043</v>
      </c>
      <c r="F194" s="550" t="s">
        <v>1596</v>
      </c>
      <c r="G194" s="951"/>
      <c r="H194" s="1107" t="s">
        <v>2014</v>
      </c>
      <c r="I194" s="1065"/>
      <c r="J194" s="951"/>
      <c r="K194" s="951"/>
    </row>
    <row r="195" spans="1:11" s="948" customFormat="1" ht="15" customHeight="1" x14ac:dyDescent="0.3">
      <c r="A195" s="24">
        <v>73</v>
      </c>
      <c r="B195" s="550" t="s">
        <v>23</v>
      </c>
      <c r="C195" s="551" t="s">
        <v>1465</v>
      </c>
      <c r="D195" s="890" t="s">
        <v>1595</v>
      </c>
      <c r="E195" s="1042">
        <v>40266</v>
      </c>
      <c r="F195" s="550" t="s">
        <v>1596</v>
      </c>
      <c r="G195" s="951"/>
      <c r="H195" s="1107" t="s">
        <v>2014</v>
      </c>
      <c r="I195" s="7"/>
      <c r="J195" s="22"/>
      <c r="K195" s="951"/>
    </row>
    <row r="196" spans="1:11" s="948" customFormat="1" ht="15" customHeight="1" x14ac:dyDescent="0.3">
      <c r="A196" s="24">
        <v>74</v>
      </c>
      <c r="B196" s="550" t="s">
        <v>6</v>
      </c>
      <c r="C196" s="551" t="s">
        <v>1411</v>
      </c>
      <c r="D196" s="551" t="s">
        <v>1733</v>
      </c>
      <c r="E196" s="1042">
        <v>40447</v>
      </c>
      <c r="F196" s="550" t="s">
        <v>1596</v>
      </c>
      <c r="G196" s="951"/>
      <c r="H196" s="1107" t="s">
        <v>2014</v>
      </c>
      <c r="I196" s="1065"/>
      <c r="J196" s="951"/>
      <c r="K196" s="951"/>
    </row>
    <row r="197" spans="1:11" s="948" customFormat="1" ht="15" customHeight="1" x14ac:dyDescent="0.3">
      <c r="A197" s="24">
        <v>75</v>
      </c>
      <c r="B197" s="24" t="s">
        <v>35</v>
      </c>
      <c r="C197" s="550" t="s">
        <v>1868</v>
      </c>
      <c r="D197" s="551" t="s">
        <v>1742</v>
      </c>
      <c r="E197" s="1042">
        <v>40514</v>
      </c>
      <c r="F197" s="550" t="s">
        <v>1596</v>
      </c>
      <c r="G197" s="951"/>
      <c r="H197" s="1107" t="s">
        <v>2014</v>
      </c>
      <c r="I197" s="1065"/>
      <c r="J197" s="951"/>
      <c r="K197" s="951"/>
    </row>
    <row r="198" spans="1:11" s="948" customFormat="1" ht="15" customHeight="1" x14ac:dyDescent="0.3">
      <c r="A198" s="24">
        <v>76</v>
      </c>
      <c r="B198" s="550" t="s">
        <v>23</v>
      </c>
      <c r="C198" s="551" t="s">
        <v>1705</v>
      </c>
      <c r="D198" s="890" t="s">
        <v>1613</v>
      </c>
      <c r="E198" s="1042">
        <v>40523</v>
      </c>
      <c r="F198" s="550" t="s">
        <v>1596</v>
      </c>
      <c r="G198" s="951"/>
      <c r="H198" s="1107" t="s">
        <v>2014</v>
      </c>
      <c r="I198" s="7"/>
      <c r="J198" s="22"/>
      <c r="K198" s="951"/>
    </row>
    <row r="199" spans="1:11" s="948" customFormat="1" ht="15" customHeight="1" x14ac:dyDescent="0.3">
      <c r="A199" s="24">
        <v>77</v>
      </c>
      <c r="B199" s="550" t="s">
        <v>35</v>
      </c>
      <c r="C199" s="1047" t="s">
        <v>1867</v>
      </c>
      <c r="D199" s="551" t="s">
        <v>1785</v>
      </c>
      <c r="E199" s="1042">
        <v>40526</v>
      </c>
      <c r="F199" s="550" t="s">
        <v>1596</v>
      </c>
      <c r="G199" s="951"/>
      <c r="H199" s="1107" t="s">
        <v>2014</v>
      </c>
      <c r="I199" s="1065"/>
      <c r="J199" s="951"/>
      <c r="K199" s="951"/>
    </row>
    <row r="200" spans="1:11" s="948" customFormat="1" ht="15" customHeight="1" x14ac:dyDescent="0.3">
      <c r="A200" s="24">
        <v>78</v>
      </c>
      <c r="B200" s="24" t="s">
        <v>35</v>
      </c>
      <c r="C200" s="551" t="s">
        <v>1692</v>
      </c>
      <c r="D200" s="890" t="s">
        <v>1609</v>
      </c>
      <c r="E200" s="1042">
        <v>40684</v>
      </c>
      <c r="F200" s="550" t="s">
        <v>1596</v>
      </c>
      <c r="G200" s="951"/>
      <c r="H200" s="1107" t="s">
        <v>2014</v>
      </c>
      <c r="I200" s="7"/>
      <c r="J200" s="22"/>
      <c r="K200" s="951"/>
    </row>
    <row r="201" spans="1:11" s="948" customFormat="1" ht="15" customHeight="1" x14ac:dyDescent="0.3">
      <c r="A201" s="24">
        <v>79</v>
      </c>
      <c r="B201" s="550" t="s">
        <v>20</v>
      </c>
      <c r="C201" s="1047" t="s">
        <v>1861</v>
      </c>
      <c r="D201" s="551" t="s">
        <v>1862</v>
      </c>
      <c r="E201" s="1042">
        <v>40691</v>
      </c>
      <c r="F201" s="550" t="s">
        <v>1596</v>
      </c>
      <c r="G201" s="951"/>
      <c r="H201" s="1107" t="s">
        <v>2014</v>
      </c>
      <c r="I201" s="1065"/>
      <c r="J201" s="951"/>
      <c r="K201" s="951"/>
    </row>
    <row r="202" spans="1:11" s="948" customFormat="1" ht="15" customHeight="1" x14ac:dyDescent="0.3">
      <c r="A202" s="24">
        <v>80</v>
      </c>
      <c r="B202" s="550" t="s">
        <v>23</v>
      </c>
      <c r="C202" s="551" t="s">
        <v>1697</v>
      </c>
      <c r="D202" s="890" t="s">
        <v>1618</v>
      </c>
      <c r="E202" s="1042">
        <v>40845</v>
      </c>
      <c r="F202" s="550" t="s">
        <v>1596</v>
      </c>
      <c r="G202" s="951"/>
      <c r="H202" s="1107" t="s">
        <v>2014</v>
      </c>
      <c r="I202" s="7"/>
      <c r="J202" s="22"/>
      <c r="K202" s="951"/>
    </row>
    <row r="203" spans="1:11" s="948" customFormat="1" ht="15" customHeight="1" x14ac:dyDescent="0.3">
      <c r="A203" s="24">
        <v>81</v>
      </c>
      <c r="B203" s="1050" t="s">
        <v>35</v>
      </c>
      <c r="C203" s="1047" t="s">
        <v>1584</v>
      </c>
      <c r="D203" s="551" t="s">
        <v>1807</v>
      </c>
      <c r="E203" s="1042">
        <v>40908</v>
      </c>
      <c r="F203" s="550" t="s">
        <v>1596</v>
      </c>
      <c r="G203" s="951"/>
      <c r="H203" s="1107" t="s">
        <v>2014</v>
      </c>
      <c r="I203" s="1065"/>
      <c r="J203" s="951"/>
      <c r="K203" s="951"/>
    </row>
    <row r="204" spans="1:11" s="948" customFormat="1" ht="15" customHeight="1" x14ac:dyDescent="0.3">
      <c r="A204" s="24">
        <v>82</v>
      </c>
      <c r="B204" s="550" t="s">
        <v>35</v>
      </c>
      <c r="C204" s="1047" t="s">
        <v>1514</v>
      </c>
      <c r="D204" s="551" t="s">
        <v>1764</v>
      </c>
      <c r="E204" s="1042">
        <v>40970</v>
      </c>
      <c r="F204" s="550" t="s">
        <v>1596</v>
      </c>
      <c r="G204" s="951"/>
      <c r="H204" s="1107" t="s">
        <v>2014</v>
      </c>
      <c r="I204" s="1065"/>
      <c r="J204" s="951"/>
      <c r="K204" s="951"/>
    </row>
    <row r="205" spans="1:11" s="948" customFormat="1" ht="15" customHeight="1" x14ac:dyDescent="0.3">
      <c r="A205" s="24">
        <v>83</v>
      </c>
      <c r="B205" s="550" t="s">
        <v>6</v>
      </c>
      <c r="C205" s="551" t="s">
        <v>1688</v>
      </c>
      <c r="D205" s="890" t="s">
        <v>1689</v>
      </c>
      <c r="E205" s="1042">
        <v>40997</v>
      </c>
      <c r="F205" s="550" t="s">
        <v>1596</v>
      </c>
      <c r="G205" s="951"/>
      <c r="H205" s="1107" t="s">
        <v>2014</v>
      </c>
      <c r="I205" s="7"/>
      <c r="J205" s="22"/>
      <c r="K205" s="951"/>
    </row>
    <row r="206" spans="1:11" s="948" customFormat="1" ht="15" customHeight="1" x14ac:dyDescent="0.3">
      <c r="A206" s="24">
        <v>84</v>
      </c>
      <c r="B206" s="550" t="s">
        <v>6</v>
      </c>
      <c r="C206" s="551" t="s">
        <v>1690</v>
      </c>
      <c r="D206" s="551" t="s">
        <v>1636</v>
      </c>
      <c r="E206" s="1042">
        <v>41010</v>
      </c>
      <c r="F206" s="550" t="s">
        <v>1596</v>
      </c>
      <c r="G206" s="951"/>
      <c r="H206" s="1107" t="s">
        <v>2014</v>
      </c>
      <c r="I206" s="7"/>
      <c r="J206" s="22"/>
      <c r="K206" s="951"/>
    </row>
    <row r="207" spans="1:11" s="948" customFormat="1" ht="15" customHeight="1" x14ac:dyDescent="0.3">
      <c r="A207" s="24">
        <v>85</v>
      </c>
      <c r="B207" s="24" t="s">
        <v>35</v>
      </c>
      <c r="C207" s="550" t="s">
        <v>1820</v>
      </c>
      <c r="D207" s="551" t="s">
        <v>1729</v>
      </c>
      <c r="E207" s="1042">
        <v>41053</v>
      </c>
      <c r="F207" s="550" t="s">
        <v>1596</v>
      </c>
      <c r="G207" s="951"/>
      <c r="H207" s="1107" t="s">
        <v>2014</v>
      </c>
      <c r="I207" s="1065"/>
      <c r="J207" s="951"/>
      <c r="K207" s="951"/>
    </row>
    <row r="208" spans="1:11" s="948" customFormat="1" ht="15" customHeight="1" x14ac:dyDescent="0.3">
      <c r="A208" s="24">
        <v>86</v>
      </c>
      <c r="B208" s="24" t="s">
        <v>35</v>
      </c>
      <c r="C208" s="551" t="s">
        <v>1663</v>
      </c>
      <c r="D208" s="890" t="s">
        <v>1664</v>
      </c>
      <c r="E208" s="1042">
        <v>41074</v>
      </c>
      <c r="F208" s="550" t="s">
        <v>1596</v>
      </c>
      <c r="G208" s="951"/>
      <c r="H208" s="1107" t="s">
        <v>2014</v>
      </c>
      <c r="I208" s="7"/>
      <c r="J208" s="22"/>
      <c r="K208" s="951"/>
    </row>
    <row r="209" spans="1:11" s="948" customFormat="1" ht="15" customHeight="1" x14ac:dyDescent="0.3">
      <c r="A209" s="24">
        <v>87</v>
      </c>
      <c r="B209" s="550" t="s">
        <v>20</v>
      </c>
      <c r="C209" s="551" t="s">
        <v>1819</v>
      </c>
      <c r="D209" s="551" t="s">
        <v>1768</v>
      </c>
      <c r="E209" s="1042">
        <v>41088</v>
      </c>
      <c r="F209" s="550" t="s">
        <v>1596</v>
      </c>
      <c r="G209" s="951"/>
      <c r="H209" s="1107" t="s">
        <v>2014</v>
      </c>
      <c r="I209" s="1065"/>
      <c r="J209" s="951"/>
      <c r="K209" s="951"/>
    </row>
    <row r="210" spans="1:11" s="948" customFormat="1" ht="15" customHeight="1" x14ac:dyDescent="0.3">
      <c r="A210" s="24">
        <v>88</v>
      </c>
      <c r="B210" s="550" t="s">
        <v>20</v>
      </c>
      <c r="C210" s="1047" t="s">
        <v>1808</v>
      </c>
      <c r="D210" s="551" t="s">
        <v>1768</v>
      </c>
      <c r="E210" s="1042">
        <v>41114</v>
      </c>
      <c r="F210" s="550" t="s">
        <v>1596</v>
      </c>
      <c r="G210" s="951"/>
      <c r="H210" s="1107" t="s">
        <v>2014</v>
      </c>
      <c r="I210" s="1065"/>
      <c r="J210" s="951"/>
      <c r="K210" s="951"/>
    </row>
    <row r="211" spans="1:11" s="948" customFormat="1" ht="15" customHeight="1" x14ac:dyDescent="0.3">
      <c r="A211" s="24">
        <v>89</v>
      </c>
      <c r="B211" s="550" t="s">
        <v>35</v>
      </c>
      <c r="C211" s="551" t="s">
        <v>1831</v>
      </c>
      <c r="D211" s="551" t="s">
        <v>1729</v>
      </c>
      <c r="E211" s="1042">
        <v>41130</v>
      </c>
      <c r="F211" s="550" t="s">
        <v>1596</v>
      </c>
      <c r="G211" s="951"/>
      <c r="H211" s="1107" t="s">
        <v>2014</v>
      </c>
      <c r="I211" s="1065"/>
      <c r="J211" s="951"/>
      <c r="K211" s="951"/>
    </row>
    <row r="212" spans="1:11" s="948" customFormat="1" ht="15" customHeight="1" x14ac:dyDescent="0.3">
      <c r="A212" s="24">
        <v>90</v>
      </c>
      <c r="B212" s="550" t="s">
        <v>24</v>
      </c>
      <c r="C212" s="551" t="s">
        <v>1671</v>
      </c>
      <c r="D212" s="890" t="s">
        <v>1613</v>
      </c>
      <c r="E212" s="1042">
        <v>41155</v>
      </c>
      <c r="F212" s="550" t="s">
        <v>1596</v>
      </c>
      <c r="G212" s="951"/>
      <c r="H212" s="1107" t="s">
        <v>2014</v>
      </c>
      <c r="I212" s="7"/>
      <c r="J212" s="22"/>
      <c r="K212" s="951"/>
    </row>
    <row r="213" spans="1:11" s="948" customFormat="1" ht="15" customHeight="1" x14ac:dyDescent="0.3">
      <c r="A213" s="24">
        <v>91</v>
      </c>
      <c r="B213" s="550" t="s">
        <v>6</v>
      </c>
      <c r="C213" s="551" t="s">
        <v>1691</v>
      </c>
      <c r="D213" s="889" t="s">
        <v>1616</v>
      </c>
      <c r="E213" s="1042">
        <v>41165</v>
      </c>
      <c r="F213" s="550" t="s">
        <v>1596</v>
      </c>
      <c r="G213" s="951"/>
      <c r="H213" s="1107" t="s">
        <v>2014</v>
      </c>
      <c r="I213" s="7"/>
      <c r="J213" s="22"/>
      <c r="K213" s="951"/>
    </row>
    <row r="214" spans="1:11" s="948" customFormat="1" ht="15" customHeight="1" x14ac:dyDescent="0.3">
      <c r="A214" s="24">
        <v>92</v>
      </c>
      <c r="B214" s="550" t="s">
        <v>20</v>
      </c>
      <c r="C214" s="551" t="s">
        <v>1821</v>
      </c>
      <c r="D214" s="551" t="s">
        <v>1735</v>
      </c>
      <c r="E214" s="1042">
        <v>41210</v>
      </c>
      <c r="F214" s="550" t="s">
        <v>1596</v>
      </c>
      <c r="G214" s="951"/>
      <c r="H214" s="1107" t="s">
        <v>2014</v>
      </c>
      <c r="I214" s="1056"/>
      <c r="J214" s="951"/>
      <c r="K214" s="951"/>
    </row>
    <row r="215" spans="1:11" s="948" customFormat="1" ht="15" customHeight="1" x14ac:dyDescent="0.3">
      <c r="A215" s="24">
        <v>93</v>
      </c>
      <c r="B215" s="550" t="s">
        <v>35</v>
      </c>
      <c r="C215" s="1047" t="s">
        <v>1822</v>
      </c>
      <c r="D215" s="551" t="s">
        <v>1739</v>
      </c>
      <c r="E215" s="1042">
        <v>41415</v>
      </c>
      <c r="F215" s="550" t="s">
        <v>1596</v>
      </c>
      <c r="G215" s="951"/>
      <c r="H215" s="1107" t="s">
        <v>2014</v>
      </c>
      <c r="I215" s="1056"/>
      <c r="J215" s="951"/>
      <c r="K215" s="951"/>
    </row>
    <row r="216" spans="1:11" s="948" customFormat="1" ht="15" customHeight="1" x14ac:dyDescent="0.3">
      <c r="A216" s="24">
        <v>94</v>
      </c>
      <c r="B216" s="550" t="s">
        <v>21</v>
      </c>
      <c r="C216" s="551" t="s">
        <v>1577</v>
      </c>
      <c r="D216" s="551" t="s">
        <v>1809</v>
      </c>
      <c r="E216" s="1042">
        <v>41463</v>
      </c>
      <c r="F216" s="550" t="s">
        <v>1596</v>
      </c>
      <c r="G216" s="951"/>
      <c r="H216" s="1107" t="s">
        <v>2014</v>
      </c>
      <c r="I216" s="1056"/>
      <c r="J216" s="951"/>
      <c r="K216" s="951"/>
    </row>
    <row r="217" spans="1:11" s="948" customFormat="1" ht="15" customHeight="1" x14ac:dyDescent="0.3">
      <c r="A217" s="24">
        <v>95</v>
      </c>
      <c r="B217" s="550" t="s">
        <v>35</v>
      </c>
      <c r="C217" s="1047" t="s">
        <v>1837</v>
      </c>
      <c r="D217" s="551" t="s">
        <v>1744</v>
      </c>
      <c r="E217" s="1042">
        <v>41473</v>
      </c>
      <c r="F217" s="550" t="s">
        <v>1596</v>
      </c>
      <c r="G217" s="951"/>
      <c r="H217" s="1107" t="s">
        <v>2014</v>
      </c>
      <c r="I217" s="1056"/>
      <c r="J217" s="951"/>
      <c r="K217" s="951"/>
    </row>
    <row r="218" spans="1:11" s="948" customFormat="1" ht="15" customHeight="1" x14ac:dyDescent="0.3">
      <c r="A218" s="24">
        <v>96</v>
      </c>
      <c r="B218" s="24" t="s">
        <v>35</v>
      </c>
      <c r="C218" s="551" t="s">
        <v>1666</v>
      </c>
      <c r="D218" s="890" t="s">
        <v>1616</v>
      </c>
      <c r="E218" s="1042">
        <v>41487</v>
      </c>
      <c r="F218" s="550" t="s">
        <v>1596</v>
      </c>
      <c r="G218" s="951"/>
      <c r="H218" s="1107" t="s">
        <v>2014</v>
      </c>
      <c r="I218" s="7"/>
      <c r="J218" s="22"/>
      <c r="K218" s="951"/>
    </row>
    <row r="219" spans="1:11" s="948" customFormat="1" ht="15" customHeight="1" x14ac:dyDescent="0.3">
      <c r="A219" s="24">
        <v>97</v>
      </c>
      <c r="B219" s="550" t="s">
        <v>35</v>
      </c>
      <c r="C219" s="551" t="s">
        <v>1578</v>
      </c>
      <c r="D219" s="551" t="s">
        <v>1729</v>
      </c>
      <c r="E219" s="1042">
        <v>41539</v>
      </c>
      <c r="F219" s="550" t="s">
        <v>1596</v>
      </c>
      <c r="G219" s="951"/>
      <c r="H219" s="1107" t="s">
        <v>2014</v>
      </c>
      <c r="I219" s="1056"/>
      <c r="J219" s="951"/>
      <c r="K219" s="951"/>
    </row>
    <row r="220" spans="1:11" s="948" customFormat="1" ht="15" customHeight="1" x14ac:dyDescent="0.3">
      <c r="A220" s="24">
        <v>98</v>
      </c>
      <c r="B220" s="550" t="s">
        <v>20</v>
      </c>
      <c r="C220" s="551" t="s">
        <v>1806</v>
      </c>
      <c r="D220" s="551" t="s">
        <v>1807</v>
      </c>
      <c r="E220" s="1042">
        <v>41552</v>
      </c>
      <c r="F220" s="550" t="s">
        <v>1596</v>
      </c>
      <c r="G220" s="951"/>
      <c r="H220" s="1107" t="s">
        <v>2014</v>
      </c>
      <c r="I220" s="1056"/>
      <c r="J220" s="951"/>
      <c r="K220" s="951"/>
    </row>
    <row r="221" spans="1:11" s="948" customFormat="1" ht="15" customHeight="1" x14ac:dyDescent="0.3">
      <c r="A221" s="24">
        <v>99</v>
      </c>
      <c r="B221" s="550" t="s">
        <v>20</v>
      </c>
      <c r="C221" s="551" t="s">
        <v>1818</v>
      </c>
      <c r="D221" s="551" t="s">
        <v>1789</v>
      </c>
      <c r="E221" s="1042">
        <v>41553</v>
      </c>
      <c r="F221" s="550" t="s">
        <v>1596</v>
      </c>
      <c r="G221" s="951"/>
      <c r="H221" s="1107" t="s">
        <v>2014</v>
      </c>
      <c r="I221" s="1056"/>
      <c r="J221" s="951"/>
      <c r="K221" s="951"/>
    </row>
    <row r="222" spans="1:11" s="948" customFormat="1" ht="15" customHeight="1" x14ac:dyDescent="0.3">
      <c r="A222" s="951"/>
      <c r="B222" s="550"/>
      <c r="C222" s="550"/>
      <c r="D222" s="551"/>
      <c r="E222" s="1100" t="s">
        <v>62</v>
      </c>
      <c r="F222" s="1088"/>
      <c r="G222" s="1087"/>
      <c r="H222" s="1100" t="s">
        <v>2015</v>
      </c>
      <c r="I222" s="1101"/>
      <c r="J222" s="1096"/>
      <c r="K222" s="951"/>
    </row>
    <row r="223" spans="1:11" s="948" customFormat="1" ht="15" customHeight="1" x14ac:dyDescent="0.3">
      <c r="A223" s="951"/>
      <c r="B223" s="550"/>
      <c r="C223" s="550"/>
      <c r="D223" s="551"/>
      <c r="E223" s="1100"/>
      <c r="F223" s="1088"/>
      <c r="G223" s="1087"/>
      <c r="H223" s="1100"/>
      <c r="I223" s="1101"/>
      <c r="J223" s="1096"/>
      <c r="K223" s="951"/>
    </row>
    <row r="224" spans="1:11" s="948" customFormat="1" ht="15" customHeight="1" x14ac:dyDescent="0.3">
      <c r="A224" s="951"/>
      <c r="B224" s="550"/>
      <c r="C224" s="550"/>
      <c r="D224" s="551"/>
      <c r="E224" s="1100"/>
      <c r="F224" s="1109" t="s">
        <v>2016</v>
      </c>
      <c r="G224" s="1110"/>
      <c r="H224" s="1113"/>
      <c r="I224" s="1114"/>
      <c r="J224" s="1096"/>
      <c r="K224" s="951"/>
    </row>
    <row r="225" spans="1:11" s="948" customFormat="1" ht="15" customHeight="1" x14ac:dyDescent="0.3">
      <c r="A225" s="22">
        <v>100</v>
      </c>
      <c r="B225" s="550" t="s">
        <v>23</v>
      </c>
      <c r="C225" s="550" t="s">
        <v>1850</v>
      </c>
      <c r="D225" s="551" t="s">
        <v>1851</v>
      </c>
      <c r="E225" s="1042">
        <v>40927</v>
      </c>
      <c r="F225" s="550" t="s">
        <v>1640</v>
      </c>
      <c r="G225" s="1087"/>
      <c r="H225" s="1088" t="s">
        <v>2017</v>
      </c>
      <c r="I225" s="1101"/>
      <c r="J225" s="1096"/>
      <c r="K225" s="951"/>
    </row>
    <row r="226" spans="1:11" s="948" customFormat="1" ht="15" customHeight="1" x14ac:dyDescent="0.3">
      <c r="A226" s="22">
        <v>101</v>
      </c>
      <c r="B226" s="550" t="s">
        <v>6</v>
      </c>
      <c r="C226" s="550" t="s">
        <v>1855</v>
      </c>
      <c r="D226" s="551" t="s">
        <v>1856</v>
      </c>
      <c r="E226" s="1042">
        <v>41022</v>
      </c>
      <c r="F226" s="550" t="s">
        <v>1640</v>
      </c>
      <c r="G226" s="1087"/>
      <c r="H226" s="1088" t="s">
        <v>2017</v>
      </c>
      <c r="I226" s="1101"/>
      <c r="J226" s="1096"/>
      <c r="K226" s="951"/>
    </row>
    <row r="227" spans="1:11" s="948" customFormat="1" ht="15" customHeight="1" x14ac:dyDescent="0.3">
      <c r="A227" s="22">
        <v>102</v>
      </c>
      <c r="B227" s="550" t="s">
        <v>35</v>
      </c>
      <c r="C227" s="550" t="s">
        <v>1832</v>
      </c>
      <c r="D227" s="551" t="s">
        <v>1833</v>
      </c>
      <c r="E227" s="1042">
        <v>41103</v>
      </c>
      <c r="F227" s="550" t="s">
        <v>1640</v>
      </c>
      <c r="G227" s="1087"/>
      <c r="H227" s="1088" t="s">
        <v>2017</v>
      </c>
      <c r="I227" s="1101"/>
      <c r="J227" s="1096"/>
      <c r="K227" s="951"/>
    </row>
    <row r="228" spans="1:11" s="948" customFormat="1" ht="15" customHeight="1" x14ac:dyDescent="0.3">
      <c r="A228" s="22">
        <v>103</v>
      </c>
      <c r="B228" s="550" t="s">
        <v>35</v>
      </c>
      <c r="C228" s="550" t="s">
        <v>1843</v>
      </c>
      <c r="D228" s="551" t="s">
        <v>1844</v>
      </c>
      <c r="E228" s="1042">
        <v>41143</v>
      </c>
      <c r="F228" s="550" t="s">
        <v>1640</v>
      </c>
      <c r="G228" s="1087"/>
      <c r="H228" s="1088" t="s">
        <v>2017</v>
      </c>
      <c r="I228" s="1101"/>
      <c r="J228" s="1096"/>
      <c r="K228" s="951"/>
    </row>
    <row r="229" spans="1:11" s="948" customFormat="1" ht="15" customHeight="1" x14ac:dyDescent="0.3">
      <c r="A229" s="22">
        <v>104</v>
      </c>
      <c r="B229" s="550" t="s">
        <v>35</v>
      </c>
      <c r="C229" s="550" t="s">
        <v>1835</v>
      </c>
      <c r="D229" s="551" t="s">
        <v>1739</v>
      </c>
      <c r="E229" s="1042">
        <v>41375</v>
      </c>
      <c r="F229" s="550" t="s">
        <v>1640</v>
      </c>
      <c r="G229" s="1087"/>
      <c r="H229" s="1088" t="s">
        <v>2017</v>
      </c>
      <c r="I229" s="1101"/>
      <c r="J229" s="1096"/>
      <c r="K229" s="951"/>
    </row>
    <row r="230" spans="1:11" s="948" customFormat="1" ht="15" customHeight="1" x14ac:dyDescent="0.3">
      <c r="A230" s="951"/>
      <c r="B230" s="550"/>
      <c r="C230" s="550"/>
      <c r="D230" s="551"/>
      <c r="E230" s="1100" t="s">
        <v>62</v>
      </c>
      <c r="F230" s="1088"/>
      <c r="G230" s="1087"/>
      <c r="H230" s="1100" t="s">
        <v>2018</v>
      </c>
      <c r="I230" s="1101"/>
      <c r="J230" s="1096"/>
      <c r="K230" s="951"/>
    </row>
    <row r="231" spans="1:11" s="948" customFormat="1" ht="15" customHeight="1" x14ac:dyDescent="0.3">
      <c r="A231" s="951"/>
      <c r="B231" s="550"/>
      <c r="C231" s="550"/>
      <c r="D231" s="551"/>
      <c r="E231" s="1100"/>
      <c r="F231" s="1088"/>
      <c r="G231" s="1087"/>
      <c r="H231" s="1100"/>
      <c r="I231" s="1101"/>
      <c r="J231" s="1096"/>
      <c r="K231" s="951"/>
    </row>
    <row r="232" spans="1:11" s="948" customFormat="1" ht="15" customHeight="1" x14ac:dyDescent="0.3">
      <c r="A232" s="951"/>
      <c r="B232" s="550"/>
      <c r="C232" s="550"/>
      <c r="D232" s="551"/>
      <c r="E232" s="1100"/>
      <c r="F232" s="1115" t="s">
        <v>2019</v>
      </c>
      <c r="G232" s="1116"/>
      <c r="H232" s="1100"/>
      <c r="I232" s="1101"/>
      <c r="J232" s="1096"/>
      <c r="K232" s="951"/>
    </row>
    <row r="233" spans="1:11" s="948" customFormat="1" ht="15" customHeight="1" x14ac:dyDescent="0.3">
      <c r="A233" s="24">
        <v>105</v>
      </c>
      <c r="B233" s="550" t="s">
        <v>6</v>
      </c>
      <c r="C233" s="551" t="s">
        <v>1713</v>
      </c>
      <c r="D233" s="890" t="s">
        <v>1595</v>
      </c>
      <c r="E233" s="1042">
        <v>39738</v>
      </c>
      <c r="F233" s="550" t="s">
        <v>1452</v>
      </c>
      <c r="G233" s="895"/>
      <c r="H233" s="550" t="s">
        <v>2020</v>
      </c>
      <c r="I233" s="1101"/>
      <c r="J233" s="1096"/>
      <c r="K233" s="951"/>
    </row>
    <row r="234" spans="1:11" s="948" customFormat="1" ht="15" customHeight="1" x14ac:dyDescent="0.3">
      <c r="A234" s="24">
        <v>106</v>
      </c>
      <c r="B234" s="550" t="s">
        <v>34</v>
      </c>
      <c r="C234" s="551" t="s">
        <v>1475</v>
      </c>
      <c r="D234" s="890" t="s">
        <v>1664</v>
      </c>
      <c r="E234" s="1042">
        <v>39801</v>
      </c>
      <c r="F234" s="550" t="s">
        <v>1452</v>
      </c>
      <c r="G234" s="895"/>
      <c r="H234" s="550" t="s">
        <v>2020</v>
      </c>
      <c r="I234" s="1101"/>
      <c r="J234" s="1096"/>
      <c r="K234" s="951"/>
    </row>
    <row r="235" spans="1:11" s="948" customFormat="1" ht="15" customHeight="1" x14ac:dyDescent="0.3">
      <c r="A235" s="24">
        <v>107</v>
      </c>
      <c r="B235" s="550" t="s">
        <v>6</v>
      </c>
      <c r="C235" s="551" t="s">
        <v>1700</v>
      </c>
      <c r="D235" s="890" t="s">
        <v>1595</v>
      </c>
      <c r="E235" s="1042">
        <v>40021</v>
      </c>
      <c r="F235" s="550" t="s">
        <v>1452</v>
      </c>
      <c r="G235" s="895"/>
      <c r="H235" s="550" t="s">
        <v>2022</v>
      </c>
      <c r="I235" s="1101"/>
      <c r="J235" s="1096"/>
      <c r="K235" s="951"/>
    </row>
    <row r="236" spans="1:11" s="948" customFormat="1" ht="15" customHeight="1" x14ac:dyDescent="0.3">
      <c r="A236" s="24">
        <v>108</v>
      </c>
      <c r="B236" s="550" t="s">
        <v>6</v>
      </c>
      <c r="C236" s="550" t="s">
        <v>1874</v>
      </c>
      <c r="D236" s="551" t="s">
        <v>1729</v>
      </c>
      <c r="E236" s="1042">
        <v>40092</v>
      </c>
      <c r="F236" s="550" t="s">
        <v>1452</v>
      </c>
      <c r="G236" s="895"/>
      <c r="H236" s="550" t="s">
        <v>2022</v>
      </c>
      <c r="I236" s="1101"/>
      <c r="J236" s="1096"/>
      <c r="K236" s="951"/>
    </row>
    <row r="237" spans="1:11" s="948" customFormat="1" ht="15" customHeight="1" x14ac:dyDescent="0.3">
      <c r="A237" s="24">
        <v>109</v>
      </c>
      <c r="B237" s="550" t="s">
        <v>6</v>
      </c>
      <c r="C237" s="550" t="s">
        <v>1884</v>
      </c>
      <c r="D237" s="551" t="s">
        <v>1739</v>
      </c>
      <c r="E237" s="1042">
        <v>40112</v>
      </c>
      <c r="F237" s="550" t="s">
        <v>1452</v>
      </c>
      <c r="G237" s="895"/>
      <c r="H237" s="550" t="s">
        <v>2022</v>
      </c>
      <c r="I237" s="1101"/>
      <c r="J237" s="1096"/>
      <c r="K237" s="951"/>
    </row>
    <row r="238" spans="1:11" s="948" customFormat="1" ht="15" customHeight="1" x14ac:dyDescent="0.3">
      <c r="A238" s="24">
        <v>110</v>
      </c>
      <c r="B238" s="550" t="s">
        <v>6</v>
      </c>
      <c r="C238" s="550" t="s">
        <v>2023</v>
      </c>
      <c r="D238" s="551" t="s">
        <v>1755</v>
      </c>
      <c r="E238" s="1042">
        <v>40215</v>
      </c>
      <c r="F238" s="550" t="s">
        <v>1452</v>
      </c>
      <c r="G238" s="895"/>
      <c r="H238" s="550" t="s">
        <v>2022</v>
      </c>
      <c r="I238" s="1101"/>
      <c r="J238" s="1096"/>
      <c r="K238" s="951"/>
    </row>
    <row r="239" spans="1:11" s="948" customFormat="1" ht="15" customHeight="1" x14ac:dyDescent="0.3">
      <c r="A239" s="24">
        <v>111</v>
      </c>
      <c r="B239" s="550" t="s">
        <v>35</v>
      </c>
      <c r="C239" s="550" t="s">
        <v>1413</v>
      </c>
      <c r="D239" s="551" t="s">
        <v>1833</v>
      </c>
      <c r="E239" s="1042">
        <v>40258</v>
      </c>
      <c r="F239" s="550" t="s">
        <v>1452</v>
      </c>
      <c r="G239" s="895"/>
      <c r="H239" s="550" t="s">
        <v>2020</v>
      </c>
      <c r="I239" s="1101"/>
      <c r="J239" s="1096"/>
      <c r="K239" s="951"/>
    </row>
    <row r="240" spans="1:11" s="948" customFormat="1" ht="15" customHeight="1" x14ac:dyDescent="0.3">
      <c r="A240" s="24">
        <v>112</v>
      </c>
      <c r="B240" s="550" t="s">
        <v>6</v>
      </c>
      <c r="C240" s="550" t="s">
        <v>1537</v>
      </c>
      <c r="D240" s="551" t="s">
        <v>1794</v>
      </c>
      <c r="E240" s="1042">
        <v>40259</v>
      </c>
      <c r="F240" s="550" t="s">
        <v>1452</v>
      </c>
      <c r="G240" s="895"/>
      <c r="H240" s="550" t="s">
        <v>2020</v>
      </c>
      <c r="I240" s="1101"/>
      <c r="J240" s="1096"/>
      <c r="K240" s="951"/>
    </row>
    <row r="241" spans="1:24" s="948" customFormat="1" ht="15" customHeight="1" x14ac:dyDescent="0.3">
      <c r="A241" s="24">
        <v>113</v>
      </c>
      <c r="B241" s="550" t="s">
        <v>6</v>
      </c>
      <c r="C241" s="551" t="s">
        <v>1717</v>
      </c>
      <c r="D241" s="890" t="s">
        <v>1618</v>
      </c>
      <c r="E241" s="1042">
        <v>40297</v>
      </c>
      <c r="F241" s="550" t="s">
        <v>1452</v>
      </c>
      <c r="G241" s="895"/>
      <c r="H241" s="550" t="s">
        <v>2024</v>
      </c>
      <c r="I241" s="1101"/>
      <c r="J241" s="1096"/>
      <c r="K241" s="951"/>
    </row>
    <row r="242" spans="1:24" s="948" customFormat="1" ht="15" customHeight="1" x14ac:dyDescent="0.3">
      <c r="A242" s="24">
        <v>114</v>
      </c>
      <c r="B242" s="550" t="s">
        <v>23</v>
      </c>
      <c r="C242" s="550" t="s">
        <v>1886</v>
      </c>
      <c r="D242" s="551" t="s">
        <v>1760</v>
      </c>
      <c r="E242" s="1042">
        <v>40574</v>
      </c>
      <c r="F242" s="550" t="s">
        <v>1452</v>
      </c>
      <c r="G242" s="895"/>
      <c r="H242" s="550" t="s">
        <v>2020</v>
      </c>
      <c r="I242" s="1101"/>
      <c r="J242" s="1096"/>
      <c r="K242" s="951"/>
    </row>
    <row r="243" spans="1:24" s="948" customFormat="1" ht="15" customHeight="1" x14ac:dyDescent="0.3">
      <c r="A243" s="24">
        <v>115</v>
      </c>
      <c r="B243" s="550" t="s">
        <v>35</v>
      </c>
      <c r="C243" s="550" t="s">
        <v>1863</v>
      </c>
      <c r="D243" s="551" t="s">
        <v>1798</v>
      </c>
      <c r="E243" s="1042">
        <v>40596</v>
      </c>
      <c r="F243" s="550" t="s">
        <v>1452</v>
      </c>
      <c r="G243" s="895"/>
      <c r="H243" s="550" t="s">
        <v>2020</v>
      </c>
      <c r="I243" s="1101"/>
      <c r="J243" s="1096"/>
      <c r="K243" s="951"/>
    </row>
    <row r="244" spans="1:24" s="948" customFormat="1" ht="15" customHeight="1" x14ac:dyDescent="0.3">
      <c r="A244" s="24">
        <v>116</v>
      </c>
      <c r="B244" s="550" t="s">
        <v>24</v>
      </c>
      <c r="C244" s="551" t="s">
        <v>1693</v>
      </c>
      <c r="D244" s="890" t="s">
        <v>1674</v>
      </c>
      <c r="E244" s="1042">
        <v>40693</v>
      </c>
      <c r="F244" s="550" t="s">
        <v>1452</v>
      </c>
      <c r="G244" s="895"/>
      <c r="H244" s="550" t="s">
        <v>2024</v>
      </c>
      <c r="I244" s="1101"/>
      <c r="J244" s="1096"/>
      <c r="K244" s="951"/>
    </row>
    <row r="245" spans="1:24" s="948" customFormat="1" ht="15" customHeight="1" x14ac:dyDescent="0.3">
      <c r="A245" s="24">
        <v>117</v>
      </c>
      <c r="B245" s="550" t="s">
        <v>24</v>
      </c>
      <c r="C245" s="551" t="s">
        <v>1694</v>
      </c>
      <c r="D245" s="890" t="s">
        <v>1611</v>
      </c>
      <c r="E245" s="1042">
        <v>40738</v>
      </c>
      <c r="F245" s="550" t="s">
        <v>1452</v>
      </c>
      <c r="G245" s="895"/>
      <c r="H245" s="550" t="s">
        <v>2020</v>
      </c>
      <c r="I245" s="1101"/>
      <c r="J245" s="1096"/>
      <c r="K245" s="951"/>
    </row>
    <row r="246" spans="1:24" s="948" customFormat="1" ht="15" customHeight="1" x14ac:dyDescent="0.3">
      <c r="A246" s="24">
        <v>118</v>
      </c>
      <c r="B246" s="550" t="s">
        <v>24</v>
      </c>
      <c r="C246" s="551" t="s">
        <v>1403</v>
      </c>
      <c r="D246" s="890" t="s">
        <v>1695</v>
      </c>
      <c r="E246" s="1042">
        <v>40801</v>
      </c>
      <c r="F246" s="550" t="s">
        <v>1452</v>
      </c>
      <c r="G246" s="895"/>
      <c r="H246" s="550" t="s">
        <v>2022</v>
      </c>
      <c r="I246" s="1101"/>
      <c r="J246" s="1096"/>
      <c r="K246" s="951"/>
    </row>
    <row r="247" spans="1:24" s="948" customFormat="1" ht="15" customHeight="1" x14ac:dyDescent="0.3">
      <c r="A247" s="24">
        <v>119</v>
      </c>
      <c r="B247" s="550" t="s">
        <v>6</v>
      </c>
      <c r="C247" s="550" t="s">
        <v>1854</v>
      </c>
      <c r="D247" s="551" t="s">
        <v>1742</v>
      </c>
      <c r="E247" s="1042">
        <v>41038</v>
      </c>
      <c r="F247" s="550" t="s">
        <v>1452</v>
      </c>
      <c r="G247" s="895"/>
      <c r="H247" s="550" t="s">
        <v>2020</v>
      </c>
      <c r="I247" s="1101"/>
      <c r="J247" s="1096"/>
      <c r="K247" s="951"/>
    </row>
    <row r="248" spans="1:24" s="948" customFormat="1" ht="15" customHeight="1" x14ac:dyDescent="0.3">
      <c r="A248" s="24">
        <v>120</v>
      </c>
      <c r="B248" s="550" t="s">
        <v>35</v>
      </c>
      <c r="C248" s="550" t="s">
        <v>1358</v>
      </c>
      <c r="D248" s="551" t="s">
        <v>1946</v>
      </c>
      <c r="E248" s="1042">
        <v>41059</v>
      </c>
      <c r="F248" s="550" t="s">
        <v>1452</v>
      </c>
      <c r="G248" s="895"/>
      <c r="H248" s="550" t="s">
        <v>2020</v>
      </c>
      <c r="I248" s="1101"/>
      <c r="J248" s="1096"/>
      <c r="K248" s="951"/>
    </row>
    <row r="249" spans="1:24" s="948" customFormat="1" ht="15" customHeight="1" x14ac:dyDescent="0.3">
      <c r="A249" s="24">
        <v>121</v>
      </c>
      <c r="B249" s="550" t="s">
        <v>35</v>
      </c>
      <c r="C249" s="550" t="s">
        <v>1841</v>
      </c>
      <c r="D249" s="551" t="s">
        <v>1735</v>
      </c>
      <c r="E249" s="1042">
        <v>41109</v>
      </c>
      <c r="F249" s="550" t="s">
        <v>1452</v>
      </c>
      <c r="G249" s="895"/>
      <c r="H249" s="550" t="s">
        <v>2020</v>
      </c>
      <c r="I249" s="1101"/>
      <c r="J249" s="1096"/>
      <c r="K249" s="951"/>
    </row>
    <row r="250" spans="1:24" s="948" customFormat="1" ht="15" customHeight="1" x14ac:dyDescent="0.3">
      <c r="A250" s="24">
        <v>122</v>
      </c>
      <c r="B250" s="550" t="s">
        <v>23</v>
      </c>
      <c r="C250" s="551" t="s">
        <v>1681</v>
      </c>
      <c r="D250" s="890" t="s">
        <v>1630</v>
      </c>
      <c r="E250" s="1042">
        <v>41186</v>
      </c>
      <c r="F250" s="550" t="s">
        <v>1452</v>
      </c>
      <c r="G250" s="895"/>
      <c r="H250" s="550" t="s">
        <v>2022</v>
      </c>
      <c r="I250" s="1101"/>
      <c r="J250" s="1096"/>
      <c r="K250" s="951"/>
    </row>
    <row r="251" spans="1:24" s="948" customFormat="1" ht="15" customHeight="1" x14ac:dyDescent="0.3">
      <c r="A251" s="24">
        <v>123</v>
      </c>
      <c r="B251" s="550" t="s">
        <v>23</v>
      </c>
      <c r="C251" s="550" t="s">
        <v>1365</v>
      </c>
      <c r="D251" s="551" t="s">
        <v>1940</v>
      </c>
      <c r="E251" s="1042">
        <v>41204</v>
      </c>
      <c r="F251" s="550" t="s">
        <v>1452</v>
      </c>
      <c r="G251" s="895"/>
      <c r="H251" s="550" t="s">
        <v>2020</v>
      </c>
      <c r="I251" s="1101"/>
      <c r="J251" s="1096"/>
      <c r="K251" s="951"/>
    </row>
    <row r="252" spans="1:24" s="948" customFormat="1" ht="15" customHeight="1" x14ac:dyDescent="0.3">
      <c r="A252" s="24">
        <v>124</v>
      </c>
      <c r="B252" s="550" t="s">
        <v>20</v>
      </c>
      <c r="C252" s="550" t="s">
        <v>1836</v>
      </c>
      <c r="D252" s="551" t="s">
        <v>1755</v>
      </c>
      <c r="E252" s="1042">
        <v>41258</v>
      </c>
      <c r="F252" s="550" t="s">
        <v>1452</v>
      </c>
      <c r="G252" s="895"/>
      <c r="H252" s="550" t="s">
        <v>2024</v>
      </c>
      <c r="I252" s="1101"/>
      <c r="J252" s="1096"/>
      <c r="K252" s="951"/>
    </row>
    <row r="253" spans="1:24" s="948" customFormat="1" ht="15" customHeight="1" x14ac:dyDescent="0.3">
      <c r="A253" s="24">
        <v>125</v>
      </c>
      <c r="B253" s="550" t="s">
        <v>24</v>
      </c>
      <c r="C253" s="551" t="s">
        <v>1675</v>
      </c>
      <c r="D253" s="890" t="s">
        <v>1599</v>
      </c>
      <c r="E253" s="1042">
        <v>41284</v>
      </c>
      <c r="F253" s="550" t="s">
        <v>1452</v>
      </c>
      <c r="G253" s="895"/>
      <c r="H253" s="550" t="s">
        <v>2020</v>
      </c>
      <c r="I253" s="1101"/>
      <c r="J253" s="1096"/>
      <c r="K253" s="951"/>
    </row>
    <row r="254" spans="1:24" s="948" customFormat="1" ht="15" customHeight="1" x14ac:dyDescent="0.3">
      <c r="A254" s="24">
        <v>126</v>
      </c>
      <c r="B254" s="550" t="s">
        <v>35</v>
      </c>
      <c r="C254" s="550" t="s">
        <v>1842</v>
      </c>
      <c r="D254" s="551" t="s">
        <v>1733</v>
      </c>
      <c r="E254" s="1042">
        <v>41363</v>
      </c>
      <c r="F254" s="550" t="s">
        <v>1452</v>
      </c>
      <c r="G254" s="895"/>
      <c r="H254" s="550" t="s">
        <v>2022</v>
      </c>
      <c r="I254" s="1101"/>
      <c r="J254" s="1096"/>
      <c r="K254" s="951"/>
    </row>
    <row r="255" spans="1:24" s="948" customFormat="1" ht="15" customHeight="1" x14ac:dyDescent="0.3">
      <c r="A255" s="24">
        <v>127</v>
      </c>
      <c r="B255" s="550" t="s">
        <v>35</v>
      </c>
      <c r="C255" s="550" t="s">
        <v>1828</v>
      </c>
      <c r="D255" s="551" t="s">
        <v>1750</v>
      </c>
      <c r="E255" s="1042">
        <v>41452</v>
      </c>
      <c r="F255" s="550" t="s">
        <v>1452</v>
      </c>
      <c r="G255" s="895"/>
      <c r="H255" s="550" t="s">
        <v>2022</v>
      </c>
      <c r="I255" s="1101"/>
      <c r="J255" s="1096"/>
      <c r="K255" s="951"/>
      <c r="W255" s="1101"/>
      <c r="X255" s="1096"/>
    </row>
    <row r="256" spans="1:24" s="948" customFormat="1" ht="15" customHeight="1" x14ac:dyDescent="0.3">
      <c r="A256" s="24">
        <v>128</v>
      </c>
      <c r="B256" s="550" t="s">
        <v>35</v>
      </c>
      <c r="C256" s="550" t="s">
        <v>1838</v>
      </c>
      <c r="D256" s="551" t="s">
        <v>1760</v>
      </c>
      <c r="E256" s="1042">
        <v>41478</v>
      </c>
      <c r="F256" s="550" t="s">
        <v>1452</v>
      </c>
      <c r="G256" s="895"/>
      <c r="H256" s="550" t="s">
        <v>2024</v>
      </c>
      <c r="I256" s="1101"/>
      <c r="J256" s="1096"/>
      <c r="K256" s="951"/>
    </row>
    <row r="257" spans="1:11" s="948" customFormat="1" ht="15" customHeight="1" x14ac:dyDescent="0.3">
      <c r="A257" s="24">
        <v>129</v>
      </c>
      <c r="B257" s="550" t="s">
        <v>34</v>
      </c>
      <c r="C257" s="551" t="s">
        <v>1673</v>
      </c>
      <c r="D257" s="890" t="s">
        <v>1674</v>
      </c>
      <c r="E257" s="1042">
        <v>41526</v>
      </c>
      <c r="F257" s="550" t="s">
        <v>1452</v>
      </c>
      <c r="G257" s="895"/>
      <c r="H257" s="550" t="s">
        <v>2022</v>
      </c>
      <c r="I257" s="1101"/>
      <c r="J257" s="1096"/>
      <c r="K257" s="951"/>
    </row>
    <row r="258" spans="1:11" s="948" customFormat="1" ht="15" customHeight="1" x14ac:dyDescent="0.3">
      <c r="A258" s="24">
        <v>130</v>
      </c>
      <c r="B258" s="550" t="s">
        <v>35</v>
      </c>
      <c r="C258" s="550" t="s">
        <v>1501</v>
      </c>
      <c r="D258" s="551" t="s">
        <v>1725</v>
      </c>
      <c r="E258" s="1042">
        <v>41584</v>
      </c>
      <c r="F258" s="550" t="s">
        <v>1452</v>
      </c>
      <c r="G258" s="895"/>
      <c r="H258" s="550" t="s">
        <v>2020</v>
      </c>
      <c r="I258" s="1101"/>
      <c r="J258" s="1096"/>
      <c r="K258" s="951"/>
    </row>
    <row r="259" spans="1:11" s="948" customFormat="1" ht="15" customHeight="1" x14ac:dyDescent="0.3">
      <c r="A259" s="24">
        <v>131</v>
      </c>
      <c r="B259" s="550" t="s">
        <v>23</v>
      </c>
      <c r="C259" s="550" t="s">
        <v>1872</v>
      </c>
      <c r="D259" s="551" t="s">
        <v>1742</v>
      </c>
      <c r="E259" s="1042" t="s">
        <v>1873</v>
      </c>
      <c r="F259" s="550" t="s">
        <v>1452</v>
      </c>
      <c r="G259" s="895"/>
      <c r="H259" s="550" t="s">
        <v>2020</v>
      </c>
      <c r="I259" s="1101"/>
      <c r="J259" s="1096"/>
      <c r="K259" s="951"/>
    </row>
    <row r="260" spans="1:11" s="948" customFormat="1" ht="15" customHeight="1" x14ac:dyDescent="0.3">
      <c r="A260" s="951"/>
      <c r="B260" s="550"/>
      <c r="C260" s="550"/>
      <c r="D260" s="551"/>
      <c r="E260" s="1100" t="s">
        <v>62</v>
      </c>
      <c r="F260" s="1088"/>
      <c r="G260" s="1087"/>
      <c r="H260" s="1100" t="s">
        <v>2025</v>
      </c>
      <c r="I260" s="1101"/>
      <c r="J260" s="1096"/>
      <c r="K260" s="951"/>
    </row>
    <row r="261" spans="1:11" s="948" customFormat="1" ht="15" customHeight="1" x14ac:dyDescent="0.3">
      <c r="A261" s="951"/>
      <c r="B261" s="550"/>
      <c r="C261" s="550"/>
      <c r="D261" s="551"/>
      <c r="E261" s="1100" t="s">
        <v>62</v>
      </c>
      <c r="F261" s="1088"/>
      <c r="G261" s="1087"/>
      <c r="H261" s="1100" t="s">
        <v>1963</v>
      </c>
      <c r="I261" s="1101"/>
      <c r="J261" s="1096"/>
      <c r="K261" s="951"/>
    </row>
    <row r="262" spans="1:11" s="948" customFormat="1" ht="15" customHeight="1" x14ac:dyDescent="0.3">
      <c r="A262" s="951"/>
      <c r="B262" s="550"/>
      <c r="C262" s="550"/>
      <c r="D262" s="551"/>
      <c r="E262" s="1100" t="s">
        <v>62</v>
      </c>
      <c r="F262" s="1088"/>
      <c r="G262" s="1087"/>
      <c r="H262" s="1100" t="s">
        <v>1964</v>
      </c>
      <c r="I262" s="1101"/>
      <c r="J262" s="1096"/>
      <c r="K262" s="951"/>
    </row>
    <row r="263" spans="1:11" s="948" customFormat="1" ht="15" customHeight="1" x14ac:dyDescent="0.3">
      <c r="A263" s="951"/>
      <c r="B263" s="550"/>
      <c r="C263" s="550"/>
      <c r="D263" s="551"/>
      <c r="E263" s="1100"/>
      <c r="F263" s="1088"/>
      <c r="G263" s="1087"/>
      <c r="H263" s="1100"/>
      <c r="I263" s="1101"/>
      <c r="J263" s="1096"/>
      <c r="K263" s="951"/>
    </row>
    <row r="264" spans="1:11" s="948" customFormat="1" ht="15" customHeight="1" x14ac:dyDescent="0.3">
      <c r="A264" s="951"/>
      <c r="B264" s="550"/>
      <c r="C264" s="550"/>
      <c r="D264" s="551"/>
      <c r="E264" s="1100"/>
      <c r="F264" s="1115" t="s">
        <v>2026</v>
      </c>
      <c r="G264" s="1087"/>
      <c r="H264" s="1100"/>
      <c r="I264" s="1101"/>
      <c r="J264" s="1096"/>
      <c r="K264" s="951"/>
    </row>
    <row r="265" spans="1:11" s="948" customFormat="1" ht="15" customHeight="1" x14ac:dyDescent="0.3">
      <c r="A265" s="22">
        <v>132</v>
      </c>
      <c r="B265" s="550" t="s">
        <v>6</v>
      </c>
      <c r="C265" s="550" t="s">
        <v>1898</v>
      </c>
      <c r="D265" s="551" t="s">
        <v>1807</v>
      </c>
      <c r="E265" s="1042">
        <v>39763</v>
      </c>
      <c r="F265" s="550" t="s">
        <v>1654</v>
      </c>
      <c r="G265" s="895"/>
      <c r="H265" s="550" t="s">
        <v>2027</v>
      </c>
      <c r="I265" s="1056"/>
      <c r="J265" s="951"/>
      <c r="K265" s="951"/>
    </row>
    <row r="266" spans="1:11" s="948" customFormat="1" ht="15" customHeight="1" x14ac:dyDescent="0.3">
      <c r="A266" s="22">
        <v>133</v>
      </c>
      <c r="B266" s="550" t="s">
        <v>6</v>
      </c>
      <c r="C266" s="550" t="s">
        <v>1894</v>
      </c>
      <c r="D266" s="551" t="s">
        <v>1792</v>
      </c>
      <c r="E266" s="1042">
        <v>39806</v>
      </c>
      <c r="F266" s="550" t="s">
        <v>1654</v>
      </c>
      <c r="G266" s="895"/>
      <c r="H266" s="550" t="s">
        <v>2027</v>
      </c>
      <c r="I266" s="1056"/>
      <c r="J266" s="951"/>
      <c r="K266" s="951"/>
    </row>
    <row r="267" spans="1:11" s="948" customFormat="1" ht="15" customHeight="1" x14ac:dyDescent="0.3">
      <c r="A267" s="22">
        <v>134</v>
      </c>
      <c r="B267" s="550" t="s">
        <v>23</v>
      </c>
      <c r="C267" s="551" t="s">
        <v>1699</v>
      </c>
      <c r="D267" s="890" t="s">
        <v>1642</v>
      </c>
      <c r="E267" s="1042">
        <v>39956</v>
      </c>
      <c r="F267" s="550" t="s">
        <v>1654</v>
      </c>
      <c r="G267" s="895"/>
      <c r="H267" s="550" t="s">
        <v>2027</v>
      </c>
      <c r="I267" s="1056"/>
      <c r="J267" s="951"/>
      <c r="K267" s="951"/>
    </row>
    <row r="268" spans="1:11" s="948" customFormat="1" ht="15" customHeight="1" x14ac:dyDescent="0.3">
      <c r="A268" s="22">
        <v>135</v>
      </c>
      <c r="B268" s="550" t="s">
        <v>23</v>
      </c>
      <c r="C268" s="550" t="s">
        <v>1885</v>
      </c>
      <c r="D268" s="551" t="s">
        <v>1807</v>
      </c>
      <c r="E268" s="1042">
        <v>40526</v>
      </c>
      <c r="F268" s="550" t="s">
        <v>1654</v>
      </c>
      <c r="G268" s="895"/>
      <c r="H268" s="550" t="s">
        <v>2027</v>
      </c>
      <c r="I268" s="1056"/>
      <c r="J268" s="951"/>
      <c r="K268" s="951"/>
    </row>
    <row r="269" spans="1:11" s="948" customFormat="1" ht="15" customHeight="1" x14ac:dyDescent="0.3">
      <c r="A269" s="22">
        <v>136</v>
      </c>
      <c r="B269" s="550" t="s">
        <v>23</v>
      </c>
      <c r="C269" s="550" t="s">
        <v>1880</v>
      </c>
      <c r="D269" s="551" t="s">
        <v>1755</v>
      </c>
      <c r="E269" s="1042">
        <v>40529</v>
      </c>
      <c r="F269" s="550" t="s">
        <v>1654</v>
      </c>
      <c r="G269" s="895"/>
      <c r="H269" s="550" t="s">
        <v>2027</v>
      </c>
      <c r="I269" s="1056"/>
      <c r="J269" s="951"/>
      <c r="K269" s="951"/>
    </row>
    <row r="270" spans="1:11" s="948" customFormat="1" ht="15" customHeight="1" x14ac:dyDescent="0.3">
      <c r="A270" s="22">
        <v>137</v>
      </c>
      <c r="B270" s="550" t="s">
        <v>6</v>
      </c>
      <c r="C270" s="550" t="s">
        <v>1893</v>
      </c>
      <c r="D270" s="551" t="s">
        <v>1733</v>
      </c>
      <c r="E270" s="1042">
        <v>40679</v>
      </c>
      <c r="F270" s="550" t="s">
        <v>1654</v>
      </c>
      <c r="G270" s="895"/>
      <c r="H270" s="550" t="s">
        <v>2027</v>
      </c>
      <c r="I270" s="1056"/>
      <c r="J270" s="951"/>
      <c r="K270" s="951"/>
    </row>
    <row r="271" spans="1:11" s="948" customFormat="1" ht="15" customHeight="1" x14ac:dyDescent="0.3">
      <c r="A271" s="22">
        <v>138</v>
      </c>
      <c r="B271" s="550" t="s">
        <v>24</v>
      </c>
      <c r="C271" s="550" t="s">
        <v>1876</v>
      </c>
      <c r="D271" s="551" t="s">
        <v>1733</v>
      </c>
      <c r="E271" s="1042">
        <v>40884</v>
      </c>
      <c r="F271" s="550" t="s">
        <v>1654</v>
      </c>
      <c r="G271" s="895"/>
      <c r="H271" s="550" t="s">
        <v>2027</v>
      </c>
      <c r="I271" s="1056"/>
      <c r="J271" s="951"/>
      <c r="K271" s="951"/>
    </row>
    <row r="272" spans="1:11" s="948" customFormat="1" ht="15" customHeight="1" x14ac:dyDescent="0.3">
      <c r="A272" s="22">
        <v>139</v>
      </c>
      <c r="B272" s="550" t="s">
        <v>35</v>
      </c>
      <c r="C272" s="550" t="s">
        <v>1823</v>
      </c>
      <c r="D272" s="551" t="s">
        <v>1792</v>
      </c>
      <c r="E272" s="1042">
        <v>41062</v>
      </c>
      <c r="F272" s="550" t="s">
        <v>1654</v>
      </c>
      <c r="G272" s="895"/>
      <c r="H272" s="550" t="s">
        <v>2027</v>
      </c>
      <c r="I272" s="1056"/>
      <c r="J272" s="951"/>
      <c r="K272" s="951"/>
    </row>
    <row r="273" spans="1:11" s="948" customFormat="1" ht="15" customHeight="1" x14ac:dyDescent="0.3">
      <c r="A273" s="22">
        <v>140</v>
      </c>
      <c r="B273" s="550" t="s">
        <v>23</v>
      </c>
      <c r="C273" s="550" t="s">
        <v>1853</v>
      </c>
      <c r="D273" s="551" t="s">
        <v>1729</v>
      </c>
      <c r="E273" s="1042">
        <v>41127</v>
      </c>
      <c r="F273" s="550" t="s">
        <v>1654</v>
      </c>
      <c r="G273" s="895"/>
      <c r="H273" s="550" t="s">
        <v>2027</v>
      </c>
      <c r="I273" s="1056"/>
      <c r="J273" s="951"/>
      <c r="K273" s="951"/>
    </row>
    <row r="274" spans="1:11" s="948" customFormat="1" ht="15" customHeight="1" x14ac:dyDescent="0.3">
      <c r="A274" s="22">
        <v>141</v>
      </c>
      <c r="B274" s="550" t="s">
        <v>6</v>
      </c>
      <c r="C274" s="551" t="s">
        <v>1686</v>
      </c>
      <c r="D274" s="890" t="s">
        <v>1687</v>
      </c>
      <c r="E274" s="1042">
        <v>41302</v>
      </c>
      <c r="F274" s="550" t="s">
        <v>1654</v>
      </c>
      <c r="G274" s="895"/>
      <c r="H274" s="550" t="s">
        <v>2027</v>
      </c>
      <c r="I274" s="1056"/>
      <c r="J274" s="951"/>
      <c r="K274" s="951"/>
    </row>
    <row r="275" spans="1:11" s="948" customFormat="1" ht="15" customHeight="1" x14ac:dyDescent="0.3">
      <c r="A275" s="22">
        <v>142</v>
      </c>
      <c r="B275" s="550" t="s">
        <v>21</v>
      </c>
      <c r="C275" s="550" t="s">
        <v>1802</v>
      </c>
      <c r="D275" s="551" t="s">
        <v>1729</v>
      </c>
      <c r="E275" s="1042">
        <v>41327</v>
      </c>
      <c r="F275" s="550" t="s">
        <v>1654</v>
      </c>
      <c r="G275" s="895"/>
      <c r="H275" s="550" t="s">
        <v>2027</v>
      </c>
      <c r="I275" s="1056"/>
      <c r="J275" s="951"/>
      <c r="K275" s="951"/>
    </row>
    <row r="276" spans="1:11" s="948" customFormat="1" ht="15" customHeight="1" x14ac:dyDescent="0.3">
      <c r="A276" s="951"/>
      <c r="B276" s="550"/>
      <c r="C276" s="550"/>
      <c r="D276" s="551"/>
      <c r="E276" s="1100" t="s">
        <v>62</v>
      </c>
      <c r="F276" s="1088"/>
      <c r="G276" s="1087"/>
      <c r="H276" s="1100" t="s">
        <v>1971</v>
      </c>
      <c r="I276" s="1101"/>
      <c r="J276" s="1096"/>
      <c r="K276" s="951"/>
    </row>
    <row r="277" spans="1:11" s="948" customFormat="1" ht="15" customHeight="1" x14ac:dyDescent="0.3">
      <c r="A277" s="951"/>
      <c r="B277" s="550"/>
      <c r="C277" s="550"/>
      <c r="D277" s="551"/>
      <c r="E277" s="1100"/>
      <c r="F277" s="1088"/>
      <c r="G277" s="1087"/>
      <c r="H277" s="1100"/>
      <c r="I277" s="1101"/>
      <c r="J277" s="1096"/>
      <c r="K277" s="951"/>
    </row>
    <row r="278" spans="1:11" s="948" customFormat="1" ht="15" customHeight="1" x14ac:dyDescent="0.35">
      <c r="A278" s="951"/>
      <c r="B278" s="550"/>
      <c r="C278" s="550"/>
      <c r="D278" s="551"/>
      <c r="E278" s="1093" t="s">
        <v>2028</v>
      </c>
      <c r="F278" s="1117"/>
      <c r="G278" s="1118"/>
      <c r="H278" s="1119"/>
      <c r="I278" s="100"/>
      <c r="J278" s="951"/>
    </row>
    <row r="279" spans="1:11" s="948" customFormat="1" ht="15" customHeight="1" x14ac:dyDescent="0.3">
      <c r="A279" s="22">
        <v>143</v>
      </c>
      <c r="B279" s="550" t="s">
        <v>6</v>
      </c>
      <c r="C279" s="550" t="s">
        <v>1897</v>
      </c>
      <c r="D279" s="551" t="s">
        <v>1792</v>
      </c>
      <c r="E279" s="1042">
        <v>39771</v>
      </c>
      <c r="F279" s="550" t="s">
        <v>1598</v>
      </c>
      <c r="G279" s="895"/>
      <c r="H279" s="550" t="s">
        <v>2029</v>
      </c>
      <c r="I279" s="1119"/>
      <c r="J279" s="100"/>
      <c r="K279" s="951"/>
    </row>
    <row r="280" spans="1:11" s="948" customFormat="1" ht="15" customHeight="1" x14ac:dyDescent="0.3">
      <c r="A280" s="22">
        <v>144</v>
      </c>
      <c r="B280" s="550" t="s">
        <v>23</v>
      </c>
      <c r="C280" s="550" t="s">
        <v>1889</v>
      </c>
      <c r="D280" s="551" t="s">
        <v>1733</v>
      </c>
      <c r="E280" s="1042">
        <v>40328</v>
      </c>
      <c r="F280" s="550" t="s">
        <v>1598</v>
      </c>
      <c r="G280" s="895"/>
      <c r="H280" s="550" t="s">
        <v>2029</v>
      </c>
      <c r="I280" s="1119"/>
      <c r="J280" s="100"/>
      <c r="K280" s="951"/>
    </row>
    <row r="281" spans="1:11" s="948" customFormat="1" ht="15" customHeight="1" x14ac:dyDescent="0.3">
      <c r="A281" s="22">
        <v>145</v>
      </c>
      <c r="B281" s="550" t="s">
        <v>6</v>
      </c>
      <c r="C281" s="550" t="s">
        <v>1530</v>
      </c>
      <c r="D281" s="551" t="s">
        <v>1883</v>
      </c>
      <c r="E281" s="1042">
        <v>40395</v>
      </c>
      <c r="F281" s="550" t="s">
        <v>1598</v>
      </c>
      <c r="G281" s="895"/>
      <c r="H281" s="550" t="s">
        <v>2029</v>
      </c>
      <c r="I281" s="1119"/>
      <c r="J281" s="100"/>
      <c r="K281" s="951"/>
    </row>
    <row r="282" spans="1:11" s="948" customFormat="1" ht="15" customHeight="1" x14ac:dyDescent="0.3">
      <c r="A282" s="22">
        <v>146</v>
      </c>
      <c r="B282" s="550" t="s">
        <v>34</v>
      </c>
      <c r="C282" s="551" t="s">
        <v>1935</v>
      </c>
      <c r="D282" s="890" t="s">
        <v>1611</v>
      </c>
      <c r="E282" s="1042">
        <v>40673</v>
      </c>
      <c r="F282" s="550" t="s">
        <v>1598</v>
      </c>
      <c r="G282" s="895"/>
      <c r="H282" s="550" t="s">
        <v>2029</v>
      </c>
      <c r="I282" s="1119"/>
      <c r="J282" s="100"/>
      <c r="K282" s="951"/>
    </row>
    <row r="283" spans="1:11" s="948" customFormat="1" ht="15" customHeight="1" x14ac:dyDescent="0.3">
      <c r="A283" s="22">
        <v>147</v>
      </c>
      <c r="B283" s="550" t="s">
        <v>23</v>
      </c>
      <c r="C283" s="550" t="s">
        <v>1927</v>
      </c>
      <c r="D283" s="551" t="s">
        <v>1789</v>
      </c>
      <c r="E283" s="1042">
        <v>40745</v>
      </c>
      <c r="F283" s="550" t="s">
        <v>1598</v>
      </c>
      <c r="G283" s="895"/>
      <c r="H283" s="550" t="s">
        <v>2029</v>
      </c>
      <c r="I283" s="1119"/>
      <c r="J283" s="100"/>
      <c r="K283" s="951"/>
    </row>
    <row r="284" spans="1:11" s="948" customFormat="1" ht="15" customHeight="1" x14ac:dyDescent="0.3">
      <c r="A284" s="22">
        <v>148</v>
      </c>
      <c r="B284" s="550" t="s">
        <v>23</v>
      </c>
      <c r="C284" s="550" t="s">
        <v>1882</v>
      </c>
      <c r="D284" s="551" t="s">
        <v>1760</v>
      </c>
      <c r="E284" s="1042">
        <v>40894</v>
      </c>
      <c r="F284" s="550" t="s">
        <v>1598</v>
      </c>
      <c r="G284" s="895"/>
      <c r="H284" s="550" t="s">
        <v>2029</v>
      </c>
      <c r="I284" s="1119"/>
      <c r="J284" s="100"/>
      <c r="K284" s="951"/>
    </row>
    <row r="285" spans="1:11" s="948" customFormat="1" ht="15" customHeight="1" x14ac:dyDescent="0.3">
      <c r="A285" s="22">
        <v>149</v>
      </c>
      <c r="B285" s="550" t="s">
        <v>24</v>
      </c>
      <c r="C285" s="550" t="s">
        <v>1925</v>
      </c>
      <c r="D285" s="551" t="s">
        <v>1807</v>
      </c>
      <c r="E285" s="1042">
        <v>41066</v>
      </c>
      <c r="F285" s="550" t="s">
        <v>1598</v>
      </c>
      <c r="G285" s="895"/>
      <c r="H285" s="550" t="s">
        <v>2029</v>
      </c>
      <c r="I285" s="1119"/>
      <c r="J285" s="100"/>
      <c r="K285" s="951"/>
    </row>
    <row r="286" spans="1:11" s="948" customFormat="1" ht="15" customHeight="1" x14ac:dyDescent="0.3">
      <c r="A286" s="22">
        <v>150</v>
      </c>
      <c r="B286" s="550" t="s">
        <v>24</v>
      </c>
      <c r="C286" s="551" t="s">
        <v>1679</v>
      </c>
      <c r="D286" s="890" t="s">
        <v>1680</v>
      </c>
      <c r="E286" s="1042">
        <v>41159</v>
      </c>
      <c r="F286" s="550" t="s">
        <v>1598</v>
      </c>
      <c r="G286" s="895"/>
      <c r="H286" s="550" t="s">
        <v>2029</v>
      </c>
      <c r="I286" s="1119"/>
      <c r="J286" s="100"/>
      <c r="K286" s="951"/>
    </row>
    <row r="287" spans="1:11" s="948" customFormat="1" ht="15" customHeight="1" x14ac:dyDescent="0.3">
      <c r="A287" s="22">
        <v>151</v>
      </c>
      <c r="B287" s="550" t="s">
        <v>35</v>
      </c>
      <c r="C287" s="550" t="s">
        <v>1829</v>
      </c>
      <c r="D287" s="551" t="s">
        <v>1830</v>
      </c>
      <c r="E287" s="1042">
        <v>41166</v>
      </c>
      <c r="F287" s="550" t="s">
        <v>1598</v>
      </c>
      <c r="G287" s="895"/>
      <c r="H287" s="550" t="s">
        <v>2029</v>
      </c>
      <c r="I287" s="1119"/>
      <c r="J287" s="100"/>
      <c r="K287" s="951"/>
    </row>
    <row r="288" spans="1:11" s="948" customFormat="1" ht="15" customHeight="1" x14ac:dyDescent="0.3">
      <c r="A288" s="22">
        <v>152</v>
      </c>
      <c r="B288" s="550" t="s">
        <v>6</v>
      </c>
      <c r="C288" s="551" t="s">
        <v>1914</v>
      </c>
      <c r="D288" s="890" t="s">
        <v>1664</v>
      </c>
      <c r="E288" s="1042">
        <v>41296</v>
      </c>
      <c r="F288" s="550" t="s">
        <v>1598</v>
      </c>
      <c r="G288" s="895"/>
      <c r="H288" s="550" t="s">
        <v>2029</v>
      </c>
      <c r="I288" s="1119"/>
      <c r="J288" s="100"/>
      <c r="K288" s="951"/>
    </row>
    <row r="289" spans="1:11" s="948" customFormat="1" ht="15" customHeight="1" x14ac:dyDescent="0.3">
      <c r="A289" s="22">
        <v>153</v>
      </c>
      <c r="B289" s="550" t="s">
        <v>35</v>
      </c>
      <c r="C289" s="550" t="s">
        <v>1845</v>
      </c>
      <c r="D289" s="551" t="s">
        <v>1750</v>
      </c>
      <c r="E289" s="1042">
        <v>41305</v>
      </c>
      <c r="F289" s="550" t="s">
        <v>1598</v>
      </c>
      <c r="G289" s="895"/>
      <c r="H289" s="550" t="s">
        <v>2029</v>
      </c>
      <c r="I289" s="1119"/>
      <c r="J289" s="100"/>
      <c r="K289" s="951"/>
    </row>
    <row r="290" spans="1:11" s="948" customFormat="1" ht="15" customHeight="1" x14ac:dyDescent="0.3">
      <c r="A290" s="22">
        <v>154</v>
      </c>
      <c r="B290" s="550" t="s">
        <v>23</v>
      </c>
      <c r="C290" s="550" t="s">
        <v>1338</v>
      </c>
      <c r="D290" s="551" t="s">
        <v>1729</v>
      </c>
      <c r="E290" s="1042">
        <v>41319</v>
      </c>
      <c r="F290" s="550" t="s">
        <v>1598</v>
      </c>
      <c r="G290" s="895"/>
      <c r="H290" s="550" t="s">
        <v>2029</v>
      </c>
      <c r="I290" s="1119"/>
      <c r="J290" s="100"/>
      <c r="K290" s="951"/>
    </row>
    <row r="291" spans="1:11" s="948" customFormat="1" ht="15" customHeight="1" x14ac:dyDescent="0.3">
      <c r="A291" s="22">
        <v>155</v>
      </c>
      <c r="B291" s="550" t="s">
        <v>23</v>
      </c>
      <c r="C291" s="551" t="s">
        <v>1328</v>
      </c>
      <c r="D291" s="890" t="s">
        <v>1684</v>
      </c>
      <c r="E291" s="1042">
        <v>41346</v>
      </c>
      <c r="F291" s="550" t="s">
        <v>1598</v>
      </c>
      <c r="G291" s="895"/>
      <c r="H291" s="550" t="s">
        <v>2029</v>
      </c>
      <c r="I291" s="1119"/>
      <c r="J291" s="100"/>
      <c r="K291" s="951"/>
    </row>
    <row r="292" spans="1:11" s="948" customFormat="1" ht="15" customHeight="1" x14ac:dyDescent="0.3">
      <c r="A292" s="22">
        <v>156</v>
      </c>
      <c r="B292" s="550" t="s">
        <v>24</v>
      </c>
      <c r="C292" s="550" t="s">
        <v>1924</v>
      </c>
      <c r="D292" s="551" t="s">
        <v>1768</v>
      </c>
      <c r="E292" s="1042">
        <v>41521</v>
      </c>
      <c r="F292" s="550" t="s">
        <v>1598</v>
      </c>
      <c r="G292" s="895"/>
      <c r="H292" s="550" t="s">
        <v>2029</v>
      </c>
      <c r="I292" s="1119"/>
      <c r="J292" s="100"/>
      <c r="K292" s="951"/>
    </row>
    <row r="293" spans="1:11" s="948" customFormat="1" ht="15" customHeight="1" x14ac:dyDescent="0.3">
      <c r="A293" s="22">
        <v>157</v>
      </c>
      <c r="B293" s="550" t="s">
        <v>20</v>
      </c>
      <c r="C293" s="550" t="s">
        <v>1815</v>
      </c>
      <c r="D293" s="551" t="s">
        <v>1785</v>
      </c>
      <c r="E293" s="1042">
        <v>41607</v>
      </c>
      <c r="F293" s="550" t="s">
        <v>1598</v>
      </c>
      <c r="G293" s="895"/>
      <c r="H293" s="550" t="s">
        <v>2029</v>
      </c>
      <c r="I293" s="1119"/>
      <c r="J293" s="100"/>
      <c r="K293" s="951"/>
    </row>
    <row r="294" spans="1:11" s="948" customFormat="1" ht="15" customHeight="1" x14ac:dyDescent="0.3">
      <c r="A294" s="22">
        <v>158</v>
      </c>
      <c r="B294" s="550" t="s">
        <v>23</v>
      </c>
      <c r="C294" s="551" t="s">
        <v>1913</v>
      </c>
      <c r="D294" s="890" t="s">
        <v>1618</v>
      </c>
      <c r="E294" s="1042">
        <v>41626</v>
      </c>
      <c r="F294" s="550" t="s">
        <v>1598</v>
      </c>
      <c r="G294" s="895"/>
      <c r="H294" s="550" t="s">
        <v>2029</v>
      </c>
      <c r="I294" s="1119"/>
      <c r="J294" s="100"/>
      <c r="K294" s="951"/>
    </row>
    <row r="295" spans="1:11" s="948" customFormat="1" ht="15" customHeight="1" x14ac:dyDescent="0.3">
      <c r="A295" s="951"/>
      <c r="B295" s="550"/>
      <c r="C295" s="550"/>
      <c r="D295" s="551"/>
      <c r="E295" s="1100" t="s">
        <v>62</v>
      </c>
      <c r="F295" s="1088"/>
      <c r="G295" s="1087"/>
      <c r="H295" s="1100" t="s">
        <v>1287</v>
      </c>
      <c r="I295" s="1101"/>
      <c r="J295" s="1096"/>
      <c r="K295" s="951"/>
    </row>
    <row r="296" spans="1:11" s="948" customFormat="1" ht="15" customHeight="1" x14ac:dyDescent="0.3">
      <c r="A296" s="951"/>
      <c r="B296" s="550"/>
      <c r="C296" s="550"/>
      <c r="D296" s="551"/>
      <c r="E296" s="1100"/>
      <c r="F296" s="1088"/>
      <c r="G296" s="1087"/>
      <c r="H296" s="1100"/>
      <c r="I296" s="1101"/>
      <c r="J296" s="1096"/>
      <c r="K296" s="951"/>
    </row>
    <row r="297" spans="1:11" s="948" customFormat="1" ht="15" customHeight="1" x14ac:dyDescent="0.35">
      <c r="A297" s="951"/>
      <c r="B297" s="550"/>
      <c r="C297" s="550"/>
      <c r="D297" s="551"/>
      <c r="E297" s="1042"/>
      <c r="F297" s="1093" t="s">
        <v>2033</v>
      </c>
      <c r="G297" s="1117"/>
      <c r="H297" s="1118"/>
      <c r="I297" s="1119"/>
      <c r="J297" s="100"/>
      <c r="K297" s="951"/>
    </row>
    <row r="298" spans="1:11" s="948" customFormat="1" ht="15" customHeight="1" x14ac:dyDescent="0.3">
      <c r="A298" s="22">
        <v>159</v>
      </c>
      <c r="B298" s="550" t="s">
        <v>6</v>
      </c>
      <c r="C298" s="551" t="s">
        <v>1710</v>
      </c>
      <c r="D298" s="890" t="s">
        <v>1616</v>
      </c>
      <c r="E298" s="1042">
        <v>39803</v>
      </c>
      <c r="F298" s="550" t="s">
        <v>1711</v>
      </c>
      <c r="G298" s="951"/>
      <c r="H298" s="1107" t="s">
        <v>2034</v>
      </c>
      <c r="I298" s="1056"/>
      <c r="J298" s="951"/>
      <c r="K298" s="951"/>
    </row>
    <row r="299" spans="1:11" s="948" customFormat="1" ht="15" customHeight="1" x14ac:dyDescent="0.3">
      <c r="A299" s="22">
        <v>160</v>
      </c>
      <c r="B299" s="550" t="s">
        <v>34</v>
      </c>
      <c r="C299" s="551" t="s">
        <v>1712</v>
      </c>
      <c r="D299" s="890" t="s">
        <v>1595</v>
      </c>
      <c r="E299" s="1042">
        <v>39837</v>
      </c>
      <c r="F299" s="550" t="s">
        <v>1711</v>
      </c>
      <c r="G299" s="951"/>
      <c r="H299" s="1107" t="s">
        <v>2034</v>
      </c>
      <c r="I299" s="1056"/>
      <c r="J299" s="951"/>
      <c r="K299" s="951"/>
    </row>
    <row r="300" spans="1:11" s="948" customFormat="1" ht="15" customHeight="1" x14ac:dyDescent="0.3">
      <c r="A300" s="951"/>
      <c r="B300" s="895"/>
      <c r="C300" s="550"/>
      <c r="D300" s="551"/>
      <c r="E300" s="1100" t="s">
        <v>62</v>
      </c>
      <c r="F300" s="1088"/>
      <c r="G300" s="1087"/>
      <c r="H300" s="1100" t="s">
        <v>2035</v>
      </c>
      <c r="I300" s="1101"/>
      <c r="J300" s="1096"/>
      <c r="K300" s="951"/>
    </row>
    <row r="301" spans="1:11" s="948" customFormat="1" ht="15" customHeight="1" x14ac:dyDescent="0.3">
      <c r="A301" s="951"/>
      <c r="B301" s="895"/>
      <c r="C301" s="550"/>
      <c r="D301" s="551"/>
      <c r="E301" s="1100"/>
      <c r="F301" s="1088"/>
      <c r="G301" s="1087"/>
      <c r="H301" s="1100"/>
      <c r="I301" s="1101"/>
      <c r="J301" s="1096"/>
      <c r="K301" s="951"/>
    </row>
    <row r="302" spans="1:11" s="948" customFormat="1" ht="15" customHeight="1" x14ac:dyDescent="0.3">
      <c r="A302" s="951"/>
      <c r="B302" s="895"/>
      <c r="C302" s="550"/>
      <c r="D302" s="551"/>
      <c r="E302" s="1100"/>
      <c r="F302" s="1088"/>
      <c r="G302" s="1087"/>
      <c r="H302" s="1100"/>
      <c r="I302" s="1101"/>
      <c r="J302" s="1096"/>
      <c r="K302" s="951"/>
    </row>
    <row r="303" spans="1:11" s="948" customFormat="1" ht="15" customHeight="1" x14ac:dyDescent="0.3">
      <c r="A303" s="951"/>
      <c r="B303" s="895"/>
      <c r="C303" s="550"/>
      <c r="D303" s="551"/>
      <c r="E303" s="1100"/>
      <c r="F303" s="1088"/>
      <c r="G303" s="1087"/>
      <c r="H303" s="1100"/>
      <c r="I303" s="1101"/>
      <c r="J303" s="1096"/>
      <c r="K303" s="951"/>
    </row>
    <row r="304" spans="1:11" s="948" customFormat="1" ht="15" customHeight="1" x14ac:dyDescent="0.3">
      <c r="A304" s="951"/>
      <c r="B304" s="895"/>
      <c r="C304" s="550"/>
      <c r="D304" s="551"/>
      <c r="E304" s="1100"/>
      <c r="F304" s="1088"/>
      <c r="G304" s="1087"/>
      <c r="H304" s="1100"/>
      <c r="I304" s="1101"/>
      <c r="J304" s="1096"/>
      <c r="K304" s="951"/>
    </row>
    <row r="305" spans="1:11" s="948" customFormat="1" ht="15" customHeight="1" x14ac:dyDescent="0.3">
      <c r="A305" s="951"/>
      <c r="B305" s="895"/>
      <c r="C305" s="550"/>
      <c r="D305" s="551"/>
      <c r="E305" s="1100"/>
      <c r="F305" s="1088"/>
      <c r="G305" s="1087"/>
      <c r="H305" s="1100"/>
      <c r="I305" s="1101"/>
      <c r="J305" s="1096"/>
      <c r="K305" s="951"/>
    </row>
    <row r="306" spans="1:11" s="948" customFormat="1" ht="15" customHeight="1" x14ac:dyDescent="0.3">
      <c r="A306" s="951"/>
      <c r="B306" s="895"/>
      <c r="C306" s="550"/>
      <c r="D306" s="551"/>
      <c r="E306" s="1100"/>
      <c r="F306" s="1088"/>
      <c r="G306" s="1087"/>
      <c r="H306" s="1100"/>
      <c r="I306" s="1101"/>
      <c r="J306" s="1096"/>
      <c r="K306" s="951"/>
    </row>
    <row r="307" spans="1:11" s="948" customFormat="1" ht="15" customHeight="1" x14ac:dyDescent="0.3">
      <c r="A307" s="951"/>
      <c r="B307" s="895"/>
      <c r="C307" s="550"/>
      <c r="D307" s="551"/>
      <c r="E307" s="1100"/>
      <c r="F307" s="1088"/>
      <c r="G307" s="1087"/>
      <c r="H307" s="1100"/>
      <c r="I307" s="1101"/>
      <c r="J307" s="1096"/>
      <c r="K307" s="951"/>
    </row>
    <row r="308" spans="1:11" s="948" customFormat="1" ht="15" customHeight="1" x14ac:dyDescent="0.3">
      <c r="A308" s="951"/>
      <c r="B308" s="895"/>
      <c r="C308" s="550"/>
      <c r="D308" s="551"/>
      <c r="E308" s="1100"/>
      <c r="F308" s="1088"/>
      <c r="G308" s="1087"/>
      <c r="H308" s="1100"/>
      <c r="I308" s="1101"/>
      <c r="J308" s="1096"/>
      <c r="K308" s="951"/>
    </row>
    <row r="309" spans="1:11" s="948" customFormat="1" ht="15" customHeight="1" x14ac:dyDescent="0.3">
      <c r="A309" s="951"/>
      <c r="B309" s="895"/>
      <c r="C309" s="550"/>
      <c r="D309" s="551"/>
      <c r="E309" s="1100"/>
      <c r="F309" s="1088"/>
      <c r="G309" s="1087"/>
      <c r="H309" s="1100"/>
      <c r="I309" s="1101"/>
      <c r="J309" s="1096"/>
      <c r="K309" s="951"/>
    </row>
    <row r="310" spans="1:11" s="948" customFormat="1" ht="15" customHeight="1" x14ac:dyDescent="0.3">
      <c r="A310" s="951"/>
      <c r="B310" s="895"/>
      <c r="C310" s="550"/>
      <c r="D310" s="551"/>
      <c r="E310" s="1100"/>
      <c r="F310" s="1088"/>
      <c r="G310" s="1087"/>
      <c r="H310" s="1100"/>
      <c r="I310" s="1101"/>
      <c r="J310" s="1096"/>
      <c r="K310" s="951"/>
    </row>
    <row r="311" spans="1:11" s="948" customFormat="1" ht="15" customHeight="1" x14ac:dyDescent="0.3">
      <c r="A311" s="951"/>
      <c r="B311" s="895"/>
      <c r="C311" s="550"/>
      <c r="D311" s="551"/>
      <c r="E311" s="1042"/>
      <c r="F311" s="550"/>
      <c r="G311" s="951"/>
      <c r="H311" s="1107"/>
      <c r="I311" s="1056"/>
      <c r="J311" s="951"/>
      <c r="K311" s="951"/>
    </row>
    <row r="312" spans="1:11" s="948" customFormat="1" ht="15" customHeight="1" x14ac:dyDescent="0.3">
      <c r="A312" s="951"/>
      <c r="B312" s="895"/>
      <c r="C312" s="550"/>
      <c r="D312" s="551"/>
      <c r="E312" s="1042"/>
      <c r="F312" s="550"/>
      <c r="G312" s="951"/>
      <c r="H312" s="1107"/>
      <c r="I312" s="1056"/>
      <c r="J312" s="951"/>
      <c r="K312" s="951"/>
    </row>
    <row r="313" spans="1:11" s="948" customFormat="1" ht="15" customHeight="1" x14ac:dyDescent="0.3">
      <c r="A313" s="951"/>
      <c r="B313" s="895"/>
      <c r="C313" s="550"/>
      <c r="D313" s="551"/>
      <c r="E313" s="1042"/>
      <c r="F313" s="550"/>
      <c r="G313" s="951"/>
      <c r="H313" s="1107"/>
      <c r="I313" s="1056"/>
      <c r="J313" s="951"/>
      <c r="K313" s="951"/>
    </row>
    <row r="314" spans="1:11" s="948" customFormat="1" ht="15" customHeight="1" x14ac:dyDescent="0.3">
      <c r="A314" s="951"/>
      <c r="B314" s="895"/>
      <c r="C314" s="550"/>
      <c r="D314" s="551"/>
      <c r="E314" s="1042"/>
      <c r="F314" s="550"/>
      <c r="G314" s="951"/>
      <c r="H314" s="1107"/>
      <c r="I314" s="1056"/>
      <c r="J314" s="951"/>
      <c r="K314" s="951"/>
    </row>
    <row r="315" spans="1:11" s="948" customFormat="1" ht="15" customHeight="1" x14ac:dyDescent="0.3">
      <c r="A315" s="951"/>
      <c r="B315" s="895"/>
      <c r="C315" s="550"/>
      <c r="D315" s="551"/>
      <c r="E315" s="1042"/>
      <c r="F315" s="550"/>
      <c r="G315" s="951"/>
      <c r="H315" s="1107"/>
      <c r="I315" s="1056"/>
      <c r="J315" s="951"/>
      <c r="K315" s="951"/>
    </row>
    <row r="316" spans="1:11" s="948" customFormat="1" ht="15" customHeight="1" x14ac:dyDescent="0.3">
      <c r="A316" s="951"/>
      <c r="B316" s="895"/>
      <c r="C316" s="550"/>
      <c r="D316" s="551"/>
      <c r="E316" s="1042"/>
      <c r="F316" s="550"/>
      <c r="G316" s="951"/>
      <c r="H316" s="1107"/>
      <c r="I316" s="1056"/>
      <c r="J316" s="951"/>
      <c r="K316" s="951"/>
    </row>
    <row r="317" spans="1:11" s="948" customFormat="1" ht="15" customHeight="1" x14ac:dyDescent="0.3">
      <c r="A317" s="951"/>
      <c r="B317" s="895"/>
      <c r="C317" s="550"/>
      <c r="D317" s="551"/>
      <c r="E317" s="1042"/>
      <c r="F317" s="550"/>
      <c r="G317" s="951"/>
      <c r="H317" s="1107"/>
      <c r="I317" s="1056"/>
      <c r="J317" s="951"/>
      <c r="K317" s="951"/>
    </row>
    <row r="318" spans="1:11" s="948" customFormat="1" ht="15" customHeight="1" x14ac:dyDescent="0.3">
      <c r="A318" s="951"/>
      <c r="B318" s="895"/>
      <c r="C318" s="550"/>
      <c r="D318" s="551"/>
      <c r="E318" s="1042"/>
      <c r="F318" s="550"/>
      <c r="G318" s="951"/>
      <c r="H318" s="1107"/>
      <c r="I318" s="1056"/>
      <c r="J318" s="951"/>
      <c r="K318" s="951"/>
    </row>
    <row r="319" spans="1:11" s="948" customFormat="1" ht="15" customHeight="1" x14ac:dyDescent="0.3">
      <c r="A319" s="951"/>
      <c r="B319" s="895"/>
      <c r="C319" s="550"/>
      <c r="D319" s="551"/>
      <c r="E319" s="1042"/>
      <c r="F319" s="550"/>
      <c r="G319" s="951"/>
      <c r="H319" s="1107"/>
      <c r="I319" s="1056"/>
      <c r="J319" s="951"/>
      <c r="K319" s="951"/>
    </row>
    <row r="320" spans="1:11" s="948" customFormat="1" ht="15" customHeight="1" x14ac:dyDescent="0.3">
      <c r="A320" s="951"/>
      <c r="B320" s="895"/>
      <c r="C320" s="550"/>
      <c r="D320" s="551"/>
      <c r="E320" s="1042"/>
      <c r="F320" s="550"/>
      <c r="G320" s="951"/>
      <c r="H320" s="1107"/>
      <c r="I320" s="1056"/>
      <c r="J320" s="951"/>
      <c r="K320" s="951"/>
    </row>
    <row r="321" spans="1:11" s="948" customFormat="1" ht="15" customHeight="1" x14ac:dyDescent="0.3">
      <c r="A321" s="951"/>
      <c r="B321" s="895"/>
      <c r="C321" s="550"/>
      <c r="D321" s="551"/>
      <c r="E321" s="1042"/>
      <c r="F321" s="550"/>
      <c r="G321" s="951"/>
      <c r="H321" s="1107"/>
      <c r="I321" s="1056"/>
      <c r="J321" s="951"/>
      <c r="K321" s="951"/>
    </row>
    <row r="322" spans="1:11" s="948" customFormat="1" ht="15" customHeight="1" x14ac:dyDescent="0.3">
      <c r="A322" s="951"/>
      <c r="B322" s="895"/>
      <c r="C322" s="550"/>
      <c r="D322" s="551"/>
      <c r="E322" s="1042"/>
      <c r="F322" s="550"/>
      <c r="G322" s="951"/>
      <c r="H322" s="1107"/>
      <c r="I322" s="1056"/>
      <c r="J322" s="951"/>
      <c r="K322" s="951"/>
    </row>
    <row r="323" spans="1:11" s="948" customFormat="1" ht="15" customHeight="1" x14ac:dyDescent="0.3">
      <c r="A323" s="951"/>
      <c r="B323" s="895"/>
      <c r="C323" s="550"/>
      <c r="D323" s="551"/>
      <c r="E323" s="1042"/>
      <c r="F323" s="550"/>
      <c r="G323" s="951"/>
      <c r="H323" s="1107"/>
      <c r="I323" s="1056"/>
      <c r="J323" s="951"/>
      <c r="K323" s="951"/>
    </row>
    <row r="324" spans="1:11" s="948" customFormat="1" ht="15" customHeight="1" x14ac:dyDescent="0.3">
      <c r="A324" s="951"/>
      <c r="B324" s="895"/>
      <c r="C324" s="550"/>
      <c r="D324" s="551"/>
      <c r="E324" s="1042"/>
      <c r="F324" s="550"/>
      <c r="G324" s="951"/>
      <c r="H324" s="1107"/>
      <c r="I324" s="1065"/>
      <c r="J324" s="951"/>
      <c r="K324" s="951"/>
    </row>
    <row r="325" spans="1:11" s="948" customFormat="1" ht="15" customHeight="1" x14ac:dyDescent="0.3">
      <c r="A325" s="951"/>
      <c r="B325" s="895"/>
      <c r="C325" s="550"/>
      <c r="D325" s="551"/>
      <c r="E325" s="1042"/>
      <c r="F325" s="550"/>
      <c r="G325" s="951"/>
      <c r="H325" s="1107"/>
      <c r="I325" s="1065"/>
      <c r="J325" s="951"/>
      <c r="K325" s="951"/>
    </row>
    <row r="326" spans="1:11" s="948" customFormat="1" ht="15" customHeight="1" x14ac:dyDescent="0.3">
      <c r="A326" s="951"/>
      <c r="B326" s="895"/>
      <c r="C326" s="550"/>
      <c r="D326" s="551"/>
      <c r="E326" s="1042"/>
      <c r="F326" s="550"/>
      <c r="G326" s="951"/>
      <c r="H326" s="1107"/>
      <c r="I326" s="1065"/>
      <c r="J326" s="951"/>
      <c r="K326" s="951"/>
    </row>
    <row r="327" spans="1:11" s="948" customFormat="1" ht="15" customHeight="1" x14ac:dyDescent="0.3">
      <c r="A327" s="951"/>
      <c r="B327" s="895"/>
      <c r="C327" s="550"/>
      <c r="D327" s="551"/>
      <c r="E327" s="1042"/>
      <c r="F327" s="550"/>
      <c r="G327" s="951"/>
      <c r="H327" s="1107"/>
      <c r="I327" s="1065"/>
      <c r="J327" s="951"/>
      <c r="K327" s="951"/>
    </row>
    <row r="328" spans="1:11" s="948" customFormat="1" ht="15" customHeight="1" x14ac:dyDescent="0.3">
      <c r="A328" s="951"/>
      <c r="B328" s="895"/>
      <c r="C328" s="550"/>
      <c r="D328" s="551"/>
      <c r="E328" s="1042"/>
      <c r="F328" s="550"/>
      <c r="G328" s="951"/>
      <c r="H328" s="1107"/>
      <c r="I328" s="1065"/>
      <c r="J328" s="951"/>
      <c r="K328" s="951"/>
    </row>
    <row r="329" spans="1:11" s="948" customFormat="1" ht="15" customHeight="1" x14ac:dyDescent="0.3">
      <c r="A329" s="951"/>
      <c r="B329" s="895"/>
      <c r="C329" s="550"/>
      <c r="D329" s="551"/>
      <c r="E329" s="1042"/>
      <c r="F329" s="550"/>
      <c r="G329" s="951"/>
      <c r="H329" s="1107"/>
      <c r="I329" s="1065"/>
      <c r="J329" s="951"/>
      <c r="K329" s="951"/>
    </row>
    <row r="330" spans="1:11" s="948" customFormat="1" ht="15" customHeight="1" x14ac:dyDescent="0.3">
      <c r="A330" s="951"/>
      <c r="B330" s="895"/>
      <c r="C330" s="550"/>
      <c r="D330" s="551"/>
      <c r="E330" s="1042"/>
      <c r="F330" s="550"/>
      <c r="G330" s="951"/>
      <c r="H330" s="1107"/>
      <c r="I330" s="1065"/>
      <c r="J330" s="951"/>
      <c r="K330" s="951"/>
    </row>
    <row r="331" spans="1:11" s="948" customFormat="1" ht="15" customHeight="1" x14ac:dyDescent="0.3">
      <c r="A331" s="951"/>
      <c r="B331" s="895"/>
      <c r="C331" s="550"/>
      <c r="D331" s="551"/>
      <c r="E331" s="1042"/>
      <c r="F331" s="550"/>
      <c r="G331" s="951"/>
      <c r="H331" s="1107"/>
      <c r="I331" s="1065"/>
      <c r="J331" s="951"/>
      <c r="K331" s="951"/>
    </row>
    <row r="332" spans="1:11" s="948" customFormat="1" ht="15" customHeight="1" x14ac:dyDescent="0.3">
      <c r="A332" s="951"/>
      <c r="B332" s="895"/>
      <c r="C332" s="550"/>
      <c r="D332" s="551"/>
      <c r="E332" s="1042"/>
      <c r="F332" s="550"/>
      <c r="G332" s="951"/>
      <c r="H332" s="1107"/>
      <c r="I332" s="1065"/>
      <c r="J332" s="951"/>
      <c r="K332" s="951"/>
    </row>
    <row r="333" spans="1:11" s="948" customFormat="1" ht="15" customHeight="1" x14ac:dyDescent="0.3">
      <c r="A333" s="951"/>
      <c r="B333" s="895"/>
      <c r="C333" s="550"/>
      <c r="D333" s="551"/>
      <c r="E333" s="1042"/>
      <c r="F333" s="550"/>
      <c r="G333" s="951"/>
      <c r="H333" s="1107"/>
      <c r="I333" s="1065"/>
      <c r="J333" s="951"/>
      <c r="K333" s="951"/>
    </row>
    <row r="334" spans="1:11" s="948" customFormat="1" ht="15" customHeight="1" x14ac:dyDescent="0.3">
      <c r="A334" s="951"/>
      <c r="B334" s="895"/>
      <c r="C334" s="550"/>
      <c r="D334" s="551"/>
      <c r="E334" s="1042"/>
      <c r="F334" s="550"/>
      <c r="G334" s="951"/>
      <c r="H334" s="1107"/>
      <c r="I334" s="1065"/>
      <c r="J334" s="951"/>
      <c r="K334" s="951"/>
    </row>
    <row r="335" spans="1:11" s="948" customFormat="1" ht="15" customHeight="1" x14ac:dyDescent="0.3">
      <c r="A335" s="951"/>
      <c r="B335" s="895"/>
      <c r="C335" s="550"/>
      <c r="D335" s="551"/>
      <c r="E335" s="1042"/>
      <c r="F335" s="550"/>
      <c r="G335" s="951"/>
      <c r="H335" s="1107"/>
      <c r="I335" s="1065"/>
      <c r="J335" s="951"/>
      <c r="K335" s="951"/>
    </row>
    <row r="336" spans="1:11" s="948" customFormat="1" ht="15" customHeight="1" x14ac:dyDescent="0.3">
      <c r="A336" s="951"/>
      <c r="B336" s="895"/>
      <c r="C336" s="550"/>
      <c r="D336" s="551"/>
      <c r="E336" s="1042"/>
      <c r="F336" s="550"/>
      <c r="G336" s="951"/>
      <c r="H336" s="1107"/>
      <c r="I336" s="1056"/>
      <c r="J336" s="951"/>
      <c r="K336" s="951"/>
    </row>
    <row r="337" spans="1:11" s="948" customFormat="1" ht="15" customHeight="1" x14ac:dyDescent="0.3">
      <c r="A337" s="951"/>
      <c r="B337" s="895"/>
      <c r="C337" s="550"/>
      <c r="D337" s="551"/>
      <c r="E337" s="1042"/>
      <c r="F337" s="550"/>
      <c r="G337" s="951"/>
      <c r="H337" s="1107"/>
      <c r="I337" s="1065"/>
      <c r="J337" s="951"/>
      <c r="K337" s="951"/>
    </row>
    <row r="338" spans="1:11" s="948" customFormat="1" ht="15" customHeight="1" x14ac:dyDescent="0.3">
      <c r="A338" s="951"/>
      <c r="B338" s="895"/>
      <c r="C338" s="550"/>
      <c r="D338" s="551"/>
      <c r="E338" s="1042"/>
      <c r="F338" s="550"/>
      <c r="G338" s="951"/>
      <c r="H338" s="1107"/>
      <c r="I338" s="1065"/>
      <c r="J338" s="951"/>
      <c r="K338" s="951"/>
    </row>
    <row r="339" spans="1:11" s="948" customFormat="1" ht="15" customHeight="1" x14ac:dyDescent="0.3">
      <c r="A339" s="951"/>
      <c r="B339" s="895"/>
      <c r="C339" s="550"/>
      <c r="D339" s="551"/>
      <c r="E339" s="1042"/>
      <c r="F339" s="550"/>
      <c r="G339" s="951"/>
      <c r="H339" s="1107"/>
      <c r="I339" s="1065"/>
      <c r="J339" s="951"/>
      <c r="K339" s="951"/>
    </row>
    <row r="340" spans="1:11" s="948" customFormat="1" ht="15" customHeight="1" x14ac:dyDescent="0.3">
      <c r="A340" s="1206" t="s">
        <v>1993</v>
      </c>
      <c r="B340" s="1206"/>
      <c r="C340" s="1206"/>
      <c r="D340" s="1206"/>
      <c r="E340" s="1206"/>
      <c r="F340" s="1206"/>
      <c r="G340" s="1206"/>
      <c r="H340" s="1206"/>
      <c r="I340" s="1206"/>
      <c r="J340" s="1206"/>
      <c r="K340" s="951"/>
    </row>
    <row r="341" spans="1:11" s="948" customFormat="1" ht="15" customHeight="1" x14ac:dyDescent="0.3">
      <c r="A341" s="1169" t="s">
        <v>1994</v>
      </c>
      <c r="B341" s="1169"/>
      <c r="C341" s="1169"/>
      <c r="D341" s="1169"/>
      <c r="E341" s="1169"/>
      <c r="F341" s="1169"/>
      <c r="G341" s="1169"/>
      <c r="H341" s="1169"/>
      <c r="I341" s="1169"/>
      <c r="J341" s="1169"/>
      <c r="K341" s="951"/>
    </row>
    <row r="342" spans="1:11" s="948" customFormat="1" ht="22.8" customHeight="1" x14ac:dyDescent="0.3">
      <c r="A342" s="1204" t="s">
        <v>1949</v>
      </c>
      <c r="B342" s="1204"/>
      <c r="C342" s="1204"/>
      <c r="D342" s="1204"/>
      <c r="E342" s="1204"/>
      <c r="F342" s="1204"/>
      <c r="G342" s="1204"/>
      <c r="H342" s="1204"/>
      <c r="I342" s="1204"/>
      <c r="J342" s="1204"/>
      <c r="K342" s="951"/>
    </row>
    <row r="343" spans="1:11" s="948" customFormat="1" ht="25.2" customHeight="1" x14ac:dyDescent="0.3">
      <c r="A343" s="1170" t="s">
        <v>1397</v>
      </c>
      <c r="B343" s="1170"/>
      <c r="C343" s="1170"/>
      <c r="D343" s="1170"/>
      <c r="E343" s="1170"/>
      <c r="F343" s="1170"/>
      <c r="G343" s="1170"/>
      <c r="H343" s="1170"/>
      <c r="I343" s="1170"/>
      <c r="J343" s="1170"/>
      <c r="K343" s="1170"/>
    </row>
    <row r="344" spans="1:11" s="948" customFormat="1" ht="15" customHeight="1" x14ac:dyDescent="0.3">
      <c r="A344" s="1205" t="s">
        <v>1589</v>
      </c>
      <c r="B344" s="1205"/>
      <c r="C344" s="1205"/>
      <c r="D344" s="83"/>
      <c r="E344" s="89"/>
      <c r="F344" s="83"/>
      <c r="G344" s="1199" t="s">
        <v>1996</v>
      </c>
      <c r="H344" s="1199"/>
      <c r="I344" s="1199"/>
      <c r="J344" s="1199"/>
      <c r="K344" s="1199"/>
    </row>
    <row r="345" spans="1:11" s="948" customFormat="1" ht="19.8" customHeight="1" x14ac:dyDescent="0.3">
      <c r="A345" s="1198" t="s">
        <v>1422</v>
      </c>
      <c r="B345" s="1198"/>
      <c r="C345" s="1198"/>
      <c r="D345" s="1198"/>
      <c r="E345" s="1198"/>
      <c r="F345" s="1198"/>
      <c r="G345" s="1198"/>
      <c r="H345" s="1198"/>
      <c r="I345" s="1198"/>
      <c r="J345" s="1198"/>
      <c r="K345" s="1198"/>
    </row>
    <row r="346" spans="1:11" s="948" customFormat="1" ht="15" customHeight="1" x14ac:dyDescent="0.3">
      <c r="A346" s="1183" t="s">
        <v>26</v>
      </c>
      <c r="B346" s="1185" t="s">
        <v>16</v>
      </c>
      <c r="C346" s="1187" t="s">
        <v>3</v>
      </c>
      <c r="D346" s="1188"/>
      <c r="E346" s="1185" t="s">
        <v>1948</v>
      </c>
      <c r="F346" s="1187" t="s">
        <v>17</v>
      </c>
      <c r="G346" s="1188"/>
      <c r="H346" s="1191" t="s">
        <v>27</v>
      </c>
      <c r="I346" s="1192"/>
      <c r="J346" s="1193" t="s">
        <v>1379</v>
      </c>
      <c r="K346" s="951"/>
    </row>
    <row r="347" spans="1:11" s="919" customFormat="1" ht="21.6" customHeight="1" x14ac:dyDescent="0.3">
      <c r="A347" s="1184"/>
      <c r="B347" s="1186"/>
      <c r="C347" s="1189"/>
      <c r="D347" s="1190"/>
      <c r="E347" s="1186"/>
      <c r="F347" s="1189"/>
      <c r="G347" s="1190"/>
      <c r="H347" s="931" t="s">
        <v>29</v>
      </c>
      <c r="I347" s="931" t="s">
        <v>30</v>
      </c>
      <c r="J347" s="1194"/>
      <c r="K347" s="1060"/>
    </row>
    <row r="348" spans="1:11" s="948" customFormat="1" ht="12" customHeight="1" x14ac:dyDescent="0.3">
      <c r="A348" s="1140"/>
      <c r="B348" s="1063"/>
      <c r="C348" s="1141"/>
      <c r="D348" s="1141"/>
      <c r="E348" s="1063"/>
      <c r="F348" s="1141"/>
      <c r="G348" s="1141"/>
      <c r="H348" s="1142"/>
      <c r="I348" s="1142"/>
      <c r="J348" s="1063"/>
      <c r="K348" s="1060"/>
    </row>
    <row r="349" spans="1:11" ht="21" customHeight="1" x14ac:dyDescent="0.3">
      <c r="A349" s="374"/>
      <c r="B349" s="374"/>
      <c r="C349" s="928" t="s">
        <v>1592</v>
      </c>
      <c r="D349" s="374"/>
      <c r="E349" s="374"/>
      <c r="F349" s="374"/>
      <c r="G349" s="374"/>
      <c r="H349" s="929"/>
      <c r="I349" s="988"/>
      <c r="J349" s="888"/>
      <c r="K349" s="1064"/>
    </row>
    <row r="350" spans="1:11" ht="13.8" customHeight="1" x14ac:dyDescent="0.3">
      <c r="A350" s="880"/>
      <c r="B350" s="880"/>
      <c r="C350" s="880"/>
      <c r="D350" s="880"/>
      <c r="E350" s="880"/>
      <c r="F350" s="880"/>
      <c r="G350" s="880"/>
      <c r="H350" s="880"/>
      <c r="I350" s="880"/>
      <c r="J350" s="300"/>
      <c r="K350" s="1182"/>
    </row>
    <row r="351" spans="1:11" x14ac:dyDescent="0.3">
      <c r="A351" s="1086">
        <v>1</v>
      </c>
      <c r="B351" s="550" t="s">
        <v>34</v>
      </c>
      <c r="C351" s="551" t="s">
        <v>1673</v>
      </c>
      <c r="D351" s="890" t="s">
        <v>1674</v>
      </c>
      <c r="E351" s="1042">
        <v>41526</v>
      </c>
      <c r="F351" s="550" t="s">
        <v>1381</v>
      </c>
      <c r="G351" s="895"/>
      <c r="H351" s="550"/>
      <c r="I351" s="1025">
        <v>23.83</v>
      </c>
      <c r="J351" s="1085" t="str">
        <f>IF(ISBLANK(I351)," ",IF(ISTEXT(I351)," ",IF(I351&lt;=[2]Нормативы!$H$27,"КМС",IF(I351&lt;=[2]Нормативы!$H$28,"КМС",IF(I351&lt;=[2]Нормативы!$L$29,"КМС",IF(I351&lt;=[2]Нормативы!$L$30,"I",IF(I351&lt;=[2]Нормативы!$L$31,"II",IF(I351&lt;=[2]Нормативы!$L$32,"III",IF(I351&lt;=[2]Нормативы!$L$33,"I юн",IF(I351&lt;=[2]Нормативы!$L$34,"II юн",IF(I351&lt;=[2]Нормативы!$L$35,"III юн","б/р")))))))))))</f>
        <v>КМС</v>
      </c>
      <c r="K351" s="1182"/>
    </row>
    <row r="352" spans="1:11" ht="16.8" hidden="1" customHeight="1" x14ac:dyDescent="0.3">
      <c r="A352" s="1086">
        <v>2</v>
      </c>
      <c r="B352" s="550" t="s">
        <v>6</v>
      </c>
      <c r="C352" s="551" t="s">
        <v>1686</v>
      </c>
      <c r="D352" s="890" t="s">
        <v>1687</v>
      </c>
      <c r="E352" s="1042">
        <v>41302</v>
      </c>
      <c r="F352" s="550" t="s">
        <v>1654</v>
      </c>
      <c r="G352" s="895"/>
      <c r="H352" s="550"/>
      <c r="I352" s="1025">
        <v>24.12</v>
      </c>
      <c r="J352" s="1085" t="str">
        <f>IF(ISBLANK(I352)," ",IF(ISTEXT(I352)," ",IF(I352&lt;=[2]Нормативы!$H$27,"КМС",IF(I352&lt;=[2]Нормативы!$H$28,"КМС",IF(I352&lt;=[2]Нормативы!$L$29,"КМС",IF(I352&lt;=[2]Нормативы!$L$30,"I",IF(I352&lt;=[2]Нормативы!$L$31,"II",IF(I352&lt;=[2]Нормативы!$L$32,"III",IF(I352&lt;=[2]Нормативы!$L$33,"I юн",IF(I352&lt;=[2]Нормативы!$L$34,"II юн",IF(I352&lt;=[2]Нормативы!$L$35,"III юн","б/р")))))))))))</f>
        <v>КМС</v>
      </c>
      <c r="K352" s="102"/>
    </row>
    <row r="353" spans="1:12" ht="15.6" customHeight="1" x14ac:dyDescent="0.3">
      <c r="A353" s="1086">
        <v>2</v>
      </c>
      <c r="B353" s="550" t="s">
        <v>6</v>
      </c>
      <c r="C353" s="550" t="s">
        <v>1686</v>
      </c>
      <c r="D353" s="7" t="s">
        <v>1687</v>
      </c>
      <c r="E353" s="1042">
        <v>41302</v>
      </c>
      <c r="F353" s="550" t="s">
        <v>1654</v>
      </c>
      <c r="G353" s="550"/>
      <c r="H353" s="550"/>
      <c r="I353" s="1025">
        <v>24.12</v>
      </c>
      <c r="J353" s="1085" t="str">
        <f>IF(ISBLANK(I353)," ",IF(ISTEXT(I353)," ",IF(I353&lt;=[2]Нормативы!$H$27,"КМС",IF(I353&lt;=[2]Нормативы!$H$28,"КМС",IF(I353&lt;=[2]Нормативы!$L$29,"КМС",IF(I353&lt;=[2]Нормативы!$L$30,"I",IF(I353&lt;=[2]Нормативы!$L$31,"II",IF(I353&lt;=[2]Нормативы!$L$32,"III",IF(I353&lt;=[2]Нормативы!$L$33,"I юн",IF(I353&lt;=[2]Нормативы!$L$34,"II юн",IF(I353&lt;=[2]Нормативы!$L$35,"III юн","б/р")))))))))))</f>
        <v>КМС</v>
      </c>
      <c r="K353" s="880"/>
    </row>
    <row r="354" spans="1:12" x14ac:dyDescent="0.3">
      <c r="A354" s="1086">
        <v>3</v>
      </c>
      <c r="B354" s="550" t="s">
        <v>6</v>
      </c>
      <c r="C354" s="551" t="s">
        <v>1690</v>
      </c>
      <c r="D354" s="551" t="s">
        <v>1636</v>
      </c>
      <c r="E354" s="1042">
        <v>41010</v>
      </c>
      <c r="F354" s="550" t="s">
        <v>1596</v>
      </c>
      <c r="G354" s="895"/>
      <c r="H354" s="550"/>
      <c r="I354" s="1025">
        <v>24.12</v>
      </c>
      <c r="J354" s="1085" t="str">
        <f>IF(ISBLANK(I354)," ",IF(ISTEXT(I354)," ",IF(I354&lt;=[2]Нормативы!$H$27,"КМС",IF(I354&lt;=[2]Нормативы!$H$28,"КМС",IF(I354&lt;=[2]Нормативы!$L$29,"КМС",IF(I354&lt;=[2]Нормативы!$L$30,"I",IF(I354&lt;=[2]Нормативы!$L$31,"II",IF(I354&lt;=[2]Нормативы!$L$32,"III",IF(I354&lt;=[2]Нормативы!$L$33,"I юн",IF(I354&lt;=[2]Нормативы!$L$34,"II юн",IF(I354&lt;=[2]Нормативы!$L$35,"III юн","б/р")))))))))))</f>
        <v>КМС</v>
      </c>
      <c r="K354" s="1025"/>
    </row>
    <row r="355" spans="1:12" x14ac:dyDescent="0.3">
      <c r="A355" s="1086">
        <v>4</v>
      </c>
      <c r="B355" s="550" t="s">
        <v>6</v>
      </c>
      <c r="C355" s="551" t="s">
        <v>1688</v>
      </c>
      <c r="D355" s="890" t="s">
        <v>1689</v>
      </c>
      <c r="E355" s="1042">
        <v>40997</v>
      </c>
      <c r="F355" s="550" t="s">
        <v>1596</v>
      </c>
      <c r="G355" s="895"/>
      <c r="H355" s="550"/>
      <c r="I355" s="1025">
        <v>24.12</v>
      </c>
      <c r="J355" s="1085" t="str">
        <f>IF(ISBLANK(I355)," ",IF(ISTEXT(I355)," ",IF(I355&lt;=[2]Нормативы!$H$27,"КМС",IF(I355&lt;=[2]Нормативы!$H$28,"КМС",IF(I355&lt;=[2]Нормативы!$L$29,"КМС",IF(I355&lt;=[2]Нормативы!$L$30,"I",IF(I355&lt;=[2]Нормативы!$L$31,"II",IF(I355&lt;=[2]Нормативы!$L$32,"III",IF(I355&lt;=[2]Нормативы!$L$33,"I юн",IF(I355&lt;=[2]Нормативы!$L$34,"II юн",IF(I355&lt;=[2]Нормативы!$L$35,"III юн","б/р")))))))))))</f>
        <v>КМС</v>
      </c>
      <c r="K355" s="976"/>
    </row>
    <row r="356" spans="1:12" x14ac:dyDescent="0.3">
      <c r="A356" s="1086">
        <v>5</v>
      </c>
      <c r="B356" s="550" t="s">
        <v>6</v>
      </c>
      <c r="C356" s="551" t="s">
        <v>1691</v>
      </c>
      <c r="D356" s="7" t="s">
        <v>1616</v>
      </c>
      <c r="E356" s="1042">
        <v>41165</v>
      </c>
      <c r="F356" s="550" t="s">
        <v>1596</v>
      </c>
      <c r="G356" s="895"/>
      <c r="H356" s="550"/>
      <c r="I356" s="1025">
        <v>24.58</v>
      </c>
      <c r="J356" s="1085" t="str">
        <f>IF(ISBLANK(I356)," ",IF(ISTEXT(I356)," ",IF(I356&lt;=[2]Нормативы!$H$27,"КМС",IF(I356&lt;=[2]Нормативы!$H$28,"КМС",IF(I356&lt;=[2]Нормативы!$L$29,"КМС",IF(I356&lt;=[2]Нормативы!$L$30,"I",IF(I356&lt;=[2]Нормативы!$L$31,"II",IF(I356&lt;=[2]Нормативы!$L$32,"III",IF(I356&lt;=[2]Нормативы!$L$33,"I юн",IF(I356&lt;=[2]Нормативы!$L$34,"II юн",IF(I356&lt;=[2]Нормативы!$L$35,"III юн","б/р")))))))))))</f>
        <v>I</v>
      </c>
      <c r="K356" s="1025"/>
    </row>
    <row r="357" spans="1:12" x14ac:dyDescent="0.3">
      <c r="A357" s="1086">
        <v>6</v>
      </c>
      <c r="B357" s="550" t="s">
        <v>23</v>
      </c>
      <c r="C357" s="24" t="s">
        <v>1682</v>
      </c>
      <c r="D357" s="890" t="s">
        <v>1613</v>
      </c>
      <c r="E357" s="1043">
        <v>41449</v>
      </c>
      <c r="F357" s="550" t="s">
        <v>1430</v>
      </c>
      <c r="G357" s="895"/>
      <c r="H357" s="550"/>
      <c r="I357" s="1025">
        <v>26.42</v>
      </c>
      <c r="J357" s="1085" t="str">
        <f>IF(ISBLANK(I357)," ",IF(ISTEXT(I357)," ",IF(I357&lt;=[2]Нормативы!$H$27,"КМС",IF(I357&lt;=[2]Нормативы!$H$28,"КМС",IF(I357&lt;=[2]Нормативы!$L$29,"КМС",IF(I357&lt;=[2]Нормативы!$L$30,"I",IF(I357&lt;=[2]Нормативы!$L$31,"II",IF(I357&lt;=[2]Нормативы!$L$32,"III",IF(I357&lt;=[2]Нормативы!$L$33,"I юн",IF(I357&lt;=[2]Нормативы!$L$34,"II юн",IF(I357&lt;=[2]Нормативы!$L$35,"III юн","б/р")))))))))))</f>
        <v>II</v>
      </c>
      <c r="K357" s="976"/>
    </row>
    <row r="358" spans="1:12" x14ac:dyDescent="0.3">
      <c r="A358" s="1086">
        <v>7</v>
      </c>
      <c r="B358" s="550" t="s">
        <v>23</v>
      </c>
      <c r="C358" s="551" t="s">
        <v>1683</v>
      </c>
      <c r="D358" s="890" t="s">
        <v>1613</v>
      </c>
      <c r="E358" s="1042">
        <v>41302</v>
      </c>
      <c r="F358" s="550" t="s">
        <v>1634</v>
      </c>
      <c r="G358" s="895"/>
      <c r="H358" s="550"/>
      <c r="I358" s="1025">
        <v>26.49</v>
      </c>
      <c r="J358" s="1085" t="str">
        <f>IF(ISBLANK(I358)," ",IF(ISTEXT(I358)," ",IF(I358&lt;=[2]Нормативы!$H$27,"КМС",IF(I358&lt;=[2]Нормативы!$H$28,"КМС",IF(I358&lt;=[2]Нормативы!$L$29,"КМС",IF(I358&lt;=[2]Нормативы!$L$30,"I",IF(I358&lt;=[2]Нормативы!$L$31,"II",IF(I358&lt;=[2]Нормативы!$L$32,"III",IF(I358&lt;=[2]Нормативы!$L$33,"I юн",IF(I358&lt;=[2]Нормативы!$L$34,"II юн",IF(I358&lt;=[2]Нормативы!$L$35,"III юн","б/р")))))))))))</f>
        <v>II</v>
      </c>
      <c r="K358" s="976"/>
    </row>
    <row r="359" spans="1:12" x14ac:dyDescent="0.3">
      <c r="A359" s="1086">
        <v>8</v>
      </c>
      <c r="B359" s="550" t="s">
        <v>23</v>
      </c>
      <c r="C359" s="551" t="s">
        <v>1328</v>
      </c>
      <c r="D359" s="890" t="s">
        <v>1684</v>
      </c>
      <c r="E359" s="1042">
        <v>41346</v>
      </c>
      <c r="F359" s="550" t="s">
        <v>1598</v>
      </c>
      <c r="G359" s="895"/>
      <c r="H359" s="550"/>
      <c r="I359" s="1025">
        <v>26.57</v>
      </c>
      <c r="J359" s="1085" t="str">
        <f>IF(ISBLANK(I359)," ",IF(ISTEXT(I359)," ",IF(I359&lt;=[2]Нормативы!$H$27,"КМС",IF(I359&lt;=[2]Нормативы!$H$28,"КМС",IF(I359&lt;=[2]Нормативы!$L$29,"КМС",IF(I359&lt;=[2]Нормативы!$L$30,"I",IF(I359&lt;=[2]Нормативы!$L$31,"II",IF(I359&lt;=[2]Нормативы!$L$32,"III",IF(I359&lt;=[2]Нормативы!$L$33,"I юн",IF(I359&lt;=[2]Нормативы!$L$34,"II юн",IF(I359&lt;=[2]Нормативы!$L$35,"III юн","б/р")))))))))))</f>
        <v>II</v>
      </c>
      <c r="K359" s="976"/>
    </row>
    <row r="360" spans="1:12" x14ac:dyDescent="0.3">
      <c r="A360" s="1086">
        <v>9</v>
      </c>
      <c r="B360" s="550" t="s">
        <v>23</v>
      </c>
      <c r="C360" s="551" t="s">
        <v>1681</v>
      </c>
      <c r="D360" s="890" t="s">
        <v>1630</v>
      </c>
      <c r="E360" s="1042">
        <v>41186</v>
      </c>
      <c r="F360" s="550" t="s">
        <v>1381</v>
      </c>
      <c r="G360" s="895"/>
      <c r="H360" s="550"/>
      <c r="I360" s="1025">
        <v>26.82</v>
      </c>
      <c r="J360" s="1085" t="str">
        <f>IF(ISBLANK(I360)," ",IF(ISTEXT(I360)," ",IF(I360&lt;=[2]Нормативы!$H$27,"КМС",IF(I360&lt;=[2]Нормативы!$H$28,"КМС",IF(I360&lt;=[2]Нормативы!$L$29,"КМС",IF(I360&lt;=[2]Нормативы!$L$30,"I",IF(I360&lt;=[2]Нормативы!$L$31,"II",IF(I360&lt;=[2]Нормативы!$L$32,"III",IF(I360&lt;=[2]Нормативы!$L$33,"I юн",IF(I360&lt;=[2]Нормативы!$L$34,"II юн",IF(I360&lt;=[2]Нормативы!$L$35,"III юн","б/р")))))))))))</f>
        <v>II</v>
      </c>
      <c r="K360" s="976"/>
    </row>
    <row r="361" spans="1:12" x14ac:dyDescent="0.3">
      <c r="A361" s="1086">
        <v>10</v>
      </c>
      <c r="B361" s="550" t="s">
        <v>23</v>
      </c>
      <c r="C361" s="551" t="s">
        <v>1685</v>
      </c>
      <c r="D361" s="890" t="s">
        <v>1668</v>
      </c>
      <c r="E361" s="1042">
        <v>40988</v>
      </c>
      <c r="F361" s="550" t="s">
        <v>1634</v>
      </c>
      <c r="G361" s="895"/>
      <c r="H361" s="550"/>
      <c r="I361" s="1025">
        <v>27.22</v>
      </c>
      <c r="J361" s="1085" t="str">
        <f>IF(ISBLANK(I361)," ",IF(ISTEXT(I361)," ",IF(I361&lt;=[2]Нормативы!$H$27,"КМС",IF(I361&lt;=[2]Нормативы!$H$28,"КМС",IF(I361&lt;=[2]Нормативы!$L$29,"КМС",IF(I361&lt;=[2]Нормативы!$L$30,"I",IF(I361&lt;=[2]Нормативы!$L$31,"II",IF(I361&lt;=[2]Нормативы!$L$32,"III",IF(I361&lt;=[2]Нормативы!$L$33,"I юн",IF(I361&lt;=[2]Нормативы!$L$34,"II юн",IF(I361&lt;=[2]Нормативы!$L$35,"III юн","б/р")))))))))))</f>
        <v>II</v>
      </c>
      <c r="K361" s="880"/>
    </row>
    <row r="362" spans="1:12" x14ac:dyDescent="0.3">
      <c r="A362" s="1086">
        <v>11</v>
      </c>
      <c r="B362" s="550" t="s">
        <v>24</v>
      </c>
      <c r="C362" s="551" t="s">
        <v>1672</v>
      </c>
      <c r="D362" s="890" t="s">
        <v>1603</v>
      </c>
      <c r="E362" s="1042">
        <v>41347</v>
      </c>
      <c r="F362" s="550" t="s">
        <v>1634</v>
      </c>
      <c r="G362" s="895"/>
      <c r="H362" s="550"/>
      <c r="I362" s="1025">
        <v>27.45</v>
      </c>
      <c r="J362" s="1085" t="str">
        <f>IF(ISBLANK(I362)," ",IF(ISTEXT(I362)," ",IF(I362&lt;=[2]Нормативы!$H$27,"КМС",IF(I362&lt;=[2]Нормативы!$H$28,"КМС",IF(I362&lt;=[2]Нормативы!$L$29,"КМС",IF(I362&lt;=[2]Нормативы!$L$30,"I",IF(I362&lt;=[2]Нормативы!$L$31,"II",IF(I362&lt;=[2]Нормативы!$L$32,"III",IF(I362&lt;=[2]Нормативы!$L$33,"I юн",IF(I362&lt;=[2]Нормативы!$L$34,"II юн",IF(I362&lt;=[2]Нормативы!$L$35,"III юн","б/р")))))))))))</f>
        <v>II</v>
      </c>
      <c r="K362" s="948"/>
    </row>
    <row r="363" spans="1:12" x14ac:dyDescent="0.3">
      <c r="A363" s="1086">
        <v>12</v>
      </c>
      <c r="B363" s="550" t="s">
        <v>24</v>
      </c>
      <c r="C363" s="24" t="s">
        <v>1678</v>
      </c>
      <c r="D363" s="890" t="s">
        <v>1611</v>
      </c>
      <c r="E363" s="1043">
        <v>41307</v>
      </c>
      <c r="F363" s="550" t="s">
        <v>1430</v>
      </c>
      <c r="G363" s="895"/>
      <c r="H363" s="550"/>
      <c r="I363" s="1025">
        <v>28.66</v>
      </c>
      <c r="J363" s="1085" t="str">
        <f>IF(ISBLANK(I363)," ",IF(ISTEXT(I363)," ",IF(I363&lt;=[2]Нормативы!$H$27,"КМС",IF(I363&lt;=[2]Нормативы!$H$28,"КМС",IF(I363&lt;=[2]Нормативы!$L$29,"КМС",IF(I363&lt;=[2]Нормативы!$L$30,"I",IF(I363&lt;=[2]Нормативы!$L$31,"II",IF(I363&lt;=[2]Нормативы!$L$32,"III",IF(I363&lt;=[2]Нормативы!$L$33,"I юн",IF(I363&lt;=[2]Нормативы!$L$34,"II юн",IF(I363&lt;=[2]Нормативы!$L$35,"III юн","б/р")))))))))))</f>
        <v>III</v>
      </c>
      <c r="K363" s="948"/>
      <c r="L363" s="948"/>
    </row>
    <row r="364" spans="1:12" x14ac:dyDescent="0.3">
      <c r="A364" s="1086">
        <v>13</v>
      </c>
      <c r="B364" s="550" t="s">
        <v>24</v>
      </c>
      <c r="C364" s="551" t="s">
        <v>1677</v>
      </c>
      <c r="D364" s="890" t="s">
        <v>1620</v>
      </c>
      <c r="E364" s="1042">
        <v>41306</v>
      </c>
      <c r="F364" s="550" t="s">
        <v>1628</v>
      </c>
      <c r="G364" s="895"/>
      <c r="H364" s="550"/>
      <c r="I364" s="1025">
        <v>28.76</v>
      </c>
      <c r="J364" s="1085" t="str">
        <f>IF(ISBLANK(I364)," ",IF(ISTEXT(I364)," ",IF(I364&lt;=[2]Нормативы!$H$27,"КМС",IF(I364&lt;=[2]Нормативы!$H$28,"КМС",IF(I364&lt;=[2]Нормативы!$L$29,"КМС",IF(I364&lt;=[2]Нормативы!$L$30,"I",IF(I364&lt;=[2]Нормативы!$L$31,"II",IF(I364&lt;=[2]Нормативы!$L$32,"III",IF(I364&lt;=[2]Нормативы!$L$33,"I юн",IF(I364&lt;=[2]Нормативы!$L$34,"II юн",IF(I364&lt;=[2]Нормативы!$L$35,"III юн","б/р")))))))))))</f>
        <v>III</v>
      </c>
      <c r="K364" s="976"/>
    </row>
    <row r="365" spans="1:12" x14ac:dyDescent="0.3">
      <c r="A365" s="1086">
        <v>14</v>
      </c>
      <c r="B365" s="550" t="s">
        <v>24</v>
      </c>
      <c r="C365" s="551" t="s">
        <v>1665</v>
      </c>
      <c r="D365" s="890" t="s">
        <v>1603</v>
      </c>
      <c r="E365" s="1042">
        <v>41039</v>
      </c>
      <c r="F365" s="550" t="s">
        <v>1628</v>
      </c>
      <c r="G365" s="895"/>
      <c r="H365" s="550"/>
      <c r="I365" s="1025">
        <v>29.82</v>
      </c>
      <c r="J365" s="1085" t="str">
        <f>IF(ISBLANK(I365)," ",IF(ISTEXT(I365)," ",IF(I365&lt;=[2]Нормативы!$H$27,"КМС",IF(I365&lt;=[2]Нормативы!$H$28,"КМС",IF(I365&lt;=[2]Нормативы!$L$29,"КМС",IF(I365&lt;=[2]Нормативы!$L$30,"I",IF(I365&lt;=[2]Нормативы!$L$31,"II",IF(I365&lt;=[2]Нормативы!$L$32,"III",IF(I365&lt;=[2]Нормативы!$L$33,"I юн",IF(I365&lt;=[2]Нормативы!$L$34,"II юн",IF(I365&lt;=[2]Нормативы!$L$35,"III юн","б/р")))))))))))</f>
        <v>III</v>
      </c>
      <c r="K365" s="976"/>
    </row>
    <row r="366" spans="1:12" x14ac:dyDescent="0.3">
      <c r="A366" s="1086">
        <v>15</v>
      </c>
      <c r="B366" s="550" t="s">
        <v>24</v>
      </c>
      <c r="C366" s="551" t="s">
        <v>1667</v>
      </c>
      <c r="D366" s="890" t="s">
        <v>1668</v>
      </c>
      <c r="E366" s="1042">
        <v>41136</v>
      </c>
      <c r="F366" s="550" t="s">
        <v>1628</v>
      </c>
      <c r="G366" s="895"/>
      <c r="H366" s="550"/>
      <c r="I366" s="1025">
        <v>30.09</v>
      </c>
      <c r="J366" s="1085" t="str">
        <f>IF(ISBLANK(I366)," ",IF(ISTEXT(I366)," ",IF(I366&lt;=[2]Нормативы!$H$27,"КМС",IF(I366&lt;=[2]Нормативы!$H$28,"КМС",IF(I366&lt;=[2]Нормативы!$L$29,"КМС",IF(I366&lt;=[2]Нормативы!$L$30,"I",IF(I366&lt;=[2]Нормативы!$L$31,"II",IF(I366&lt;=[2]Нормативы!$L$32,"III",IF(I366&lt;=[2]Нормативы!$L$33,"I юн",IF(I366&lt;=[2]Нормативы!$L$34,"II юн",IF(I366&lt;=[2]Нормативы!$L$35,"III юн","б/р")))))))))))</f>
        <v>III</v>
      </c>
      <c r="K366" s="880"/>
    </row>
    <row r="367" spans="1:12" x14ac:dyDescent="0.3">
      <c r="A367" s="1086">
        <v>16</v>
      </c>
      <c r="B367" s="550" t="s">
        <v>24</v>
      </c>
      <c r="C367" s="551" t="s">
        <v>1669</v>
      </c>
      <c r="D367" s="890" t="s">
        <v>1595</v>
      </c>
      <c r="E367" s="1042">
        <v>41576</v>
      </c>
      <c r="F367" s="550" t="s">
        <v>460</v>
      </c>
      <c r="G367" s="895"/>
      <c r="H367" s="550"/>
      <c r="I367" s="1025">
        <v>30.58</v>
      </c>
      <c r="J367" s="1085" t="str">
        <f>IF(ISBLANK(I367)," ",IF(ISTEXT(I367)," ",IF(I367&lt;=[2]Нормативы!$H$27,"КМС",IF(I367&lt;=[2]Нормативы!$H$28,"КМС",IF(I367&lt;=[2]Нормативы!$L$29,"КМС",IF(I367&lt;=[2]Нормативы!$L$30,"I",IF(I367&lt;=[2]Нормативы!$L$31,"II",IF(I367&lt;=[2]Нормативы!$L$32,"III",IF(I367&lt;=[2]Нормативы!$L$33,"I юн",IF(I367&lt;=[2]Нормативы!$L$34,"II юн",IF(I367&lt;=[2]Нормативы!$L$35,"III юн","б/р")))))))))))</f>
        <v>I юн</v>
      </c>
      <c r="K367" s="1024"/>
    </row>
    <row r="368" spans="1:12" x14ac:dyDescent="0.3">
      <c r="A368" s="1086">
        <v>17</v>
      </c>
      <c r="B368" s="24" t="s">
        <v>35</v>
      </c>
      <c r="C368" s="551" t="s">
        <v>1663</v>
      </c>
      <c r="D368" s="890" t="s">
        <v>1664</v>
      </c>
      <c r="E368" s="1042">
        <v>41074</v>
      </c>
      <c r="F368" s="550" t="s">
        <v>1596</v>
      </c>
      <c r="G368" s="895"/>
      <c r="H368" s="550"/>
      <c r="I368" s="1025">
        <v>32.39</v>
      </c>
      <c r="J368" s="1085" t="str">
        <f>IF(ISBLANK(I368)," ",IF(ISTEXT(I368)," ",IF(I368&lt;=[2]Нормативы!$H$27,"КМС",IF(I368&lt;=[2]Нормативы!$H$28,"КМС",IF(I368&lt;=[2]Нормативы!$L$29,"КМС",IF(I368&lt;=[2]Нормативы!$L$30,"I",IF(I368&lt;=[2]Нормативы!$L$31,"II",IF(I368&lt;=[2]Нормативы!$L$32,"III",IF(I368&lt;=[2]Нормативы!$L$33,"I юн",IF(I368&lt;=[2]Нормативы!$L$34,"II юн",IF(I368&lt;=[2]Нормативы!$L$35,"III юн","б/р")))))))))))</f>
        <v>I юн</v>
      </c>
      <c r="K368" s="359"/>
      <c r="L368" s="948"/>
    </row>
    <row r="369" spans="1:12" x14ac:dyDescent="0.3">
      <c r="A369" s="1086"/>
      <c r="B369" s="550"/>
      <c r="C369" s="551"/>
      <c r="D369" s="890"/>
      <c r="E369" s="1042"/>
      <c r="F369" s="550"/>
      <c r="G369" s="895"/>
      <c r="H369" s="550"/>
      <c r="I369" s="898"/>
      <c r="J369" s="549"/>
      <c r="K369" s="885"/>
    </row>
    <row r="370" spans="1:12" ht="15.6" x14ac:dyDescent="0.3">
      <c r="A370" s="1028"/>
      <c r="B370" s="374"/>
      <c r="C370" s="928" t="s">
        <v>1593</v>
      </c>
      <c r="D370" s="374"/>
      <c r="E370" s="374"/>
      <c r="F370" s="374"/>
      <c r="G370" s="374"/>
      <c r="H370" s="929"/>
      <c r="I370" s="930"/>
      <c r="J370" s="903"/>
      <c r="K370" s="885"/>
    </row>
    <row r="371" spans="1:12" x14ac:dyDescent="0.3">
      <c r="A371" s="1086"/>
      <c r="B371" s="953"/>
      <c r="C371" s="927"/>
      <c r="D371" s="954"/>
      <c r="E371" s="981"/>
      <c r="F371" s="947"/>
      <c r="G371" s="947"/>
      <c r="H371" s="982"/>
      <c r="I371" s="1025"/>
      <c r="J371" s="549"/>
      <c r="K371" s="885"/>
    </row>
    <row r="372" spans="1:12" x14ac:dyDescent="0.3">
      <c r="A372" s="1086">
        <v>1</v>
      </c>
      <c r="B372" s="550" t="s">
        <v>6</v>
      </c>
      <c r="C372" s="551" t="s">
        <v>1717</v>
      </c>
      <c r="D372" s="890" t="s">
        <v>1618</v>
      </c>
      <c r="E372" s="1042">
        <v>40297</v>
      </c>
      <c r="F372" s="550" t="s">
        <v>1452</v>
      </c>
      <c r="G372" s="895"/>
      <c r="H372" s="550"/>
      <c r="I372" s="1025">
        <v>24.13</v>
      </c>
      <c r="J372" s="1085" t="str">
        <f>IF(ISBLANK(I372)," ",IF(ISTEXT(I372)," ",IF(I372&lt;=[2]Нормативы!$H$27,"КМС",IF(I372&lt;=[2]Нормативы!$H$28,"КМС",IF(I372&lt;=[2]Нормативы!$L$29,"КМС",IF(I372&lt;=[2]Нормативы!$L$30,"I",IF(I372&lt;=[2]Нормативы!$L$31,"II",IF(I372&lt;=[2]Нормативы!$L$32,"III",IF(I372&lt;=[2]Нормативы!$L$33,"I юн",IF(I372&lt;=[2]Нормативы!$L$34,"II юн",IF(I372&lt;=[2]Нормативы!$L$35,"III юн","б/р")))))))))))</f>
        <v>КМС</v>
      </c>
      <c r="K372" s="885"/>
    </row>
    <row r="373" spans="1:12" x14ac:dyDescent="0.3">
      <c r="A373" s="1086">
        <v>2</v>
      </c>
      <c r="B373" s="550" t="s">
        <v>34</v>
      </c>
      <c r="C373" s="551" t="s">
        <v>1712</v>
      </c>
      <c r="D373" s="890" t="s">
        <v>1595</v>
      </c>
      <c r="E373" s="1042">
        <v>39837</v>
      </c>
      <c r="F373" s="550" t="s">
        <v>1711</v>
      </c>
      <c r="G373" s="895"/>
      <c r="H373" s="550"/>
      <c r="I373" s="1025">
        <v>24.73</v>
      </c>
      <c r="J373" s="1085" t="str">
        <f>IF(ISBLANK(I373)," ",IF(ISTEXT(I373)," ",IF(I373&lt;=[2]Нормативы!$H$27,"КМС",IF(I373&lt;=[2]Нормативы!$H$28,"КМС",IF(I373&lt;=[2]Нормативы!$L$29,"КМС",IF(I373&lt;=[2]Нормативы!$L$30,"I",IF(I373&lt;=[2]Нормативы!$L$31,"II",IF(I373&lt;=[2]Нормативы!$L$32,"III",IF(I373&lt;=[2]Нормативы!$L$33,"I юн",IF(I373&lt;=[2]Нормативы!$L$34,"II юн",IF(I373&lt;=[2]Нормативы!$L$35,"III юн","б/р")))))))))))</f>
        <v>I</v>
      </c>
      <c r="K373" s="885"/>
    </row>
    <row r="374" spans="1:12" x14ac:dyDescent="0.3">
      <c r="A374" s="1086">
        <v>3</v>
      </c>
      <c r="B374" s="550" t="s">
        <v>6</v>
      </c>
      <c r="C374" s="551" t="s">
        <v>1709</v>
      </c>
      <c r="D374" s="890" t="s">
        <v>1630</v>
      </c>
      <c r="E374" s="1042">
        <v>39927</v>
      </c>
      <c r="F374" s="550" t="s">
        <v>1634</v>
      </c>
      <c r="G374" s="895"/>
      <c r="H374" s="550"/>
      <c r="I374" s="1025">
        <v>24.73</v>
      </c>
      <c r="J374" s="1085" t="str">
        <f>IF(ISBLANK(I374)," ",IF(ISTEXT(I374)," ",IF(I374&lt;=[2]Нормативы!$H$27,"КМС",IF(I374&lt;=[2]Нормативы!$H$28,"КМС",IF(I374&lt;=[2]Нормативы!$L$29,"КМС",IF(I374&lt;=[2]Нормативы!$L$30,"I",IF(I374&lt;=[2]Нормативы!$L$31,"II",IF(I374&lt;=[2]Нормативы!$L$32,"III",IF(I374&lt;=[2]Нормативы!$L$33,"I юн",IF(I374&lt;=[2]Нормативы!$L$34,"II юн",IF(I374&lt;=[2]Нормативы!$L$35,"III юн","б/р")))))))))))</f>
        <v>I</v>
      </c>
      <c r="K374" s="885"/>
    </row>
    <row r="375" spans="1:12" x14ac:dyDescent="0.3">
      <c r="A375" s="1086">
        <v>4</v>
      </c>
      <c r="B375" s="550" t="s">
        <v>6</v>
      </c>
      <c r="C375" s="551" t="s">
        <v>1713</v>
      </c>
      <c r="D375" s="890" t="s">
        <v>1595</v>
      </c>
      <c r="E375" s="1042">
        <v>39738</v>
      </c>
      <c r="F375" s="550" t="s">
        <v>1450</v>
      </c>
      <c r="G375" s="895"/>
      <c r="H375" s="550"/>
      <c r="I375" s="1025">
        <v>24.84</v>
      </c>
      <c r="J375" s="1085" t="str">
        <f>IF(ISBLANK(I375)," ",IF(ISTEXT(I375)," ",IF(I375&lt;=[2]Нормативы!$H$27,"КМС",IF(I375&lt;=[2]Нормативы!$H$28,"КМС",IF(I375&lt;=[2]Нормативы!$L$29,"КМС",IF(I375&lt;=[2]Нормативы!$L$30,"I",IF(I375&lt;=[2]Нормативы!$L$31,"II",IF(I375&lt;=[2]Нормативы!$L$32,"III",IF(I375&lt;=[2]Нормативы!$L$33,"I юн",IF(I375&lt;=[2]Нормативы!$L$34,"II юн",IF(I375&lt;=[2]Нормативы!$L$35,"III юн","б/р")))))))))))</f>
        <v>I</v>
      </c>
      <c r="K375" s="1032"/>
    </row>
    <row r="376" spans="1:12" x14ac:dyDescent="0.3">
      <c r="A376" s="1086">
        <v>5</v>
      </c>
      <c r="B376" s="550" t="s">
        <v>6</v>
      </c>
      <c r="C376" s="551" t="s">
        <v>1700</v>
      </c>
      <c r="D376" s="890" t="s">
        <v>1595</v>
      </c>
      <c r="E376" s="1042">
        <v>40021</v>
      </c>
      <c r="F376" s="550" t="s">
        <v>1381</v>
      </c>
      <c r="G376" s="895"/>
      <c r="H376" s="550"/>
      <c r="I376" s="1025">
        <v>24.88</v>
      </c>
      <c r="J376" s="1085" t="str">
        <f>IF(ISBLANK(I376)," ",IF(ISTEXT(I376)," ",IF(I376&lt;=[2]Нормативы!$H$27,"КМС",IF(I376&lt;=[2]Нормативы!$H$28,"КМС",IF(I376&lt;=[2]Нормативы!$L$29,"КМС",IF(I376&lt;=[2]Нормативы!$L$30,"I",IF(I376&lt;=[2]Нормативы!$L$31,"II",IF(I376&lt;=[2]Нормативы!$L$32,"III",IF(I376&lt;=[2]Нормативы!$L$33,"I юн",IF(I376&lt;=[2]Нормативы!$L$34,"II юн",IF(I376&lt;=[2]Нормативы!$L$35,"III юн","б/р")))))))))))</f>
        <v>I</v>
      </c>
      <c r="K376" s="976"/>
      <c r="L376" s="948"/>
    </row>
    <row r="377" spans="1:12" x14ac:dyDescent="0.3">
      <c r="A377" s="1086">
        <v>6</v>
      </c>
      <c r="B377" s="550" t="s">
        <v>1702</v>
      </c>
      <c r="C377" s="551" t="s">
        <v>1714</v>
      </c>
      <c r="D377" s="890" t="s">
        <v>1715</v>
      </c>
      <c r="E377" s="1046" t="s">
        <v>1716</v>
      </c>
      <c r="F377" s="550" t="s">
        <v>460</v>
      </c>
      <c r="G377" s="895"/>
      <c r="H377" s="550"/>
      <c r="I377" s="1025">
        <v>24.96</v>
      </c>
      <c r="J377" s="1085" t="str">
        <f>IF(ISBLANK(I377)," ",IF(ISTEXT(I377)," ",IF(I377&lt;=[2]Нормативы!$H$27,"КМС",IF(I377&lt;=[2]Нормативы!$H$28,"КМС",IF(I377&lt;=[2]Нормативы!$L$29,"КМС",IF(I377&lt;=[2]Нормативы!$L$30,"I",IF(I377&lt;=[2]Нормативы!$L$31,"II",IF(I377&lt;=[2]Нормативы!$L$32,"III",IF(I377&lt;=[2]Нормативы!$L$33,"I юн",IF(I377&lt;=[2]Нормативы!$L$34,"II юн",IF(I377&lt;=[2]Нормативы!$L$35,"III юн","б/р")))))))))))</f>
        <v>I</v>
      </c>
      <c r="K377" s="1025"/>
    </row>
    <row r="378" spans="1:12" x14ac:dyDescent="0.3">
      <c r="A378" s="1086">
        <v>7</v>
      </c>
      <c r="B378" s="550" t="s">
        <v>6</v>
      </c>
      <c r="C378" s="551" t="s">
        <v>1710</v>
      </c>
      <c r="D378" s="890" t="s">
        <v>1616</v>
      </c>
      <c r="E378" s="1042">
        <v>39803</v>
      </c>
      <c r="F378" s="550" t="s">
        <v>1711</v>
      </c>
      <c r="G378" s="895"/>
      <c r="H378" s="550"/>
      <c r="I378" s="1025">
        <v>25.1</v>
      </c>
      <c r="J378" s="1085" t="str">
        <f>IF(ISBLANK(I378)," ",IF(ISTEXT(I378)," ",IF(I378&lt;=[2]Нормативы!$H$27,"КМС",IF(I378&lt;=[2]Нормативы!$H$28,"КМС",IF(I378&lt;=[2]Нормативы!$L$29,"КМС",IF(I378&lt;=[2]Нормативы!$L$30,"I",IF(I378&lt;=[2]Нормативы!$L$31,"II",IF(I378&lt;=[2]Нормативы!$L$32,"III",IF(I378&lt;=[2]Нормативы!$L$33,"I юн",IF(I378&lt;=[2]Нормативы!$L$34,"II юн",IF(I378&lt;=[2]Нормативы!$L$35,"III юн","б/р")))))))))))</f>
        <v>I</v>
      </c>
      <c r="K378" s="1025"/>
    </row>
    <row r="379" spans="1:12" x14ac:dyDescent="0.3">
      <c r="A379" s="1086">
        <v>8</v>
      </c>
      <c r="B379" s="550" t="s">
        <v>23</v>
      </c>
      <c r="C379" s="551" t="s">
        <v>1708</v>
      </c>
      <c r="D379" s="890" t="s">
        <v>1642</v>
      </c>
      <c r="E379" s="1042">
        <v>40868</v>
      </c>
      <c r="F379" s="550" t="s">
        <v>1628</v>
      </c>
      <c r="G379" s="895"/>
      <c r="H379" s="550"/>
      <c r="I379" s="1025">
        <v>25.14</v>
      </c>
      <c r="J379" s="1085" t="str">
        <f>IF(ISBLANK(I379)," ",IF(ISTEXT(I379)," ",IF(I379&lt;=[2]Нормативы!$H$27,"КМС",IF(I379&lt;=[2]Нормативы!$H$28,"КМС",IF(I379&lt;=[2]Нормативы!$L$29,"КМС",IF(I379&lt;=[2]Нормативы!$L$30,"I",IF(I379&lt;=[2]Нормативы!$L$31,"II",IF(I379&lt;=[2]Нормативы!$L$32,"III",IF(I379&lt;=[2]Нормативы!$L$33,"I юн",IF(I379&lt;=[2]Нормативы!$L$34,"II юн",IF(I379&lt;=[2]Нормативы!$L$35,"III юн","б/р")))))))))))</f>
        <v>I</v>
      </c>
      <c r="K379" s="1025"/>
    </row>
    <row r="380" spans="1:12" x14ac:dyDescent="0.3">
      <c r="A380" s="1086">
        <v>9</v>
      </c>
      <c r="B380" s="550" t="s">
        <v>23</v>
      </c>
      <c r="C380" s="551" t="s">
        <v>1705</v>
      </c>
      <c r="D380" s="890" t="s">
        <v>1613</v>
      </c>
      <c r="E380" s="1042">
        <v>40523</v>
      </c>
      <c r="F380" s="550" t="s">
        <v>1596</v>
      </c>
      <c r="G380" s="895"/>
      <c r="H380" s="550"/>
      <c r="I380" s="1025">
        <v>25.52</v>
      </c>
      <c r="J380" s="1085" t="str">
        <f>IF(ISBLANK(I380)," ",IF(ISTEXT(I380)," ",IF(I380&lt;=[2]Нормативы!$H$27,"КМС",IF(I380&lt;=[2]Нормативы!$H$28,"КМС",IF(I380&lt;=[2]Нормативы!$L$29,"КМС",IF(I380&lt;=[2]Нормативы!$L$30,"I",IF(I380&lt;=[2]Нормативы!$L$31,"II",IF(I380&lt;=[2]Нормативы!$L$32,"III",IF(I380&lt;=[2]Нормативы!$L$33,"I юн",IF(I380&lt;=[2]Нормативы!$L$34,"II юн",IF(I380&lt;=[2]Нормативы!$L$35,"III юн","б/р")))))))))))</f>
        <v>I</v>
      </c>
      <c r="K380" s="1032"/>
    </row>
    <row r="381" spans="1:12" x14ac:dyDescent="0.3">
      <c r="A381" s="1086">
        <v>10</v>
      </c>
      <c r="B381" s="550" t="s">
        <v>23</v>
      </c>
      <c r="C381" s="551" t="s">
        <v>1465</v>
      </c>
      <c r="D381" s="890" t="s">
        <v>1595</v>
      </c>
      <c r="E381" s="1042">
        <v>40266</v>
      </c>
      <c r="F381" s="550" t="s">
        <v>1596</v>
      </c>
      <c r="G381" s="895"/>
      <c r="H381" s="550"/>
      <c r="I381" s="1025">
        <v>25.94</v>
      </c>
      <c r="J381" s="1085" t="str">
        <f>IF(ISBLANK(I381)," ",IF(ISTEXT(I381)," ",IF(I381&lt;=[2]Нормативы!$H$27,"КМС",IF(I381&lt;=[2]Нормативы!$H$28,"КМС",IF(I381&lt;=[2]Нормативы!$L$29,"КМС",IF(I381&lt;=[2]Нормативы!$L$30,"I",IF(I381&lt;=[2]Нормативы!$L$31,"II",IF(I381&lt;=[2]Нормативы!$L$32,"III",IF(I381&lt;=[2]Нормативы!$L$33,"I юн",IF(I381&lt;=[2]Нормативы!$L$34,"II юн",IF(I381&lt;=[2]Нормативы!$L$35,"III юн","б/р")))))))))))</f>
        <v>I</v>
      </c>
      <c r="K381" s="879"/>
    </row>
    <row r="382" spans="1:12" x14ac:dyDescent="0.3">
      <c r="A382" s="1086">
        <v>11</v>
      </c>
      <c r="B382" s="550" t="s">
        <v>23</v>
      </c>
      <c r="C382" s="551" t="s">
        <v>1699</v>
      </c>
      <c r="D382" s="890" t="s">
        <v>1642</v>
      </c>
      <c r="E382" s="1042">
        <v>39956</v>
      </c>
      <c r="F382" s="550" t="s">
        <v>1654</v>
      </c>
      <c r="G382" s="895"/>
      <c r="H382" s="550"/>
      <c r="I382" s="1025">
        <v>26.26</v>
      </c>
      <c r="J382" s="1085" t="str">
        <f>IF(ISBLANK(I382)," ",IF(ISTEXT(I382)," ",IF(I382&lt;=[2]Нормативы!$H$27,"КМС",IF(I382&lt;=[2]Нормативы!$H$28,"КМС",IF(I382&lt;=[2]Нормативы!$L$29,"КМС",IF(I382&lt;=[2]Нормативы!$L$30,"I",IF(I382&lt;=[2]Нормативы!$L$31,"II",IF(I382&lt;=[2]Нормативы!$L$32,"III",IF(I382&lt;=[2]Нормативы!$L$33,"I юн",IF(I382&lt;=[2]Нормативы!$L$34,"II юн",IF(I382&lt;=[2]Нормативы!$L$35,"III юн","б/р")))))))))))</f>
        <v>II</v>
      </c>
      <c r="K382" s="880"/>
    </row>
    <row r="383" spans="1:12" x14ac:dyDescent="0.3">
      <c r="A383" s="1086">
        <v>12</v>
      </c>
      <c r="B383" s="550" t="s">
        <v>23</v>
      </c>
      <c r="C383" s="551" t="s">
        <v>1697</v>
      </c>
      <c r="D383" s="890" t="s">
        <v>1618</v>
      </c>
      <c r="E383" s="1042">
        <v>40845</v>
      </c>
      <c r="F383" s="550" t="s">
        <v>1596</v>
      </c>
      <c r="G383" s="895"/>
      <c r="H383" s="550"/>
      <c r="I383" s="1025">
        <v>26.32</v>
      </c>
      <c r="J383" s="1085" t="str">
        <f>IF(ISBLANK(I383)," ",IF(ISTEXT(I383)," ",IF(I383&lt;=[2]Нормативы!$H$27,"КМС",IF(I383&lt;=[2]Нормативы!$H$28,"КМС",IF(I383&lt;=[2]Нормативы!$L$29,"КМС",IF(I383&lt;=[2]Нормативы!$L$30,"I",IF(I383&lt;=[2]Нормативы!$L$31,"II",IF(I383&lt;=[2]Нормативы!$L$32,"III",IF(I383&lt;=[2]Нормативы!$L$33,"I юн",IF(I383&lt;=[2]Нормативы!$L$34,"II юн",IF(I383&lt;=[2]Нормативы!$L$35,"III юн","б/р")))))))))))</f>
        <v>II</v>
      </c>
      <c r="K383" s="885"/>
    </row>
    <row r="384" spans="1:12" x14ac:dyDescent="0.3">
      <c r="A384" s="1086">
        <v>13</v>
      </c>
      <c r="B384" s="24" t="s">
        <v>35</v>
      </c>
      <c r="C384" s="551" t="s">
        <v>1703</v>
      </c>
      <c r="D384" s="890" t="s">
        <v>1603</v>
      </c>
      <c r="E384" s="1046" t="s">
        <v>1704</v>
      </c>
      <c r="F384" s="550" t="s">
        <v>460</v>
      </c>
      <c r="G384" s="895"/>
      <c r="H384" s="550"/>
      <c r="I384" s="1025">
        <v>26.67</v>
      </c>
      <c r="J384" s="1085" t="str">
        <f>IF(ISBLANK(I384)," ",IF(ISTEXT(I384)," ",IF(I384&lt;=[2]Нормативы!$H$27,"КМС",IF(I384&lt;=[2]Нормативы!$H$28,"КМС",IF(I384&lt;=[2]Нормативы!$L$29,"КМС",IF(I384&lt;=[2]Нормативы!$L$30,"I",IF(I384&lt;=[2]Нормативы!$L$31,"II",IF(I384&lt;=[2]Нормативы!$L$32,"III",IF(I384&lt;=[2]Нормативы!$L$33,"I юн",IF(I384&lt;=[2]Нормативы!$L$34,"II юн",IF(I384&lt;=[2]Нормативы!$L$35,"III юн","б/р")))))))))))</f>
        <v>II</v>
      </c>
      <c r="K384" s="976"/>
    </row>
    <row r="385" spans="1:12" x14ac:dyDescent="0.3">
      <c r="A385" s="1086">
        <v>14</v>
      </c>
      <c r="B385" s="550" t="s">
        <v>24</v>
      </c>
      <c r="C385" s="551" t="s">
        <v>1696</v>
      </c>
      <c r="D385" s="890" t="s">
        <v>1620</v>
      </c>
      <c r="E385" s="1042">
        <v>40849</v>
      </c>
      <c r="F385" s="550" t="s">
        <v>460</v>
      </c>
      <c r="G385" s="895"/>
      <c r="H385" s="550"/>
      <c r="I385" s="1025">
        <v>28.35</v>
      </c>
      <c r="J385" s="1085" t="str">
        <f>IF(ISBLANK(I385)," ",IF(ISTEXT(I385)," ",IF(I385&lt;=[2]Нормативы!$H$27,"КМС",IF(I385&lt;=[2]Нормативы!$H$28,"КМС",IF(I385&lt;=[2]Нормативы!$L$29,"КМС",IF(I385&lt;=[2]Нормативы!$L$30,"I",IF(I385&lt;=[2]Нормативы!$L$31,"II",IF(I385&lt;=[2]Нормативы!$L$32,"III",IF(I385&lt;=[2]Нормативы!$L$33,"I юн",IF(I385&lt;=[2]Нормативы!$L$34,"II юн",IF(I385&lt;=[2]Нормативы!$L$35,"III юн","б/р")))))))))))</f>
        <v>III</v>
      </c>
      <c r="K385" s="1025"/>
    </row>
    <row r="386" spans="1:12" x14ac:dyDescent="0.3">
      <c r="A386" s="1086">
        <v>15</v>
      </c>
      <c r="B386" s="550" t="s">
        <v>24</v>
      </c>
      <c r="C386" s="551" t="s">
        <v>1694</v>
      </c>
      <c r="D386" s="890" t="s">
        <v>1611</v>
      </c>
      <c r="E386" s="1042">
        <v>40738</v>
      </c>
      <c r="F386" s="550" t="s">
        <v>1450</v>
      </c>
      <c r="G386" s="895"/>
      <c r="H386" s="550"/>
      <c r="I386" s="1025">
        <v>29.32</v>
      </c>
      <c r="J386" s="1085" t="str">
        <f>IF(ISBLANK(I386)," ",IF(ISTEXT(I386)," ",IF(I386&lt;=[2]Нормативы!$H$27,"КМС",IF(I386&lt;=[2]Нормативы!$H$28,"КМС",IF(I386&lt;=[2]Нормативы!$L$29,"КМС",IF(I386&lt;=[2]Нормативы!$L$30,"I",IF(I386&lt;=[2]Нормативы!$L$31,"II",IF(I386&lt;=[2]Нормативы!$L$32,"III",IF(I386&lt;=[2]Нормативы!$L$33,"I юн",IF(I386&lt;=[2]Нормативы!$L$34,"II юн",IF(I386&lt;=[2]Нормативы!$L$35,"III юн","б/р")))))))))))</f>
        <v>III</v>
      </c>
      <c r="K386" s="1025"/>
    </row>
    <row r="387" spans="1:12" x14ac:dyDescent="0.3">
      <c r="A387" s="1086">
        <v>16</v>
      </c>
      <c r="B387" s="550" t="s">
        <v>24</v>
      </c>
      <c r="C387" s="551" t="s">
        <v>1693</v>
      </c>
      <c r="D387" s="890" t="s">
        <v>1674</v>
      </c>
      <c r="E387" s="1042">
        <v>40693</v>
      </c>
      <c r="F387" s="550" t="s">
        <v>1452</v>
      </c>
      <c r="G387" s="895"/>
      <c r="H387" s="550"/>
      <c r="I387" s="1025">
        <v>29.9</v>
      </c>
      <c r="J387" s="1085" t="str">
        <f>IF(ISBLANK(I387)," ",IF(ISTEXT(I387)," ",IF(I387&lt;=[2]Нормативы!$H$27,"КМС",IF(I387&lt;=[2]Нормативы!$H$28,"КМС",IF(I387&lt;=[2]Нормативы!$L$29,"КМС",IF(I387&lt;=[2]Нормативы!$L$30,"I",IF(I387&lt;=[2]Нормативы!$L$31,"II",IF(I387&lt;=[2]Нормативы!$L$32,"III",IF(I387&lt;=[2]Нормативы!$L$33,"I юн",IF(I387&lt;=[2]Нормативы!$L$34,"II юн",IF(I387&lt;=[2]Нормативы!$L$35,"III юн","б/р")))))))))))</f>
        <v>III</v>
      </c>
      <c r="K387" s="1025"/>
    </row>
    <row r="388" spans="1:12" x14ac:dyDescent="0.3">
      <c r="A388" s="1086"/>
      <c r="B388" s="24" t="s">
        <v>35</v>
      </c>
      <c r="C388" s="551" t="s">
        <v>1692</v>
      </c>
      <c r="D388" s="890" t="s">
        <v>1609</v>
      </c>
      <c r="E388" s="1042">
        <v>40684</v>
      </c>
      <c r="F388" s="550" t="s">
        <v>1596</v>
      </c>
      <c r="G388" s="895"/>
      <c r="H388" s="550"/>
      <c r="I388" s="1074" t="s">
        <v>2066</v>
      </c>
      <c r="J388" s="549"/>
      <c r="K388" s="880"/>
    </row>
    <row r="389" spans="1:12" x14ac:dyDescent="0.3">
      <c r="A389" s="1086"/>
      <c r="B389" s="550" t="s">
        <v>24</v>
      </c>
      <c r="C389" s="551" t="s">
        <v>1403</v>
      </c>
      <c r="D389" s="890" t="s">
        <v>1695</v>
      </c>
      <c r="E389" s="1042">
        <v>40801</v>
      </c>
      <c r="F389" s="550" t="s">
        <v>1381</v>
      </c>
      <c r="G389" s="895"/>
      <c r="H389" s="550"/>
      <c r="I389" s="1074" t="s">
        <v>2066</v>
      </c>
      <c r="J389" s="549"/>
      <c r="K389" s="880"/>
    </row>
    <row r="390" spans="1:12" x14ac:dyDescent="0.3">
      <c r="A390" s="1086"/>
      <c r="B390" s="550"/>
      <c r="C390" s="551"/>
      <c r="D390" s="890"/>
      <c r="E390" s="1042"/>
      <c r="F390" s="550"/>
      <c r="G390" s="895"/>
      <c r="H390" s="550"/>
      <c r="I390" s="1025"/>
      <c r="J390" s="549"/>
      <c r="K390" s="1025"/>
    </row>
    <row r="391" spans="1:12" s="948" customFormat="1" ht="15.6" x14ac:dyDescent="0.3">
      <c r="A391" s="1086"/>
      <c r="B391" s="374"/>
      <c r="C391" s="928" t="s">
        <v>1720</v>
      </c>
      <c r="D391" s="374"/>
      <c r="E391" s="374"/>
      <c r="F391" s="374"/>
      <c r="G391" s="374"/>
      <c r="H391" s="929"/>
      <c r="I391" s="550"/>
      <c r="J391" s="886"/>
      <c r="K391" s="1008"/>
      <c r="L391"/>
    </row>
    <row r="392" spans="1:12" x14ac:dyDescent="0.3">
      <c r="A392" s="1028"/>
      <c r="B392" s="953"/>
      <c r="C392" s="225"/>
      <c r="D392" s="18"/>
      <c r="E392" s="914"/>
      <c r="F392" s="991"/>
      <c r="G392" s="880"/>
      <c r="H392" s="361"/>
      <c r="I392" s="897"/>
      <c r="J392" s="885"/>
      <c r="K392" s="1025"/>
    </row>
    <row r="393" spans="1:12" x14ac:dyDescent="0.3">
      <c r="A393" s="1086">
        <v>1</v>
      </c>
      <c r="B393" s="550" t="s">
        <v>6</v>
      </c>
      <c r="C393" s="550" t="s">
        <v>1854</v>
      </c>
      <c r="D393" s="551" t="s">
        <v>1742</v>
      </c>
      <c r="E393" s="1042">
        <v>41038</v>
      </c>
      <c r="F393" s="550" t="s">
        <v>1450</v>
      </c>
      <c r="G393" s="895"/>
      <c r="H393" s="550"/>
      <c r="I393" s="1025">
        <v>22.13</v>
      </c>
      <c r="J393" s="1085" t="str">
        <f>IF(ISBLANK(I393)," ",IF(ISTEXT(I393)," ",IF(I393&lt;=[2]Нормативы!$H$38,"КМС",IF(I393&lt;=[2]Нормативы!$H$39,"КМС",IF(I393&lt;=[2]Нормативы!$L$40,"КМС",IF(I393&lt;=[2]Нормативы!$L$41,"I",IF(I393&lt;=[2]Нормативы!$L$42,"II",IF(I393&lt;=[2]Нормативы!$L$43,"III",IF(I393&lt;=[2]Нормативы!$L$44,"I юн",IF(I393&lt;=[2]Нормативы!$L$45,"II юн",IF(I393&lt;=[2]Нормативы!$L$46,"III юн","б/р")))))))))))</f>
        <v>I</v>
      </c>
      <c r="K393" s="1025"/>
    </row>
    <row r="394" spans="1:12" x14ac:dyDescent="0.3">
      <c r="A394" s="1086">
        <v>2</v>
      </c>
      <c r="B394" s="550" t="s">
        <v>6</v>
      </c>
      <c r="C394" s="550" t="s">
        <v>1855</v>
      </c>
      <c r="D394" s="551" t="s">
        <v>1856</v>
      </c>
      <c r="E394" s="1042">
        <v>41022</v>
      </c>
      <c r="F394" s="550" t="s">
        <v>1834</v>
      </c>
      <c r="G394" s="895"/>
      <c r="H394" s="550"/>
      <c r="I394" s="1025">
        <v>22.21</v>
      </c>
      <c r="J394" s="1085" t="str">
        <f>IF(ISBLANK(I394)," ",IF(ISTEXT(I394)," ",IF(I394&lt;=[2]Нормативы!$H$38,"КМС",IF(I394&lt;=[2]Нормативы!$H$39,"КМС",IF(I394&lt;=[2]Нормативы!$L$40,"КМС",IF(I394&lt;=[2]Нормативы!$L$41,"I",IF(I394&lt;=[2]Нормативы!$L$42,"II",IF(I394&lt;=[2]Нормативы!$L$43,"III",IF(I394&lt;=[2]Нормативы!$L$44,"I юн",IF(I394&lt;=[2]Нормативы!$L$45,"II юн",IF(I394&lt;=[2]Нормативы!$L$46,"III юн","б/р")))))))))))</f>
        <v>I</v>
      </c>
      <c r="K394" s="1025"/>
    </row>
    <row r="395" spans="1:12" x14ac:dyDescent="0.3">
      <c r="A395" s="1086">
        <v>3</v>
      </c>
      <c r="B395" s="550" t="s">
        <v>23</v>
      </c>
      <c r="C395" s="550" t="s">
        <v>1853</v>
      </c>
      <c r="D395" s="551" t="s">
        <v>1729</v>
      </c>
      <c r="E395" s="1042">
        <v>41127</v>
      </c>
      <c r="F395" s="550" t="s">
        <v>1654</v>
      </c>
      <c r="G395" s="895"/>
      <c r="H395" s="550"/>
      <c r="I395" s="1025">
        <v>22.47</v>
      </c>
      <c r="J395" s="1085" t="str">
        <f>IF(ISBLANK(I395)," ",IF(ISTEXT(I395)," ",IF(I395&lt;=[2]Нормативы!$H$38,"КМС",IF(I395&lt;=[2]Нормативы!$H$39,"КМС",IF(I395&lt;=[2]Нормативы!$L$40,"КМС",IF(I395&lt;=[2]Нормативы!$L$41,"I",IF(I395&lt;=[2]Нормативы!$L$42,"II",IF(I395&lt;=[2]Нормативы!$L$43,"III",IF(I395&lt;=[2]Нормативы!$L$44,"I юн",IF(I395&lt;=[2]Нормативы!$L$45,"II юн",IF(I395&lt;=[2]Нормативы!$L$46,"III юн","б/р")))))))))))</f>
        <v>I</v>
      </c>
      <c r="K395" s="1026"/>
      <c r="L395" s="880"/>
    </row>
    <row r="396" spans="1:12" x14ac:dyDescent="0.3">
      <c r="A396" s="1086">
        <v>4</v>
      </c>
      <c r="B396" s="550" t="s">
        <v>23</v>
      </c>
      <c r="C396" s="550" t="s">
        <v>1850</v>
      </c>
      <c r="D396" s="551" t="s">
        <v>1851</v>
      </c>
      <c r="E396" s="1042">
        <v>40927</v>
      </c>
      <c r="F396" s="550" t="s">
        <v>1834</v>
      </c>
      <c r="G396" s="895"/>
      <c r="H396" s="550"/>
      <c r="I396" s="1025">
        <v>23.62</v>
      </c>
      <c r="J396" s="1085" t="str">
        <f>IF(ISBLANK(I396)," ",IF(ISTEXT(I396)," ",IF(I396&lt;=[2]Нормативы!$H$38,"КМС",IF(I396&lt;=[2]Нормативы!$H$39,"КМС",IF(I396&lt;=[2]Нормативы!$L$40,"КМС",IF(I396&lt;=[2]Нормативы!$L$41,"I",IF(I396&lt;=[2]Нормативы!$L$42,"II",IF(I396&lt;=[2]Нормативы!$L$43,"III",IF(I396&lt;=[2]Нормативы!$L$44,"I юн",IF(I396&lt;=[2]Нормативы!$L$45,"II юн",IF(I396&lt;=[2]Нормативы!$L$46,"III юн","б/р")))))))))))</f>
        <v>II</v>
      </c>
      <c r="K396" s="976"/>
      <c r="L396" s="880"/>
    </row>
    <row r="397" spans="1:12" x14ac:dyDescent="0.3">
      <c r="A397" s="1086">
        <v>5</v>
      </c>
      <c r="B397" s="550" t="s">
        <v>24</v>
      </c>
      <c r="C397" s="550" t="s">
        <v>1849</v>
      </c>
      <c r="D397" s="551" t="s">
        <v>1737</v>
      </c>
      <c r="E397" s="1042">
        <v>41278</v>
      </c>
      <c r="F397" s="550" t="s">
        <v>460</v>
      </c>
      <c r="G397" s="895"/>
      <c r="H397" s="550"/>
      <c r="I397" s="1025">
        <v>23.71</v>
      </c>
      <c r="J397" s="1085" t="str">
        <f>IF(ISBLANK(I397)," ",IF(ISTEXT(I397)," ",IF(I397&lt;=[2]Нормативы!$H$38,"КМС",IF(I397&lt;=[2]Нормативы!$H$39,"КМС",IF(I397&lt;=[2]Нормативы!$L$40,"КМС",IF(I397&lt;=[2]Нормативы!$L$41,"I",IF(I397&lt;=[2]Нормативы!$L$42,"II",IF(I397&lt;=[2]Нормативы!$L$43,"III",IF(I397&lt;=[2]Нормативы!$L$44,"I юн",IF(I397&lt;=[2]Нормативы!$L$45,"II юн",IF(I397&lt;=[2]Нормативы!$L$46,"III юн","б/р")))))))))))</f>
        <v>II</v>
      </c>
      <c r="K397" s="976"/>
      <c r="L397" s="880"/>
    </row>
    <row r="398" spans="1:12" x14ac:dyDescent="0.3">
      <c r="A398" s="1086">
        <v>6</v>
      </c>
      <c r="B398" s="550" t="s">
        <v>24</v>
      </c>
      <c r="C398" s="24" t="s">
        <v>1847</v>
      </c>
      <c r="D398" s="890" t="s">
        <v>1757</v>
      </c>
      <c r="E398" s="1043">
        <v>41331</v>
      </c>
      <c r="F398" s="550" t="s">
        <v>1430</v>
      </c>
      <c r="G398" s="895"/>
      <c r="H398" s="550"/>
      <c r="I398" s="1025">
        <v>24.95</v>
      </c>
      <c r="J398" s="1085" t="str">
        <f>IF(ISBLANK(I398)," ",IF(ISTEXT(I398)," ",IF(I398&lt;=[2]Нормативы!$H$38,"КМС",IF(I398&lt;=[2]Нормативы!$H$39,"КМС",IF(I398&lt;=[2]Нормативы!$L$40,"КМС",IF(I398&lt;=[2]Нормативы!$L$41,"I",IF(I398&lt;=[2]Нормативы!$L$42,"II",IF(I398&lt;=[2]Нормативы!$L$43,"III",IF(I398&lt;=[2]Нормативы!$L$44,"I юн",IF(I398&lt;=[2]Нормативы!$L$45,"II юн",IF(I398&lt;=[2]Нормативы!$L$46,"III юн","б/р")))))))))))</f>
        <v>III</v>
      </c>
      <c r="K398" s="976"/>
      <c r="L398" s="880"/>
    </row>
    <row r="399" spans="1:12" x14ac:dyDescent="0.3">
      <c r="A399" s="1086">
        <v>7</v>
      </c>
      <c r="B399" s="24" t="s">
        <v>35</v>
      </c>
      <c r="C399" s="24" t="s">
        <v>1846</v>
      </c>
      <c r="D399" s="890" t="s">
        <v>1807</v>
      </c>
      <c r="E399" s="1043">
        <v>41197</v>
      </c>
      <c r="F399" s="550" t="s">
        <v>1430</v>
      </c>
      <c r="G399" s="895"/>
      <c r="H399" s="550"/>
      <c r="I399" s="1025">
        <v>25.11</v>
      </c>
      <c r="J399" s="1085" t="str">
        <f>IF(ISBLANK(I399)," ",IF(ISTEXT(I399)," ",IF(I399&lt;=[2]Нормативы!$H$38,"КМС",IF(I399&lt;=[2]Нормативы!$H$39,"КМС",IF(I399&lt;=[2]Нормативы!$L$40,"КМС",IF(I399&lt;=[2]Нормативы!$L$41,"I",IF(I399&lt;=[2]Нормативы!$L$42,"II",IF(I399&lt;=[2]Нормативы!$L$43,"III",IF(I399&lt;=[2]Нормативы!$L$44,"I юн",IF(I399&lt;=[2]Нормативы!$L$45,"II юн",IF(I399&lt;=[2]Нормативы!$L$46,"III юн","б/р")))))))))))</f>
        <v>III</v>
      </c>
      <c r="K399" s="1026"/>
      <c r="L399" s="880"/>
    </row>
    <row r="400" spans="1:12" x14ac:dyDescent="0.3">
      <c r="A400" s="1086">
        <v>8</v>
      </c>
      <c r="B400" s="550" t="s">
        <v>24</v>
      </c>
      <c r="C400" s="1048" t="s">
        <v>1848</v>
      </c>
      <c r="D400" s="890" t="s">
        <v>1789</v>
      </c>
      <c r="E400" s="1049">
        <v>41517</v>
      </c>
      <c r="F400" s="550" t="s">
        <v>1430</v>
      </c>
      <c r="G400" s="895"/>
      <c r="H400" s="550"/>
      <c r="I400" s="1025">
        <v>25.11</v>
      </c>
      <c r="J400" s="1085" t="str">
        <f>IF(ISBLANK(I400)," ",IF(ISTEXT(I400)," ",IF(I400&lt;=[2]Нормативы!$H$38,"КМС",IF(I400&lt;=[2]Нормативы!$H$39,"КМС",IF(I400&lt;=[2]Нормативы!$L$40,"КМС",IF(I400&lt;=[2]Нормативы!$L$41,"I",IF(I400&lt;=[2]Нормативы!$L$42,"II",IF(I400&lt;=[2]Нормативы!$L$43,"III",IF(I400&lt;=[2]Нормативы!$L$44,"I юн",IF(I400&lt;=[2]Нормативы!$L$45,"II юн",IF(I400&lt;=[2]Нормативы!$L$46,"III юн","б/р")))))))))))</f>
        <v>III</v>
      </c>
      <c r="K400" s="1026"/>
      <c r="L400" s="880"/>
    </row>
    <row r="401" spans="1:12" x14ac:dyDescent="0.3">
      <c r="A401" s="1086">
        <v>9</v>
      </c>
      <c r="B401" s="550" t="s">
        <v>1839</v>
      </c>
      <c r="C401" s="550" t="s">
        <v>1840</v>
      </c>
      <c r="D401" s="551" t="s">
        <v>1733</v>
      </c>
      <c r="E401" s="1042">
        <v>41375</v>
      </c>
      <c r="F401" s="550" t="s">
        <v>460</v>
      </c>
      <c r="G401" s="895"/>
      <c r="H401" s="550"/>
      <c r="I401" s="1025">
        <v>25.4</v>
      </c>
      <c r="J401" s="1085" t="str">
        <f>IF(ISBLANK(I401)," ",IF(ISTEXT(I401)," ",IF(I401&lt;=[2]Нормативы!$H$38,"КМС",IF(I401&lt;=[2]Нормативы!$H$39,"КМС",IF(I401&lt;=[2]Нормативы!$L$40,"КМС",IF(I401&lt;=[2]Нормативы!$L$41,"I",IF(I401&lt;=[2]Нормативы!$L$42,"II",IF(I401&lt;=[2]Нормативы!$L$43,"III",IF(I401&lt;=[2]Нормативы!$L$44,"I юн",IF(I401&lt;=[2]Нормативы!$L$45,"II юн",IF(I401&lt;=[2]Нормативы!$L$46,"III юн","б/р")))))))))))</f>
        <v>III</v>
      </c>
      <c r="K401" s="1026"/>
      <c r="L401" s="880"/>
    </row>
    <row r="402" spans="1:12" x14ac:dyDescent="0.3">
      <c r="A402" s="1086">
        <v>10</v>
      </c>
      <c r="B402" s="550" t="s">
        <v>35</v>
      </c>
      <c r="C402" s="550" t="s">
        <v>1845</v>
      </c>
      <c r="D402" s="551" t="s">
        <v>1750</v>
      </c>
      <c r="E402" s="1042">
        <v>41305</v>
      </c>
      <c r="F402" s="550" t="s">
        <v>1598</v>
      </c>
      <c r="G402" s="895"/>
      <c r="H402" s="550"/>
      <c r="I402" s="1025">
        <v>25.82</v>
      </c>
      <c r="J402" s="1085" t="str">
        <f>IF(ISBLANK(I402)," ",IF(ISTEXT(I402)," ",IF(I402&lt;=[2]Нормативы!$H$38,"КМС",IF(I402&lt;=[2]Нормативы!$H$39,"КМС",IF(I402&lt;=[2]Нормативы!$L$40,"КМС",IF(I402&lt;=[2]Нормативы!$L$41,"I",IF(I402&lt;=[2]Нормативы!$L$42,"II",IF(I402&lt;=[2]Нормативы!$L$43,"III",IF(I402&lt;=[2]Нормативы!$L$44,"I юн",IF(I402&lt;=[2]Нормативы!$L$45,"II юн",IF(I402&lt;=[2]Нормативы!$L$46,"III юн","б/р")))))))))))</f>
        <v>III</v>
      </c>
    </row>
    <row r="403" spans="1:12" x14ac:dyDescent="0.3">
      <c r="A403" s="1086">
        <v>11</v>
      </c>
      <c r="B403" s="550" t="s">
        <v>35</v>
      </c>
      <c r="C403" s="1079" t="s">
        <v>1358</v>
      </c>
      <c r="D403" s="551" t="s">
        <v>1946</v>
      </c>
      <c r="E403" s="1080">
        <v>41059</v>
      </c>
      <c r="F403" s="550" t="s">
        <v>1450</v>
      </c>
      <c r="G403" s="359"/>
      <c r="H403" s="359"/>
      <c r="I403" s="1081">
        <v>26.09</v>
      </c>
      <c r="J403" s="1085" t="str">
        <f>IF(ISBLANK(I403)," ",IF(ISTEXT(I403)," ",IF(I403&lt;=[2]Нормативы!$H$38,"КМС",IF(I403&lt;=[2]Нормативы!$H$39,"КМС",IF(I403&lt;=[2]Нормативы!$L$40,"КМС",IF(I403&lt;=[2]Нормативы!$L$41,"I",IF(I403&lt;=[2]Нормативы!$L$42,"II",IF(I403&lt;=[2]Нормативы!$L$43,"III",IF(I403&lt;=[2]Нормативы!$L$44,"I юн",IF(I403&lt;=[2]Нормативы!$L$45,"II юн",IF(I403&lt;=[2]Нормативы!$L$46,"III юн","б/р")))))))))))</f>
        <v>III</v>
      </c>
      <c r="K403" s="1008"/>
    </row>
    <row r="404" spans="1:12" x14ac:dyDescent="0.3">
      <c r="A404" s="1086">
        <v>12</v>
      </c>
      <c r="B404" s="550" t="s">
        <v>35</v>
      </c>
      <c r="C404" s="550" t="s">
        <v>1842</v>
      </c>
      <c r="D404" s="551" t="s">
        <v>1733</v>
      </c>
      <c r="E404" s="1042">
        <v>41363</v>
      </c>
      <c r="F404" s="550" t="s">
        <v>1381</v>
      </c>
      <c r="G404" s="895"/>
      <c r="H404" s="550"/>
      <c r="I404" s="1025">
        <v>26.11</v>
      </c>
      <c r="J404" s="1085" t="str">
        <f>IF(ISBLANK(I404)," ",IF(ISTEXT(I404)," ",IF(I404&lt;=[2]Нормативы!$H$38,"КМС",IF(I404&lt;=[2]Нормативы!$H$39,"КМС",IF(I404&lt;=[2]Нормативы!$L$40,"КМС",IF(I404&lt;=[2]Нормативы!$L$41,"I",IF(I404&lt;=[2]Нормативы!$L$42,"II",IF(I404&lt;=[2]Нормативы!$L$43,"III",IF(I404&lt;=[2]Нормативы!$L$44,"I юн",IF(I404&lt;=[2]Нормативы!$L$45,"II юн",IF(I404&lt;=[2]Нормативы!$L$46,"III юн","б/р")))))))))))</f>
        <v>I юн</v>
      </c>
      <c r="K404" s="1008"/>
    </row>
    <row r="405" spans="1:12" x14ac:dyDescent="0.3">
      <c r="A405" s="1086">
        <v>13</v>
      </c>
      <c r="B405" s="550" t="s">
        <v>35</v>
      </c>
      <c r="C405" s="550" t="s">
        <v>1835</v>
      </c>
      <c r="D405" s="551" t="s">
        <v>1739</v>
      </c>
      <c r="E405" s="1042">
        <v>41375</v>
      </c>
      <c r="F405" s="550" t="s">
        <v>1834</v>
      </c>
      <c r="G405" s="895"/>
      <c r="H405" s="550"/>
      <c r="I405" s="1025">
        <v>26.47</v>
      </c>
      <c r="J405" s="1085" t="str">
        <f>IF(ISBLANK(I405)," ",IF(ISTEXT(I405)," ",IF(I405&lt;=[2]Нормативы!$H$38,"КМС",IF(I405&lt;=[2]Нормативы!$H$39,"КМС",IF(I405&lt;=[2]Нормативы!$L$40,"КМС",IF(I405&lt;=[2]Нормативы!$L$41,"I",IF(I405&lt;=[2]Нормативы!$L$42,"II",IF(I405&lt;=[2]Нормативы!$L$43,"III",IF(I405&lt;=[2]Нормативы!$L$44,"I юн",IF(I405&lt;=[2]Нормативы!$L$45,"II юн",IF(I405&lt;=[2]Нормативы!$L$46,"III юн","б/р")))))))))))</f>
        <v>I юн</v>
      </c>
      <c r="K405" s="1008"/>
    </row>
    <row r="406" spans="1:12" x14ac:dyDescent="0.3">
      <c r="A406" s="1086">
        <v>14</v>
      </c>
      <c r="B406" s="550" t="s">
        <v>35</v>
      </c>
      <c r="C406" s="550" t="s">
        <v>1843</v>
      </c>
      <c r="D406" s="551" t="s">
        <v>1844</v>
      </c>
      <c r="E406" s="1042">
        <v>41143</v>
      </c>
      <c r="F406" s="550" t="s">
        <v>1834</v>
      </c>
      <c r="G406" s="895"/>
      <c r="H406" s="550"/>
      <c r="I406" s="1025">
        <v>26.62</v>
      </c>
      <c r="J406" s="1085" t="str">
        <f>IF(ISBLANK(I406)," ",IF(ISTEXT(I406)," ",IF(I406&lt;=[2]Нормативы!$H$38,"КМС",IF(I406&lt;=[2]Нормативы!$H$39,"КМС",IF(I406&lt;=[2]Нормативы!$L$40,"КМС",IF(I406&lt;=[2]Нормативы!$L$41,"I",IF(I406&lt;=[2]Нормативы!$L$42,"II",IF(I406&lt;=[2]Нормативы!$L$43,"III",IF(I406&lt;=[2]Нормативы!$L$44,"I юн",IF(I406&lt;=[2]Нормативы!$L$45,"II юн",IF(I406&lt;=[2]Нормативы!$L$46,"III юн","б/р")))))))))))</f>
        <v>I юн</v>
      </c>
      <c r="K406" s="1008"/>
    </row>
    <row r="407" spans="1:12" x14ac:dyDescent="0.3">
      <c r="A407" s="1086">
        <v>15</v>
      </c>
      <c r="B407" s="550" t="s">
        <v>35</v>
      </c>
      <c r="C407" s="550" t="s">
        <v>1841</v>
      </c>
      <c r="D407" s="551" t="s">
        <v>1735</v>
      </c>
      <c r="E407" s="1042">
        <v>41109</v>
      </c>
      <c r="F407" s="550" t="s">
        <v>1450</v>
      </c>
      <c r="G407" s="895"/>
      <c r="H407" s="550"/>
      <c r="I407" s="1025">
        <v>26.98</v>
      </c>
      <c r="J407" s="1085" t="str">
        <f>IF(ISBLANK(I407)," ",IF(ISTEXT(I407)," ",IF(I407&lt;=[2]Нормативы!$H$38,"КМС",IF(I407&lt;=[2]Нормативы!$H$39,"КМС",IF(I407&lt;=[2]Нормативы!$L$40,"КМС",IF(I407&lt;=[2]Нормативы!$L$41,"I",IF(I407&lt;=[2]Нормативы!$L$42,"II",IF(I407&lt;=[2]Нормативы!$L$43,"III",IF(I407&lt;=[2]Нормативы!$L$44,"I юн",IF(I407&lt;=[2]Нормативы!$L$45,"II юн",IF(I407&lt;=[2]Нормативы!$L$46,"III юн","б/р")))))))))))</f>
        <v>I юн</v>
      </c>
      <c r="K407" s="1008"/>
    </row>
    <row r="408" spans="1:12" x14ac:dyDescent="0.3">
      <c r="A408" s="1086">
        <v>16</v>
      </c>
      <c r="B408" s="550" t="s">
        <v>35</v>
      </c>
      <c r="C408" s="550" t="s">
        <v>1832</v>
      </c>
      <c r="D408" s="551" t="s">
        <v>1833</v>
      </c>
      <c r="E408" s="1042">
        <v>41103</v>
      </c>
      <c r="F408" s="550" t="s">
        <v>1834</v>
      </c>
      <c r="G408" s="895"/>
      <c r="H408" s="550"/>
      <c r="I408" s="1025">
        <v>27.04</v>
      </c>
      <c r="J408" s="1085" t="str">
        <f>IF(ISBLANK(I408)," ",IF(ISTEXT(I408)," ",IF(I408&lt;=[2]Нормативы!$H$38,"КМС",IF(I408&lt;=[2]Нормативы!$H$39,"КМС",IF(I408&lt;=[2]Нормативы!$L$40,"КМС",IF(I408&lt;=[2]Нормативы!$L$41,"I",IF(I408&lt;=[2]Нормативы!$L$42,"II",IF(I408&lt;=[2]Нормативы!$L$43,"III",IF(I408&lt;=[2]Нормативы!$L$44,"I юн",IF(I408&lt;=[2]Нормативы!$L$45,"II юн",IF(I408&lt;=[2]Нормативы!$L$46,"III юн","б/р")))))))))))</f>
        <v>I юн</v>
      </c>
      <c r="K408" s="1008"/>
    </row>
    <row r="409" spans="1:12" x14ac:dyDescent="0.3">
      <c r="A409" s="1086">
        <v>17</v>
      </c>
      <c r="B409" s="550" t="s">
        <v>35</v>
      </c>
      <c r="C409" s="550" t="s">
        <v>1501</v>
      </c>
      <c r="D409" s="551" t="s">
        <v>1725</v>
      </c>
      <c r="E409" s="1042">
        <v>41584</v>
      </c>
      <c r="F409" s="550" t="s">
        <v>1450</v>
      </c>
      <c r="G409" s="895"/>
      <c r="H409" s="550"/>
      <c r="I409" s="1025">
        <v>27.09</v>
      </c>
      <c r="J409" s="1085" t="str">
        <f>IF(ISBLANK(I409)," ",IF(ISTEXT(I409)," ",IF(I409&lt;=[2]Нормативы!$H$38,"КМС",IF(I409&lt;=[2]Нормативы!$H$39,"КМС",IF(I409&lt;=[2]Нормативы!$L$40,"КМС",IF(I409&lt;=[2]Нормативы!$L$41,"I",IF(I409&lt;=[2]Нормативы!$L$42,"II",IF(I409&lt;=[2]Нормативы!$L$43,"III",IF(I409&lt;=[2]Нормативы!$L$44,"I юн",IF(I409&lt;=[2]Нормативы!$L$45,"II юн",IF(I409&lt;=[2]Нормативы!$L$46,"III юн","б/р")))))))))))</f>
        <v>I юн</v>
      </c>
      <c r="K409" s="1008"/>
    </row>
    <row r="410" spans="1:12" x14ac:dyDescent="0.3">
      <c r="A410" s="1086">
        <v>18</v>
      </c>
      <c r="B410" s="550" t="s">
        <v>35</v>
      </c>
      <c r="C410" s="550" t="s">
        <v>1838</v>
      </c>
      <c r="D410" s="551" t="s">
        <v>1760</v>
      </c>
      <c r="E410" s="1042">
        <v>41478</v>
      </c>
      <c r="F410" s="550" t="s">
        <v>1452</v>
      </c>
      <c r="G410" s="895"/>
      <c r="H410" s="550"/>
      <c r="I410" s="1025">
        <v>27.18</v>
      </c>
      <c r="J410" s="1085" t="str">
        <f>IF(ISBLANK(I410)," ",IF(ISTEXT(I410)," ",IF(I410&lt;=[2]Нормативы!$H$38,"КМС",IF(I410&lt;=[2]Нормативы!$H$39,"КМС",IF(I410&lt;=[2]Нормативы!$L$40,"КМС",IF(I410&lt;=[2]Нормативы!$L$41,"I",IF(I410&lt;=[2]Нормативы!$L$42,"II",IF(I410&lt;=[2]Нормативы!$L$43,"III",IF(I410&lt;=[2]Нормативы!$L$44,"I юн",IF(I410&lt;=[2]Нормативы!$L$45,"II юн",IF(I410&lt;=[2]Нормативы!$L$46,"III юн","б/р")))))))))))</f>
        <v>I юн</v>
      </c>
      <c r="K410" s="1008"/>
    </row>
    <row r="411" spans="1:12" x14ac:dyDescent="0.3">
      <c r="A411" s="1086">
        <v>19</v>
      </c>
      <c r="B411" s="550" t="s">
        <v>35</v>
      </c>
      <c r="C411" s="1047" t="s">
        <v>1837</v>
      </c>
      <c r="D411" s="551" t="s">
        <v>1744</v>
      </c>
      <c r="E411" s="1042">
        <v>41473</v>
      </c>
      <c r="F411" s="550" t="s">
        <v>1596</v>
      </c>
      <c r="G411" s="895"/>
      <c r="H411" s="550"/>
      <c r="I411" s="1025">
        <v>27.33</v>
      </c>
      <c r="J411" s="1085" t="str">
        <f>IF(ISBLANK(I411)," ",IF(ISTEXT(I411)," ",IF(I411&lt;=[2]Нормативы!$H$38,"КМС",IF(I411&lt;=[2]Нормативы!$H$39,"КМС",IF(I411&lt;=[2]Нормативы!$L$40,"КМС",IF(I411&lt;=[2]Нормативы!$L$41,"I",IF(I411&lt;=[2]Нормативы!$L$42,"II",IF(I411&lt;=[2]Нормативы!$L$43,"III",IF(I411&lt;=[2]Нормативы!$L$44,"I юн",IF(I411&lt;=[2]Нормативы!$L$45,"II юн",IF(I411&lt;=[2]Нормативы!$L$46,"III юн","б/р")))))))))))</f>
        <v>I юн</v>
      </c>
      <c r="K411" s="1008"/>
    </row>
    <row r="412" spans="1:12" x14ac:dyDescent="0.3">
      <c r="A412" s="1086">
        <v>20</v>
      </c>
      <c r="B412" s="550" t="s">
        <v>35</v>
      </c>
      <c r="C412" s="550" t="s">
        <v>1829</v>
      </c>
      <c r="D412" s="551" t="s">
        <v>1830</v>
      </c>
      <c r="E412" s="1042">
        <v>41166</v>
      </c>
      <c r="F412" s="550" t="s">
        <v>1598</v>
      </c>
      <c r="G412" s="895"/>
      <c r="H412" s="550"/>
      <c r="I412" s="1025">
        <v>27.39</v>
      </c>
      <c r="J412" s="1085" t="str">
        <f>IF(ISBLANK(I412)," ",IF(ISTEXT(I412)," ",IF(I412&lt;=[2]Нормативы!$H$38,"КМС",IF(I412&lt;=[2]Нормативы!$H$39,"КМС",IF(I412&lt;=[2]Нормативы!$L$40,"КМС",IF(I412&lt;=[2]Нормативы!$L$41,"I",IF(I412&lt;=[2]Нормативы!$L$42,"II",IF(I412&lt;=[2]Нормативы!$L$43,"III",IF(I412&lt;=[2]Нормативы!$L$44,"I юн",IF(I412&lt;=[2]Нормативы!$L$45,"II юн",IF(I412&lt;=[2]Нормативы!$L$46,"III юн","б/р")))))))))))</f>
        <v>I юн</v>
      </c>
    </row>
    <row r="413" spans="1:12" x14ac:dyDescent="0.3">
      <c r="A413" s="1086">
        <v>21</v>
      </c>
      <c r="B413" s="550" t="s">
        <v>35</v>
      </c>
      <c r="C413" s="1047" t="s">
        <v>1514</v>
      </c>
      <c r="D413" s="551" t="s">
        <v>1764</v>
      </c>
      <c r="E413" s="1042">
        <v>40970</v>
      </c>
      <c r="F413" s="550" t="s">
        <v>1596</v>
      </c>
      <c r="G413" s="895"/>
      <c r="H413" s="550"/>
      <c r="I413" s="1025">
        <v>27.5</v>
      </c>
      <c r="J413" s="1085" t="str">
        <f>IF(ISBLANK(I413)," ",IF(ISTEXT(I413)," ",IF(I413&lt;=[2]Нормативы!$H$38,"КМС",IF(I413&lt;=[2]Нормативы!$H$39,"КМС",IF(I413&lt;=[2]Нормативы!$L$40,"КМС",IF(I413&lt;=[2]Нормативы!$L$41,"I",IF(I413&lt;=[2]Нормативы!$L$42,"II",IF(I413&lt;=[2]Нормативы!$L$43,"III",IF(I413&lt;=[2]Нормативы!$L$44,"I юн",IF(I413&lt;=[2]Нормативы!$L$45,"II юн",IF(I413&lt;=[2]Нормативы!$L$46,"III юн","б/р")))))))))))</f>
        <v>I юн</v>
      </c>
    </row>
    <row r="414" spans="1:12" x14ac:dyDescent="0.3">
      <c r="A414" s="1086">
        <v>22</v>
      </c>
      <c r="B414" s="550" t="s">
        <v>35</v>
      </c>
      <c r="C414" s="550" t="s">
        <v>1825</v>
      </c>
      <c r="D414" s="551" t="s">
        <v>1752</v>
      </c>
      <c r="E414" s="1042">
        <v>41113</v>
      </c>
      <c r="F414" s="550" t="s">
        <v>1634</v>
      </c>
      <c r="G414" s="895"/>
      <c r="H414" s="550"/>
      <c r="I414" s="1025">
        <v>27.68</v>
      </c>
      <c r="J414" s="1085" t="str">
        <f>IF(ISBLANK(I414)," ",IF(ISTEXT(I414)," ",IF(I414&lt;=[2]Нормативы!$H$38,"КМС",IF(I414&lt;=[2]Нормативы!$H$39,"КМС",IF(I414&lt;=[2]Нормативы!$L$40,"КМС",IF(I414&lt;=[2]Нормативы!$L$41,"I",IF(I414&lt;=[2]Нормативы!$L$42,"II",IF(I414&lt;=[2]Нормативы!$L$43,"III",IF(I414&lt;=[2]Нормативы!$L$44,"I юн",IF(I414&lt;=[2]Нормативы!$L$45,"II юн",IF(I414&lt;=[2]Нормативы!$L$46,"III юн","б/р")))))))))))</f>
        <v>I юн</v>
      </c>
    </row>
    <row r="415" spans="1:12" x14ac:dyDescent="0.3">
      <c r="A415" s="1086">
        <v>23</v>
      </c>
      <c r="B415" s="550" t="s">
        <v>35</v>
      </c>
      <c r="C415" s="550" t="s">
        <v>1823</v>
      </c>
      <c r="D415" s="551" t="s">
        <v>1792</v>
      </c>
      <c r="E415" s="1042">
        <v>41062</v>
      </c>
      <c r="F415" s="550" t="s">
        <v>1654</v>
      </c>
      <c r="G415" s="895"/>
      <c r="H415" s="550"/>
      <c r="I415" s="1025">
        <v>27.75</v>
      </c>
      <c r="J415" s="1085" t="str">
        <f>IF(ISBLANK(I415)," ",IF(ISTEXT(I415)," ",IF(I415&lt;=[2]Нормативы!$H$38,"КМС",IF(I415&lt;=[2]Нормативы!$H$39,"КМС",IF(I415&lt;=[2]Нормативы!$L$40,"КМС",IF(I415&lt;=[2]Нормативы!$L$41,"I",IF(I415&lt;=[2]Нормативы!$L$42,"II",IF(I415&lt;=[2]Нормативы!$L$43,"III",IF(I415&lt;=[2]Нормативы!$L$44,"I юн",IF(I415&lt;=[2]Нормативы!$L$45,"II юн",IF(I415&lt;=[2]Нормативы!$L$46,"III юн","б/р")))))))))))</f>
        <v>I юн</v>
      </c>
      <c r="K415" s="976"/>
    </row>
    <row r="416" spans="1:12" x14ac:dyDescent="0.3">
      <c r="A416" s="1086">
        <v>24</v>
      </c>
      <c r="B416" s="550" t="s">
        <v>35</v>
      </c>
      <c r="C416" s="550" t="s">
        <v>1828</v>
      </c>
      <c r="D416" s="551" t="s">
        <v>1750</v>
      </c>
      <c r="E416" s="1042">
        <v>41452</v>
      </c>
      <c r="F416" s="550" t="s">
        <v>1381</v>
      </c>
      <c r="G416" s="895"/>
      <c r="H416" s="550"/>
      <c r="I416" s="1025">
        <v>27.85</v>
      </c>
      <c r="J416" s="1085" t="str">
        <f>IF(ISBLANK(I416)," ",IF(ISTEXT(I416)," ",IF(I416&lt;=[2]Нормативы!$H$38,"КМС",IF(I416&lt;=[2]Нормативы!$H$39,"КМС",IF(I416&lt;=[2]Нормативы!$L$40,"КМС",IF(I416&lt;=[2]Нормативы!$L$41,"I",IF(I416&lt;=[2]Нормативы!$L$42,"II",IF(I416&lt;=[2]Нормативы!$L$43,"III",IF(I416&lt;=[2]Нормативы!$L$44,"I юн",IF(I416&lt;=[2]Нормативы!$L$45,"II юн",IF(I416&lt;=[2]Нормативы!$L$46,"III юн","б/р")))))))))))</f>
        <v>I юн</v>
      </c>
      <c r="K416" s="976"/>
    </row>
    <row r="417" spans="1:11" x14ac:dyDescent="0.3">
      <c r="A417" s="1086">
        <v>25</v>
      </c>
      <c r="B417" s="550" t="s">
        <v>35</v>
      </c>
      <c r="C417" s="550" t="s">
        <v>1827</v>
      </c>
      <c r="D417" s="551" t="s">
        <v>1737</v>
      </c>
      <c r="E417" s="1042">
        <v>41462</v>
      </c>
      <c r="F417" s="550" t="s">
        <v>1634</v>
      </c>
      <c r="G417" s="895"/>
      <c r="H417" s="550"/>
      <c r="I417" s="1025">
        <v>27.92</v>
      </c>
      <c r="J417" s="1085" t="str">
        <f>IF(ISBLANK(I417)," ",IF(ISTEXT(I417)," ",IF(I417&lt;=[2]Нормативы!$H$38,"КМС",IF(I417&lt;=[2]Нормативы!$H$39,"КМС",IF(I417&lt;=[2]Нормативы!$L$40,"КМС",IF(I417&lt;=[2]Нормативы!$L$41,"I",IF(I417&lt;=[2]Нормативы!$L$42,"II",IF(I417&lt;=[2]Нормативы!$L$43,"III",IF(I417&lt;=[2]Нормативы!$L$44,"I юн",IF(I417&lt;=[2]Нормативы!$L$45,"II юн",IF(I417&lt;=[2]Нормативы!$L$46,"III юн","б/р")))))))))))</f>
        <v>I юн</v>
      </c>
      <c r="K417" s="976"/>
    </row>
    <row r="418" spans="1:11" x14ac:dyDescent="0.3">
      <c r="A418" s="1086">
        <v>26</v>
      </c>
      <c r="B418" s="550" t="s">
        <v>20</v>
      </c>
      <c r="C418" s="550" t="s">
        <v>1836</v>
      </c>
      <c r="D418" s="551" t="s">
        <v>1755</v>
      </c>
      <c r="E418" s="1042">
        <v>41258</v>
      </c>
      <c r="F418" s="550" t="s">
        <v>1452</v>
      </c>
      <c r="G418" s="895"/>
      <c r="H418" s="550"/>
      <c r="I418" s="1025">
        <v>28.01</v>
      </c>
      <c r="J418" s="1085" t="str">
        <f>IF(ISBLANK(I418)," ",IF(ISTEXT(I418)," ",IF(I418&lt;=[2]Нормативы!$H$38,"КМС",IF(I418&lt;=[2]Нормативы!$H$39,"КМС",IF(I418&lt;=[2]Нормативы!$L$40,"КМС",IF(I418&lt;=[2]Нормативы!$L$41,"I",IF(I418&lt;=[2]Нормативы!$L$42,"II",IF(I418&lt;=[2]Нормативы!$L$43,"III",IF(I418&lt;=[2]Нормативы!$L$44,"I юн",IF(I418&lt;=[2]Нормативы!$L$45,"II юн",IF(I418&lt;=[2]Нормативы!$L$46,"III юн","б/р")))))))))))</f>
        <v>I юн</v>
      </c>
      <c r="K418" s="976"/>
    </row>
    <row r="419" spans="1:11" x14ac:dyDescent="0.3">
      <c r="A419" s="1086">
        <v>27</v>
      </c>
      <c r="B419" s="550" t="s">
        <v>35</v>
      </c>
      <c r="C419" s="550" t="s">
        <v>1824</v>
      </c>
      <c r="D419" s="551" t="s">
        <v>1725</v>
      </c>
      <c r="E419" s="1042">
        <v>41200</v>
      </c>
      <c r="F419" s="550" t="s">
        <v>1634</v>
      </c>
      <c r="G419" s="895"/>
      <c r="H419" s="550"/>
      <c r="I419" s="1025">
        <v>28.16</v>
      </c>
      <c r="J419" s="1085" t="str">
        <f>IF(ISBLANK(I419)," ",IF(ISTEXT(I419)," ",IF(I419&lt;=[2]Нормативы!$H$38,"КМС",IF(I419&lt;=[2]Нормативы!$H$39,"КМС",IF(I419&lt;=[2]Нормативы!$L$40,"КМС",IF(I419&lt;=[2]Нормативы!$L$41,"I",IF(I419&lt;=[2]Нормативы!$L$42,"II",IF(I419&lt;=[2]Нормативы!$L$43,"III",IF(I419&lt;=[2]Нормативы!$L$44,"I юн",IF(I419&lt;=[2]Нормативы!$L$45,"II юн",IF(I419&lt;=[2]Нормативы!$L$46,"III юн","б/р")))))))))))</f>
        <v>I юн</v>
      </c>
      <c r="K419" s="976"/>
    </row>
    <row r="420" spans="1:11" x14ac:dyDescent="0.3">
      <c r="A420" s="1086">
        <v>28</v>
      </c>
      <c r="B420" s="550" t="s">
        <v>35</v>
      </c>
      <c r="C420" s="551" t="s">
        <v>1831</v>
      </c>
      <c r="D420" s="551" t="s">
        <v>1729</v>
      </c>
      <c r="E420" s="1042">
        <v>41130</v>
      </c>
      <c r="F420" s="550" t="s">
        <v>1596</v>
      </c>
      <c r="G420" s="895"/>
      <c r="H420" s="550"/>
      <c r="I420" s="1025">
        <v>28.33</v>
      </c>
      <c r="J420" s="1085" t="str">
        <f>IF(ISBLANK(I420)," ",IF(ISTEXT(I420)," ",IF(I420&lt;=[2]Нормативы!$H$38,"КМС",IF(I420&lt;=[2]Нормативы!$H$39,"КМС",IF(I420&lt;=[2]Нормативы!$L$40,"КМС",IF(I420&lt;=[2]Нормативы!$L$41,"I",IF(I420&lt;=[2]Нормативы!$L$42,"II",IF(I420&lt;=[2]Нормативы!$L$43,"III",IF(I420&lt;=[2]Нормативы!$L$44,"I юн",IF(I420&lt;=[2]Нормативы!$L$45,"II юн",IF(I420&lt;=[2]Нормативы!$L$46,"III юн","б/р")))))))))))</f>
        <v>I юн</v>
      </c>
      <c r="K420" s="976"/>
    </row>
    <row r="421" spans="1:11" x14ac:dyDescent="0.3">
      <c r="A421" s="1086">
        <v>29</v>
      </c>
      <c r="B421" s="550" t="s">
        <v>20</v>
      </c>
      <c r="C421" s="1047" t="s">
        <v>1808</v>
      </c>
      <c r="D421" s="551" t="s">
        <v>1768</v>
      </c>
      <c r="E421" s="1042">
        <v>41114</v>
      </c>
      <c r="F421" s="24" t="s">
        <v>1596</v>
      </c>
      <c r="G421" s="895"/>
      <c r="H421" s="550"/>
      <c r="I421" s="1025">
        <v>28.63</v>
      </c>
      <c r="J421" s="1085" t="str">
        <f>IF(ISBLANK(I421)," ",IF(ISTEXT(I421)," ",IF(I421&lt;=[2]Нормативы!$H$38,"КМС",IF(I421&lt;=[2]Нормативы!$H$39,"КМС",IF(I421&lt;=[2]Нормативы!$L$40,"КМС",IF(I421&lt;=[2]Нормативы!$L$41,"I",IF(I421&lt;=[2]Нормативы!$L$42,"II",IF(I421&lt;=[2]Нормативы!$L$43,"III",IF(I421&lt;=[2]Нормативы!$L$44,"I юн",IF(I421&lt;=[2]Нормативы!$L$45,"II юн",IF(I421&lt;=[2]Нормативы!$L$46,"III юн","б/р")))))))))))</f>
        <v>I юн</v>
      </c>
      <c r="K421" s="976"/>
    </row>
    <row r="422" spans="1:11" s="948" customFormat="1" x14ac:dyDescent="0.3">
      <c r="A422" s="1086">
        <v>30</v>
      </c>
      <c r="B422" s="550" t="s">
        <v>35</v>
      </c>
      <c r="C422" s="551" t="s">
        <v>1578</v>
      </c>
      <c r="D422" s="551" t="s">
        <v>1729</v>
      </c>
      <c r="E422" s="1042">
        <v>41539</v>
      </c>
      <c r="F422" s="550" t="s">
        <v>1596</v>
      </c>
      <c r="G422" s="895"/>
      <c r="H422" s="550"/>
      <c r="I422" s="1025">
        <v>29.11</v>
      </c>
      <c r="J422" s="1085" t="str">
        <f>IF(ISBLANK(I422)," ",IF(ISTEXT(I422)," ",IF(I422&lt;=[2]Нормативы!$H$38,"КМС",IF(I422&lt;=[2]Нормативы!$H$39,"КМС",IF(I422&lt;=[2]Нормативы!$L$40,"КМС",IF(I422&lt;=[2]Нормативы!$L$41,"I",IF(I422&lt;=[2]Нормативы!$L$42,"II",IF(I422&lt;=[2]Нормативы!$L$43,"III",IF(I422&lt;=[2]Нормативы!$L$44,"I юн",IF(I422&lt;=[2]Нормативы!$L$45,"II юн",IF(I422&lt;=[2]Нормативы!$L$46,"III юн","б/р")))))))))))</f>
        <v>I юн</v>
      </c>
      <c r="K422" s="976"/>
    </row>
    <row r="423" spans="1:11" x14ac:dyDescent="0.3">
      <c r="A423" s="1086">
        <v>31</v>
      </c>
      <c r="B423" s="550" t="s">
        <v>20</v>
      </c>
      <c r="C423" s="551" t="s">
        <v>2062</v>
      </c>
      <c r="D423" s="551" t="s">
        <v>1789</v>
      </c>
      <c r="E423" s="1042">
        <v>41306</v>
      </c>
      <c r="F423" s="550" t="s">
        <v>1450</v>
      </c>
      <c r="G423" s="895"/>
      <c r="H423" s="550"/>
      <c r="I423" s="1025">
        <v>29.15</v>
      </c>
      <c r="J423" s="1085" t="str">
        <f>IF(ISBLANK(I423)," ",IF(ISTEXT(I423)," ",IF(I423&lt;=[2]Нормативы!$H$38,"КМС",IF(I423&lt;=[2]Нормативы!$H$39,"КМС",IF(I423&lt;=[2]Нормативы!$L$40,"КМС",IF(I423&lt;=[2]Нормативы!$L$41,"I",IF(I423&lt;=[2]Нормативы!$L$42,"II",IF(I423&lt;=[2]Нормативы!$L$43,"III",IF(I423&lt;=[2]Нормативы!$L$44,"I юн",IF(I423&lt;=[2]Нормативы!$L$45,"II юн",IF(I423&lt;=[2]Нормативы!$L$46,"III юн","б/р")))))))))))</f>
        <v>I юн</v>
      </c>
      <c r="K423" s="976"/>
    </row>
    <row r="424" spans="1:11" x14ac:dyDescent="0.3">
      <c r="A424" s="1086">
        <v>32</v>
      </c>
      <c r="B424" s="550" t="s">
        <v>20</v>
      </c>
      <c r="C424" s="551" t="s">
        <v>1821</v>
      </c>
      <c r="D424" s="551" t="s">
        <v>1735</v>
      </c>
      <c r="E424" s="1042">
        <v>41210</v>
      </c>
      <c r="F424" s="550" t="s">
        <v>1596</v>
      </c>
      <c r="G424" s="895"/>
      <c r="H424" s="550"/>
      <c r="I424" s="1025">
        <v>29.2</v>
      </c>
      <c r="J424" s="1085" t="str">
        <f>IF(ISBLANK(I424)," ",IF(ISTEXT(I424)," ",IF(I424&lt;=[2]Нормативы!$H$38,"КМС",IF(I424&lt;=[2]Нормативы!$H$39,"КМС",IF(I424&lt;=[2]Нормативы!$L$40,"КМС",IF(I424&lt;=[2]Нормативы!$L$41,"I",IF(I424&lt;=[2]Нормативы!$L$42,"II",IF(I424&lt;=[2]Нормативы!$L$43,"III",IF(I424&lt;=[2]Нормативы!$L$44,"I юн",IF(I424&lt;=[2]Нормативы!$L$45,"II юн",IF(I424&lt;=[2]Нормативы!$L$46,"III юн","б/р")))))))))))</f>
        <v>I юн</v>
      </c>
      <c r="K424" s="976"/>
    </row>
    <row r="425" spans="1:11" s="948" customFormat="1" x14ac:dyDescent="0.3">
      <c r="A425" s="1086">
        <v>33</v>
      </c>
      <c r="B425" s="550" t="s">
        <v>20</v>
      </c>
      <c r="C425" s="550" t="s">
        <v>1815</v>
      </c>
      <c r="D425" s="551" t="s">
        <v>1785</v>
      </c>
      <c r="E425" s="1042">
        <v>41607</v>
      </c>
      <c r="F425" s="550" t="s">
        <v>1598</v>
      </c>
      <c r="G425" s="895"/>
      <c r="H425" s="550"/>
      <c r="I425" s="1025">
        <v>29.33</v>
      </c>
      <c r="J425" s="1085" t="str">
        <f>IF(ISBLANK(I425)," ",IF(ISTEXT(I425)," ",IF(I425&lt;=[2]Нормативы!$H$38,"КМС",IF(I425&lt;=[2]Нормативы!$H$39,"КМС",IF(I425&lt;=[2]Нормативы!$L$40,"КМС",IF(I425&lt;=[2]Нормативы!$L$41,"I",IF(I425&lt;=[2]Нормативы!$L$42,"II",IF(I425&lt;=[2]Нормативы!$L$43,"III",IF(I425&lt;=[2]Нормативы!$L$44,"I юн",IF(I425&lt;=[2]Нормативы!$L$45,"II юн",IF(I425&lt;=[2]Нормативы!$L$46,"III юн","б/р")))))))))))</f>
        <v>I юн</v>
      </c>
      <c r="K425" s="976"/>
    </row>
    <row r="426" spans="1:11" x14ac:dyDescent="0.3">
      <c r="A426" s="1086">
        <v>34</v>
      </c>
      <c r="B426" s="550" t="s">
        <v>20</v>
      </c>
      <c r="C426" s="550" t="s">
        <v>2061</v>
      </c>
      <c r="D426" s="551" t="s">
        <v>1739</v>
      </c>
      <c r="E426" s="1042">
        <v>41135</v>
      </c>
      <c r="F426" s="550" t="s">
        <v>1450</v>
      </c>
      <c r="G426" s="895"/>
      <c r="H426" s="550"/>
      <c r="I426" s="1025">
        <v>29.4</v>
      </c>
      <c r="J426" s="1085" t="str">
        <f>IF(ISBLANK(I426)," ",IF(ISTEXT(I426)," ",IF(I426&lt;=[2]Нормативы!$H$38,"КМС",IF(I426&lt;=[2]Нормативы!$H$39,"КМС",IF(I426&lt;=[2]Нормативы!$L$40,"КМС",IF(I426&lt;=[2]Нормативы!$L$41,"I",IF(I426&lt;=[2]Нормативы!$L$42,"II",IF(I426&lt;=[2]Нормативы!$L$43,"III",IF(I426&lt;=[2]Нормативы!$L$44,"I юн",IF(I426&lt;=[2]Нормативы!$L$45,"II юн",IF(I426&lt;=[2]Нормативы!$L$46,"III юн","б/р")))))))))))</f>
        <v>I юн</v>
      </c>
      <c r="K426" s="976"/>
    </row>
    <row r="427" spans="1:11" x14ac:dyDescent="0.3">
      <c r="A427" s="1086">
        <v>35</v>
      </c>
      <c r="B427" s="550" t="s">
        <v>35</v>
      </c>
      <c r="C427" s="1047" t="s">
        <v>1822</v>
      </c>
      <c r="D427" s="551" t="s">
        <v>1739</v>
      </c>
      <c r="E427" s="1042">
        <v>41415</v>
      </c>
      <c r="F427" s="550" t="s">
        <v>1596</v>
      </c>
      <c r="G427" s="895"/>
      <c r="H427" s="550"/>
      <c r="I427" s="1025">
        <v>29.51</v>
      </c>
      <c r="J427" s="1085" t="str">
        <f>IF(ISBLANK(I427)," ",IF(ISTEXT(I427)," ",IF(I427&lt;=[2]Нормативы!$H$38,"КМС",IF(I427&lt;=[2]Нормативы!$H$39,"КМС",IF(I427&lt;=[2]Нормативы!$L$40,"КМС",IF(I427&lt;=[2]Нормативы!$L$41,"I",IF(I427&lt;=[2]Нормативы!$L$42,"II",IF(I427&lt;=[2]Нормативы!$L$43,"III",IF(I427&lt;=[2]Нормативы!$L$44,"I юн",IF(I427&lt;=[2]Нормативы!$L$45,"II юн",IF(I427&lt;=[2]Нормативы!$L$46,"III юн","б/р")))))))))))</f>
        <v>II юн</v>
      </c>
      <c r="K427" s="976"/>
    </row>
    <row r="428" spans="1:11" x14ac:dyDescent="0.3">
      <c r="A428" s="1086">
        <v>36</v>
      </c>
      <c r="B428" s="550" t="s">
        <v>20</v>
      </c>
      <c r="C428" s="550" t="s">
        <v>1814</v>
      </c>
      <c r="D428" s="551" t="s">
        <v>1760</v>
      </c>
      <c r="E428" s="1042">
        <v>41457</v>
      </c>
      <c r="F428" s="550" t="s">
        <v>1628</v>
      </c>
      <c r="G428" s="895"/>
      <c r="H428" s="550"/>
      <c r="I428" s="1025">
        <v>29.66</v>
      </c>
      <c r="J428" s="1085" t="str">
        <f>IF(ISBLANK(I428)," ",IF(ISTEXT(I428)," ",IF(I428&lt;=[2]Нормативы!$H$38,"КМС",IF(I428&lt;=[2]Нормативы!$H$39,"КМС",IF(I428&lt;=[2]Нормативы!$L$40,"КМС",IF(I428&lt;=[2]Нормативы!$L$41,"I",IF(I428&lt;=[2]Нормативы!$L$42,"II",IF(I428&lt;=[2]Нормативы!$L$43,"III",IF(I428&lt;=[2]Нормативы!$L$44,"I юн",IF(I428&lt;=[2]Нормативы!$L$45,"II юн",IF(I428&lt;=[2]Нормативы!$L$46,"III юн","б/р")))))))))))</f>
        <v>II юн</v>
      </c>
      <c r="K428" s="976"/>
    </row>
    <row r="429" spans="1:11" x14ac:dyDescent="0.3">
      <c r="A429" s="1086">
        <v>37</v>
      </c>
      <c r="B429" s="550" t="s">
        <v>20</v>
      </c>
      <c r="C429" s="551" t="s">
        <v>1818</v>
      </c>
      <c r="D429" s="551" t="s">
        <v>1789</v>
      </c>
      <c r="E429" s="1042">
        <v>41553</v>
      </c>
      <c r="F429" s="550" t="s">
        <v>1596</v>
      </c>
      <c r="G429" s="895"/>
      <c r="H429" s="550"/>
      <c r="I429" s="1025">
        <v>29.66</v>
      </c>
      <c r="J429" s="1085" t="str">
        <f>IF(ISBLANK(I429)," ",IF(ISTEXT(I429)," ",IF(I429&lt;=[2]Нормативы!$H$38,"КМС",IF(I429&lt;=[2]Нормативы!$H$39,"КМС",IF(I429&lt;=[2]Нормативы!$L$40,"КМС",IF(I429&lt;=[2]Нормативы!$L$41,"I",IF(I429&lt;=[2]Нормативы!$L$42,"II",IF(I429&lt;=[2]Нормативы!$L$43,"III",IF(I429&lt;=[2]Нормативы!$L$44,"I юн",IF(I429&lt;=[2]Нормативы!$L$45,"II юн",IF(I429&lt;=[2]Нормативы!$L$46,"III юн","б/р")))))))))))</f>
        <v>II юн</v>
      </c>
      <c r="K429" s="976"/>
    </row>
    <row r="430" spans="1:11" x14ac:dyDescent="0.3">
      <c r="A430" s="1086">
        <v>38</v>
      </c>
      <c r="B430" s="550" t="s">
        <v>20</v>
      </c>
      <c r="C430" s="550" t="s">
        <v>1816</v>
      </c>
      <c r="D430" s="551" t="s">
        <v>1817</v>
      </c>
      <c r="E430" s="1042">
        <v>41335</v>
      </c>
      <c r="F430" s="550" t="s">
        <v>1628</v>
      </c>
      <c r="G430" s="895"/>
      <c r="H430" s="550"/>
      <c r="I430" s="1025">
        <v>29.71</v>
      </c>
      <c r="J430" s="1085" t="str">
        <f>IF(ISBLANK(I430)," ",IF(ISTEXT(I430)," ",IF(I430&lt;=[2]Нормативы!$H$38,"КМС",IF(I430&lt;=[2]Нормативы!$H$39,"КМС",IF(I430&lt;=[2]Нормативы!$L$40,"КМС",IF(I430&lt;=[2]Нормативы!$L$41,"I",IF(I430&lt;=[2]Нормативы!$L$42,"II",IF(I430&lt;=[2]Нормативы!$L$43,"III",IF(I430&lt;=[2]Нормативы!$L$44,"I юн",IF(I430&lt;=[2]Нормативы!$L$45,"II юн",IF(I430&lt;=[2]Нормативы!$L$46,"III юн","б/р")))))))))))</f>
        <v>II юн</v>
      </c>
      <c r="K430" s="976"/>
    </row>
    <row r="431" spans="1:11" x14ac:dyDescent="0.3">
      <c r="A431" s="1086">
        <v>39</v>
      </c>
      <c r="B431" s="550" t="s">
        <v>20</v>
      </c>
      <c r="C431" s="551" t="s">
        <v>1806</v>
      </c>
      <c r="D431" s="551" t="s">
        <v>1807</v>
      </c>
      <c r="E431" s="1042">
        <v>41552</v>
      </c>
      <c r="F431" s="550" t="s">
        <v>1596</v>
      </c>
      <c r="G431" s="895"/>
      <c r="H431" s="550"/>
      <c r="I431" s="1025">
        <v>30.46</v>
      </c>
      <c r="J431" s="1085" t="str">
        <f>IF(ISBLANK(I431)," ",IF(ISTEXT(I431)," ",IF(I431&lt;=[2]Нормативы!$H$38,"КМС",IF(I431&lt;=[2]Нормативы!$H$39,"КМС",IF(I431&lt;=[2]Нормативы!$L$40,"КМС",IF(I431&lt;=[2]Нормативы!$L$41,"I",IF(I431&lt;=[2]Нормативы!$L$42,"II",IF(I431&lt;=[2]Нормативы!$L$43,"III",IF(I431&lt;=[2]Нормативы!$L$44,"I юн",IF(I431&lt;=[2]Нормативы!$L$45,"II юн",IF(I431&lt;=[2]Нормативы!$L$46,"III юн","б/р")))))))))))</f>
        <v>II юн</v>
      </c>
      <c r="K431" s="976"/>
    </row>
    <row r="432" spans="1:11" x14ac:dyDescent="0.3">
      <c r="A432" s="1086">
        <v>40</v>
      </c>
      <c r="B432" s="550" t="s">
        <v>20</v>
      </c>
      <c r="C432" s="551" t="s">
        <v>1819</v>
      </c>
      <c r="D432" s="551" t="s">
        <v>1768</v>
      </c>
      <c r="E432" s="1042">
        <v>41088</v>
      </c>
      <c r="F432" s="550" t="s">
        <v>1596</v>
      </c>
      <c r="G432" s="895"/>
      <c r="H432" s="550"/>
      <c r="I432" s="1025">
        <v>30.83</v>
      </c>
      <c r="J432" s="1085" t="str">
        <f>IF(ISBLANK(I432)," ",IF(ISTEXT(I432)," ",IF(I432&lt;=[2]Нормативы!$H$38,"КМС",IF(I432&lt;=[2]Нормативы!$H$39,"КМС",IF(I432&lt;=[2]Нормативы!$L$40,"КМС",IF(I432&lt;=[2]Нормативы!$L$41,"I",IF(I432&lt;=[2]Нормативы!$L$42,"II",IF(I432&lt;=[2]Нормативы!$L$43,"III",IF(I432&lt;=[2]Нормативы!$L$44,"I юн",IF(I432&lt;=[2]Нормативы!$L$45,"II юн",IF(I432&lt;=[2]Нормативы!$L$46,"III юн","б/р")))))))))))</f>
        <v>II юн</v>
      </c>
      <c r="K432" s="976"/>
    </row>
    <row r="433" spans="1:11" x14ac:dyDescent="0.3">
      <c r="A433" s="1086">
        <v>41</v>
      </c>
      <c r="B433" s="550" t="s">
        <v>1811</v>
      </c>
      <c r="C433" s="550" t="s">
        <v>1812</v>
      </c>
      <c r="D433" s="551" t="s">
        <v>1778</v>
      </c>
      <c r="E433" s="1042">
        <v>41178</v>
      </c>
      <c r="F433" s="550" t="s">
        <v>460</v>
      </c>
      <c r="G433" s="895"/>
      <c r="H433" s="550"/>
      <c r="I433" s="1025">
        <v>30.87</v>
      </c>
      <c r="J433" s="1085" t="str">
        <f>IF(ISBLANK(I433)," ",IF(ISTEXT(I433)," ",IF(I433&lt;=[2]Нормативы!$H$38,"КМС",IF(I433&lt;=[2]Нормативы!$H$39,"КМС",IF(I433&lt;=[2]Нормативы!$L$40,"КМС",IF(I433&lt;=[2]Нормативы!$L$41,"I",IF(I433&lt;=[2]Нормативы!$L$42,"II",IF(I433&lt;=[2]Нормативы!$L$43,"III",IF(I433&lt;=[2]Нормативы!$L$44,"I юн",IF(I433&lt;=[2]Нормативы!$L$45,"II юн",IF(I433&lt;=[2]Нормативы!$L$46,"III юн","б/р")))))))))))</f>
        <v>II юн</v>
      </c>
      <c r="K433" s="976"/>
    </row>
    <row r="434" spans="1:11" x14ac:dyDescent="0.3">
      <c r="A434" s="1086">
        <v>42</v>
      </c>
      <c r="B434" s="550" t="s">
        <v>21</v>
      </c>
      <c r="C434" s="551" t="s">
        <v>1577</v>
      </c>
      <c r="D434" s="551" t="s">
        <v>1809</v>
      </c>
      <c r="E434" s="1042">
        <v>41463</v>
      </c>
      <c r="F434" s="550" t="s">
        <v>1596</v>
      </c>
      <c r="G434" s="895"/>
      <c r="H434" s="550"/>
      <c r="I434" s="1025">
        <v>31.13</v>
      </c>
      <c r="J434" s="1085" t="str">
        <f>IF(ISBLANK(I434)," ",IF(ISTEXT(I434)," ",IF(I434&lt;=[2]Нормативы!$H$38,"КМС",IF(I434&lt;=[2]Нормативы!$H$39,"КМС",IF(I434&lt;=[2]Нормативы!$L$40,"КМС",IF(I434&lt;=[2]Нормативы!$L$41,"I",IF(I434&lt;=[2]Нормативы!$L$42,"II",IF(I434&lt;=[2]Нормативы!$L$43,"III",IF(I434&lt;=[2]Нормативы!$L$44,"I юн",IF(I434&lt;=[2]Нормативы!$L$45,"II юн",IF(I434&lt;=[2]Нормативы!$L$46,"III юн","б/р")))))))))))</f>
        <v>II юн</v>
      </c>
      <c r="K434" s="1026"/>
    </row>
    <row r="435" spans="1:11" x14ac:dyDescent="0.3">
      <c r="A435" s="1086">
        <v>43</v>
      </c>
      <c r="B435" s="550" t="s">
        <v>20</v>
      </c>
      <c r="C435" s="550" t="s">
        <v>1810</v>
      </c>
      <c r="D435" s="551" t="s">
        <v>1768</v>
      </c>
      <c r="E435" s="1042">
        <v>41626</v>
      </c>
      <c r="F435" s="550" t="s">
        <v>1634</v>
      </c>
      <c r="G435" s="895"/>
      <c r="H435" s="550"/>
      <c r="I435" s="1025">
        <v>32.1</v>
      </c>
      <c r="J435" s="1085" t="str">
        <f>IF(ISBLANK(I435)," ",IF(ISTEXT(I435)," ",IF(I435&lt;=[2]Нормативы!$H$38,"КМС",IF(I435&lt;=[2]Нормативы!$H$39,"КМС",IF(I435&lt;=[2]Нормативы!$L$40,"КМС",IF(I435&lt;=[2]Нормативы!$L$41,"I",IF(I435&lt;=[2]Нормативы!$L$42,"II",IF(I435&lt;=[2]Нормативы!$L$43,"III",IF(I435&lt;=[2]Нормативы!$L$44,"I юн",IF(I435&lt;=[2]Нормативы!$L$45,"II юн",IF(I435&lt;=[2]Нормативы!$L$46,"III юн","б/р")))))))))))</f>
        <v>III юн</v>
      </c>
      <c r="K435" s="976"/>
    </row>
    <row r="436" spans="1:11" x14ac:dyDescent="0.3">
      <c r="A436" s="1086">
        <v>44</v>
      </c>
      <c r="B436" s="550" t="s">
        <v>21</v>
      </c>
      <c r="C436" s="550" t="s">
        <v>1805</v>
      </c>
      <c r="D436" s="551" t="s">
        <v>1729</v>
      </c>
      <c r="E436" s="1042">
        <v>41562</v>
      </c>
      <c r="F436" s="550" t="s">
        <v>1628</v>
      </c>
      <c r="G436" s="895"/>
      <c r="H436" s="550"/>
      <c r="I436" s="1025">
        <v>32.26</v>
      </c>
      <c r="J436" s="1085" t="str">
        <f>IF(ISBLANK(I436)," ",IF(ISTEXT(I436)," ",IF(I436&lt;=[2]Нормативы!$H$38,"КМС",IF(I436&lt;=[2]Нормативы!$H$39,"КМС",IF(I436&lt;=[2]Нормативы!$L$40,"КМС",IF(I436&lt;=[2]Нормативы!$L$41,"I",IF(I436&lt;=[2]Нормативы!$L$42,"II",IF(I436&lt;=[2]Нормативы!$L$43,"III",IF(I436&lt;=[2]Нормативы!$L$44,"I юн",IF(I436&lt;=[2]Нормативы!$L$45,"II юн",IF(I436&lt;=[2]Нормативы!$L$46,"III юн","б/р")))))))))))</f>
        <v>III юн</v>
      </c>
      <c r="K436" s="976"/>
    </row>
    <row r="437" spans="1:11" x14ac:dyDescent="0.3">
      <c r="A437" s="1086">
        <v>45</v>
      </c>
      <c r="B437" s="550" t="s">
        <v>21</v>
      </c>
      <c r="C437" s="550" t="s">
        <v>1802</v>
      </c>
      <c r="D437" s="551" t="s">
        <v>1729</v>
      </c>
      <c r="E437" s="1042">
        <v>41327</v>
      </c>
      <c r="F437" s="550" t="s">
        <v>1654</v>
      </c>
      <c r="G437" s="895"/>
      <c r="H437" s="550"/>
      <c r="I437" s="1025">
        <v>32.35</v>
      </c>
      <c r="J437" s="1085" t="str">
        <f>IF(ISBLANK(I437)," ",IF(ISTEXT(I437)," ",IF(I437&lt;=[2]Нормативы!$H$38,"КМС",IF(I437&lt;=[2]Нормативы!$H$39,"КМС",IF(I437&lt;=[2]Нормативы!$L$40,"КМС",IF(I437&lt;=[2]Нормативы!$L$41,"I",IF(I437&lt;=[2]Нормативы!$L$42,"II",IF(I437&lt;=[2]Нормативы!$L$43,"III",IF(I437&lt;=[2]Нормативы!$L$44,"I юн",IF(I437&lt;=[2]Нормативы!$L$45,"II юн",IF(I437&lt;=[2]Нормативы!$L$46,"III юн","б/р")))))))))))</f>
        <v>III юн</v>
      </c>
      <c r="K437" s="976"/>
    </row>
    <row r="438" spans="1:11" x14ac:dyDescent="0.3">
      <c r="A438" s="1086">
        <v>46</v>
      </c>
      <c r="B438" s="550" t="s">
        <v>21</v>
      </c>
      <c r="C438" s="550" t="s">
        <v>1803</v>
      </c>
      <c r="D438" s="551" t="s">
        <v>1744</v>
      </c>
      <c r="E438" s="1042">
        <v>41405</v>
      </c>
      <c r="F438" s="550" t="s">
        <v>1740</v>
      </c>
      <c r="G438" s="895"/>
      <c r="H438" s="550"/>
      <c r="I438" s="1025">
        <v>33.950000000000003</v>
      </c>
      <c r="J438" s="1085" t="str">
        <f>IF(ISBLANK(I438)," ",IF(ISTEXT(I438)," ",IF(I438&lt;=[2]Нормативы!$H$38,"КМС",IF(I438&lt;=[2]Нормативы!$H$39,"КМС",IF(I438&lt;=[2]Нормативы!$L$40,"КМС",IF(I438&lt;=[2]Нормативы!$L$41,"I",IF(I438&lt;=[2]Нормативы!$L$42,"II",IF(I438&lt;=[2]Нормативы!$L$43,"III",IF(I438&lt;=[2]Нормативы!$L$44,"I юн",IF(I438&lt;=[2]Нормативы!$L$45,"II юн",IF(I438&lt;=[2]Нормативы!$L$46,"III юн","б/р")))))))))))</f>
        <v>III юн</v>
      </c>
      <c r="K438" s="976"/>
    </row>
    <row r="439" spans="1:11" x14ac:dyDescent="0.3">
      <c r="A439" s="1086"/>
      <c r="B439" s="550" t="s">
        <v>35</v>
      </c>
      <c r="C439" s="550" t="s">
        <v>1826</v>
      </c>
      <c r="D439" s="551" t="s">
        <v>1735</v>
      </c>
      <c r="E439" s="1042">
        <v>41139</v>
      </c>
      <c r="F439" s="550" t="s">
        <v>1628</v>
      </c>
      <c r="G439" s="895"/>
      <c r="H439" s="550"/>
      <c r="I439" s="1074" t="s">
        <v>2066</v>
      </c>
      <c r="J439" s="886"/>
    </row>
    <row r="440" spans="1:11" x14ac:dyDescent="0.3">
      <c r="A440" s="1086"/>
      <c r="B440" s="550"/>
      <c r="C440" s="1079"/>
      <c r="D440" s="551"/>
      <c r="E440" s="1080"/>
      <c r="F440" s="550"/>
      <c r="G440" s="359"/>
      <c r="H440" s="359"/>
      <c r="I440" s="975"/>
      <c r="J440" s="962"/>
    </row>
    <row r="441" spans="1:11" ht="15.6" x14ac:dyDescent="0.3">
      <c r="A441" s="1086"/>
      <c r="B441" s="374"/>
      <c r="C441" s="928" t="s">
        <v>1721</v>
      </c>
      <c r="D441" s="374"/>
      <c r="E441" s="374"/>
      <c r="F441" s="374"/>
      <c r="G441" s="374"/>
      <c r="H441" s="929"/>
      <c r="I441" s="1071"/>
      <c r="J441" s="878"/>
      <c r="K441" s="976"/>
    </row>
    <row r="442" spans="1:11" x14ac:dyDescent="0.3">
      <c r="A442" s="1028"/>
      <c r="B442" s="880"/>
      <c r="C442" s="880"/>
      <c r="D442" s="880"/>
      <c r="E442" s="880"/>
      <c r="F442" s="880"/>
      <c r="G442" s="880"/>
      <c r="H442" s="880"/>
      <c r="I442" s="1070"/>
      <c r="J442" s="300"/>
      <c r="K442" s="976"/>
    </row>
    <row r="443" spans="1:11" x14ac:dyDescent="0.3">
      <c r="A443" s="1086">
        <v>1</v>
      </c>
      <c r="B443" s="550" t="s">
        <v>34</v>
      </c>
      <c r="C443" s="550" t="s">
        <v>1904</v>
      </c>
      <c r="D443" s="551" t="s">
        <v>1723</v>
      </c>
      <c r="E443" s="1042" t="s">
        <v>1905</v>
      </c>
      <c r="F443" s="550" t="s">
        <v>460</v>
      </c>
      <c r="G443" s="895"/>
      <c r="H443" s="550"/>
      <c r="I443" s="1025">
        <v>20.76</v>
      </c>
      <c r="J443" s="1085" t="str">
        <f>IF(ISBLANK(I443)," ",IF(ISTEXT(I443)," ",IF(I443&lt;=[2]Нормативы!$H$38,"КМС",IF(I443&lt;=[2]Нормативы!$H$39,"КМС",IF(I443&lt;=[2]Нормативы!$L$40,"КМС",IF(I443&lt;=[2]Нормативы!$L$41,"I",IF(I443&lt;=[2]Нормативы!$L$42,"II",IF(I443&lt;=[2]Нормативы!$L$43,"III",IF(I443&lt;=[2]Нормативы!$L$44,"I юн",IF(I443&lt;=[2]Нормативы!$L$45,"II юн",IF(I443&lt;=[2]Нормативы!$L$46,"III юн","б/р")))))))))))</f>
        <v>КМС</v>
      </c>
      <c r="K443" s="976"/>
    </row>
    <row r="444" spans="1:11" s="948" customFormat="1" x14ac:dyDescent="0.3">
      <c r="A444" s="1086">
        <v>2</v>
      </c>
      <c r="B444" s="550" t="s">
        <v>6</v>
      </c>
      <c r="C444" s="550" t="s">
        <v>1931</v>
      </c>
      <c r="D444" s="551" t="s">
        <v>1755</v>
      </c>
      <c r="E444" s="1042">
        <v>40215</v>
      </c>
      <c r="F444" s="550" t="s">
        <v>1381</v>
      </c>
      <c r="G444" s="895"/>
      <c r="H444" s="550"/>
      <c r="I444" s="1025">
        <v>21</v>
      </c>
      <c r="J444" s="1085" t="str">
        <f>IF(ISBLANK(I444)," ",IF(ISTEXT(I444)," ",IF(I444&lt;=[2]Нормативы!$H$38,"КМС",IF(I444&lt;=[2]Нормативы!$H$39,"КМС",IF(I444&lt;=[2]Нормативы!$L$40,"КМС",IF(I444&lt;=[2]Нормативы!$L$41,"I",IF(I444&lt;=[2]Нормативы!$L$42,"II",IF(I444&lt;=[2]Нормативы!$L$43,"III",IF(I444&lt;=[2]Нормативы!$L$44,"I юн",IF(I444&lt;=[2]Нормативы!$L$45,"II юн",IF(I444&lt;=[2]Нормативы!$L$46,"III юн","б/р")))))))))))</f>
        <v>КМС</v>
      </c>
      <c r="K444" s="976"/>
    </row>
    <row r="445" spans="1:11" x14ac:dyDescent="0.3">
      <c r="A445" s="1086">
        <v>3</v>
      </c>
      <c r="B445" s="550" t="s">
        <v>6</v>
      </c>
      <c r="C445" s="550" t="s">
        <v>1892</v>
      </c>
      <c r="D445" s="551" t="s">
        <v>1729</v>
      </c>
      <c r="E445" s="1042">
        <v>40177</v>
      </c>
      <c r="F445" s="550" t="s">
        <v>1632</v>
      </c>
      <c r="G445" s="895"/>
      <c r="H445" s="550"/>
      <c r="I445" s="1025">
        <v>21.2</v>
      </c>
      <c r="J445" s="1085" t="str">
        <f>IF(ISBLANK(I445)," ",IF(ISTEXT(I445)," ",IF(I445&lt;=[2]Нормативы!$H$38,"КМС",IF(I445&lt;=[2]Нормативы!$H$39,"КМС",IF(I445&lt;=[2]Нормативы!$L$40,"КМС",IF(I445&lt;=[2]Нормативы!$L$41,"I",IF(I445&lt;=[2]Нормативы!$L$42,"II",IF(I445&lt;=[2]Нормативы!$L$43,"III",IF(I445&lt;=[2]Нормативы!$L$44,"I юн",IF(I445&lt;=[2]Нормативы!$L$45,"II юн",IF(I445&lt;=[2]Нормативы!$L$46,"III юн","б/р")))))))))))</f>
        <v>I</v>
      </c>
      <c r="K445" s="976"/>
    </row>
    <row r="446" spans="1:11" x14ac:dyDescent="0.3">
      <c r="A446" s="1086">
        <v>3</v>
      </c>
      <c r="B446" s="550" t="s">
        <v>34</v>
      </c>
      <c r="C446" s="550" t="s">
        <v>1901</v>
      </c>
      <c r="D446" s="551" t="s">
        <v>1830</v>
      </c>
      <c r="E446" s="1042">
        <v>39611</v>
      </c>
      <c r="F446" s="550" t="s">
        <v>460</v>
      </c>
      <c r="G446" s="895"/>
      <c r="H446" s="550"/>
      <c r="I446" s="1025">
        <v>21.2</v>
      </c>
      <c r="J446" s="1085" t="str">
        <f>IF(ISBLANK(I446)," ",IF(ISTEXT(I446)," ",IF(I446&lt;=[2]Нормативы!$H$38,"КМС",IF(I446&lt;=[2]Нормативы!$H$39,"КМС",IF(I446&lt;=[2]Нормативы!$L$40,"КМС",IF(I446&lt;=[2]Нормативы!$L$41,"I",IF(I446&lt;=[2]Нормативы!$L$42,"II",IF(I446&lt;=[2]Нормативы!$L$43,"III",IF(I446&lt;=[2]Нормативы!$L$44,"I юн",IF(I446&lt;=[2]Нормативы!$L$45,"II юн",IF(I446&lt;=[2]Нормативы!$L$46,"III юн","б/р")))))))))))</f>
        <v>I</v>
      </c>
      <c r="K446" s="976"/>
    </row>
    <row r="447" spans="1:11" x14ac:dyDescent="0.3">
      <c r="A447" s="1086">
        <v>5</v>
      </c>
      <c r="B447" s="550" t="s">
        <v>6</v>
      </c>
      <c r="C447" s="550" t="s">
        <v>1900</v>
      </c>
      <c r="D447" s="551" t="s">
        <v>1807</v>
      </c>
      <c r="E447" s="1042">
        <v>39576</v>
      </c>
      <c r="F447" s="550" t="s">
        <v>460</v>
      </c>
      <c r="G447" s="895"/>
      <c r="H447" s="550"/>
      <c r="I447" s="1025">
        <v>21.22</v>
      </c>
      <c r="J447" s="1085" t="str">
        <f>IF(ISBLANK(I447)," ",IF(ISTEXT(I447)," ",IF(I447&lt;=[2]Нормативы!$H$38,"КМС",IF(I447&lt;=[2]Нормативы!$H$39,"КМС",IF(I447&lt;=[2]Нормативы!$L$40,"КМС",IF(I447&lt;=[2]Нормативы!$L$41,"I",IF(I447&lt;=[2]Нормативы!$L$42,"II",IF(I447&lt;=[2]Нормативы!$L$43,"III",IF(I447&lt;=[2]Нормативы!$L$44,"I юн",IF(I447&lt;=[2]Нормативы!$L$45,"II юн",IF(I447&lt;=[2]Нормативы!$L$46,"III юн","б/р")))))))))))</f>
        <v>I</v>
      </c>
    </row>
    <row r="448" spans="1:11" x14ac:dyDescent="0.3">
      <c r="A448" s="1086">
        <v>6</v>
      </c>
      <c r="B448" s="878" t="s">
        <v>34</v>
      </c>
      <c r="C448" s="878" t="s">
        <v>1932</v>
      </c>
      <c r="D448" s="878" t="s">
        <v>1768</v>
      </c>
      <c r="E448" s="1055">
        <v>39876</v>
      </c>
      <c r="F448" s="878" t="s">
        <v>1250</v>
      </c>
      <c r="G448" s="878"/>
      <c r="H448" s="878"/>
      <c r="I448" s="1025">
        <v>21.46</v>
      </c>
      <c r="J448" s="1085" t="str">
        <f>IF(ISBLANK(I448)," ",IF(ISTEXT(I448)," ",IF(I448&lt;=[2]Нормативы!$H$38,"КМС",IF(I448&lt;=[2]Нормативы!$H$39,"КМС",IF(I448&lt;=[2]Нормативы!$L$40,"КМС",IF(I448&lt;=[2]Нормативы!$L$41,"I",IF(I448&lt;=[2]Нормативы!$L$42,"II",IF(I448&lt;=[2]Нормативы!$L$43,"III",IF(I448&lt;=[2]Нормативы!$L$44,"I юн",IF(I448&lt;=[2]Нормативы!$L$45,"II юн",IF(I448&lt;=[2]Нормативы!$L$46,"III юн","б/р")))))))))))</f>
        <v>I</v>
      </c>
      <c r="K448" s="976"/>
    </row>
    <row r="449" spans="1:11" x14ac:dyDescent="0.3">
      <c r="A449" s="1086">
        <v>7</v>
      </c>
      <c r="B449" s="550" t="s">
        <v>34</v>
      </c>
      <c r="C449" s="550" t="s">
        <v>1902</v>
      </c>
      <c r="D449" s="551" t="s">
        <v>1725</v>
      </c>
      <c r="E449" s="1042" t="s">
        <v>1903</v>
      </c>
      <c r="F449" s="550" t="s">
        <v>460</v>
      </c>
      <c r="G449" s="895"/>
      <c r="H449" s="550"/>
      <c r="I449" s="1025">
        <v>21.59</v>
      </c>
      <c r="J449" s="1085" t="str">
        <f>IF(ISBLANK(I449)," ",IF(ISTEXT(I449)," ",IF(I449&lt;=[2]Нормативы!$H$38,"КМС",IF(I449&lt;=[2]Нормативы!$H$39,"КМС",IF(I449&lt;=[2]Нормативы!$L$40,"КМС",IF(I449&lt;=[2]Нормативы!$L$41,"I",IF(I449&lt;=[2]Нормативы!$L$42,"II",IF(I449&lt;=[2]Нормативы!$L$43,"III",IF(I449&lt;=[2]Нормативы!$L$44,"I юн",IF(I449&lt;=[2]Нормативы!$L$45,"II юн",IF(I449&lt;=[2]Нормативы!$L$46,"III юн","б/р")))))))))))</f>
        <v>I</v>
      </c>
      <c r="K449" s="976"/>
    </row>
    <row r="450" spans="1:11" x14ac:dyDescent="0.3">
      <c r="A450" s="1086">
        <v>8</v>
      </c>
      <c r="B450" s="550" t="s">
        <v>6</v>
      </c>
      <c r="C450" s="550" t="s">
        <v>1895</v>
      </c>
      <c r="D450" s="551" t="s">
        <v>1896</v>
      </c>
      <c r="E450" s="1042">
        <v>39816</v>
      </c>
      <c r="F450" s="550" t="s">
        <v>1628</v>
      </c>
      <c r="G450" s="895"/>
      <c r="H450" s="550"/>
      <c r="I450" s="1025">
        <v>21.61</v>
      </c>
      <c r="J450" s="1085" t="str">
        <f>IF(ISBLANK(I450)," ",IF(ISTEXT(I450)," ",IF(I450&lt;=[2]Нормативы!$H$38,"КМС",IF(I450&lt;=[2]Нормативы!$H$39,"КМС",IF(I450&lt;=[2]Нормативы!$L$40,"КМС",IF(I450&lt;=[2]Нормативы!$L$41,"I",IF(I450&lt;=[2]Нормативы!$L$42,"II",IF(I450&lt;=[2]Нормативы!$L$43,"III",IF(I450&lt;=[2]Нормативы!$L$44,"I юн",IF(I450&lt;=[2]Нормативы!$L$45,"II юн",IF(I450&lt;=[2]Нормативы!$L$46,"III юн","б/р")))))))))))</f>
        <v>I</v>
      </c>
      <c r="K450" s="976"/>
    </row>
    <row r="451" spans="1:11" s="948" customFormat="1" x14ac:dyDescent="0.3">
      <c r="A451" s="1086">
        <v>9</v>
      </c>
      <c r="B451" s="550" t="s">
        <v>6</v>
      </c>
      <c r="C451" s="550" t="s">
        <v>1890</v>
      </c>
      <c r="D451" s="551" t="s">
        <v>1766</v>
      </c>
      <c r="E451" s="1042">
        <v>40226</v>
      </c>
      <c r="F451" s="550" t="s">
        <v>1628</v>
      </c>
      <c r="G451" s="895"/>
      <c r="H451" s="550"/>
      <c r="I451" s="1025">
        <v>21.8</v>
      </c>
      <c r="J451" s="1085" t="str">
        <f>IF(ISBLANK(I451)," ",IF(ISTEXT(I451)," ",IF(I451&lt;=[2]Нормативы!$H$38,"КМС",IF(I451&lt;=[2]Нормативы!$H$39,"КМС",IF(I451&lt;=[2]Нормативы!$L$40,"КМС",IF(I451&lt;=[2]Нормативы!$L$41,"I",IF(I451&lt;=[2]Нормативы!$L$42,"II",IF(I451&lt;=[2]Нормативы!$L$43,"III",IF(I451&lt;=[2]Нормативы!$L$44,"I юн",IF(I451&lt;=[2]Нормативы!$L$45,"II юн",IF(I451&lt;=[2]Нормативы!$L$46,"III юн","б/р")))))))))))</f>
        <v>I</v>
      </c>
    </row>
    <row r="452" spans="1:11" x14ac:dyDescent="0.3">
      <c r="A452" s="1086">
        <v>10</v>
      </c>
      <c r="B452" s="550" t="s">
        <v>6</v>
      </c>
      <c r="C452" s="550" t="s">
        <v>1897</v>
      </c>
      <c r="D452" s="551" t="s">
        <v>1792</v>
      </c>
      <c r="E452" s="1042">
        <v>39771</v>
      </c>
      <c r="F452" s="550" t="s">
        <v>1598</v>
      </c>
      <c r="G452" s="895"/>
      <c r="H452" s="550"/>
      <c r="I452" s="1025">
        <v>21.81</v>
      </c>
      <c r="J452" s="1085" t="str">
        <f>IF(ISBLANK(I452)," ",IF(ISTEXT(I452)," ",IF(I452&lt;=[2]Нормативы!$H$38,"КМС",IF(I452&lt;=[2]Нормативы!$H$39,"КМС",IF(I452&lt;=[2]Нормативы!$L$40,"КМС",IF(I452&lt;=[2]Нормативы!$L$41,"I",IF(I452&lt;=[2]Нормативы!$L$42,"II",IF(I452&lt;=[2]Нормативы!$L$43,"III",IF(I452&lt;=[2]Нормативы!$L$44,"I юн",IF(I452&lt;=[2]Нормативы!$L$45,"II юн",IF(I452&lt;=[2]Нормативы!$L$46,"III юн","б/р")))))))))))</f>
        <v>I</v>
      </c>
    </row>
    <row r="453" spans="1:11" x14ac:dyDescent="0.3">
      <c r="A453" s="1086">
        <v>11</v>
      </c>
      <c r="B453" s="550" t="s">
        <v>6</v>
      </c>
      <c r="C453" s="550" t="s">
        <v>1898</v>
      </c>
      <c r="D453" s="551" t="s">
        <v>1807</v>
      </c>
      <c r="E453" s="1042">
        <v>39763</v>
      </c>
      <c r="F453" s="550" t="s">
        <v>1654</v>
      </c>
      <c r="G453" s="895"/>
      <c r="H453" s="550"/>
      <c r="I453" s="1025">
        <v>21.88</v>
      </c>
      <c r="J453" s="1085" t="str">
        <f>IF(ISBLANK(I453)," ",IF(ISTEXT(I453)," ",IF(I453&lt;=[2]Нормативы!$H$38,"КМС",IF(I453&lt;=[2]Нормативы!$H$39,"КМС",IF(I453&lt;=[2]Нормативы!$L$40,"КМС",IF(I453&lt;=[2]Нормативы!$L$41,"I",IF(I453&lt;=[2]Нормативы!$L$42,"II",IF(I453&lt;=[2]Нормативы!$L$43,"III",IF(I453&lt;=[2]Нормативы!$L$44,"I юн",IF(I453&lt;=[2]Нормативы!$L$45,"II юн",IF(I453&lt;=[2]Нормативы!$L$46,"III юн","б/р")))))))))))</f>
        <v>I</v>
      </c>
    </row>
    <row r="454" spans="1:11" x14ac:dyDescent="0.3">
      <c r="A454" s="1086">
        <v>12</v>
      </c>
      <c r="B454" s="550" t="s">
        <v>6</v>
      </c>
      <c r="C454" s="551" t="s">
        <v>1888</v>
      </c>
      <c r="D454" s="551" t="s">
        <v>1733</v>
      </c>
      <c r="E454" s="1042">
        <v>40043</v>
      </c>
      <c r="F454" s="550" t="s">
        <v>1596</v>
      </c>
      <c r="G454" s="895"/>
      <c r="H454" s="550"/>
      <c r="I454" s="1025">
        <v>22.13</v>
      </c>
      <c r="J454" s="1085" t="str">
        <f>IF(ISBLANK(I454)," ",IF(ISTEXT(I454)," ",IF(I454&lt;=[2]Нормативы!$H$38,"КМС",IF(I454&lt;=[2]Нормативы!$H$39,"КМС",IF(I454&lt;=[2]Нормативы!$L$40,"КМС",IF(I454&lt;=[2]Нормативы!$L$41,"I",IF(I454&lt;=[2]Нормативы!$L$42,"II",IF(I454&lt;=[2]Нормативы!$L$43,"III",IF(I454&lt;=[2]Нормативы!$L$44,"I юн",IF(I454&lt;=[2]Нормативы!$L$45,"II юн",IF(I454&lt;=[2]Нормативы!$L$46,"III юн","б/р")))))))))))</f>
        <v>I</v>
      </c>
    </row>
    <row r="455" spans="1:11" x14ac:dyDescent="0.3">
      <c r="A455" s="1086">
        <v>13</v>
      </c>
      <c r="B455" s="550" t="s">
        <v>6</v>
      </c>
      <c r="C455" s="550" t="s">
        <v>1859</v>
      </c>
      <c r="D455" s="551" t="s">
        <v>1737</v>
      </c>
      <c r="E455" s="1042">
        <v>40374</v>
      </c>
      <c r="F455" s="550" t="s">
        <v>1628</v>
      </c>
      <c r="G455" s="895"/>
      <c r="H455" s="550"/>
      <c r="I455" s="1025">
        <v>22.13</v>
      </c>
      <c r="J455" s="1085" t="str">
        <f>IF(ISBLANK(I455)," ",IF(ISTEXT(I455)," ",IF(I455&lt;=[2]Нормативы!$H$38,"КМС",IF(I455&lt;=[2]Нормативы!$H$39,"КМС",IF(I455&lt;=[2]Нормативы!$L$40,"КМС",IF(I455&lt;=[2]Нормативы!$L$41,"I",IF(I455&lt;=[2]Нормативы!$L$42,"II",IF(I455&lt;=[2]Нормативы!$L$43,"III",IF(I455&lt;=[2]Нормативы!$L$44,"I юн",IF(I455&lt;=[2]Нормативы!$L$45,"II юн",IF(I455&lt;=[2]Нормативы!$L$46,"III юн","б/р")))))))))))</f>
        <v>I</v>
      </c>
    </row>
    <row r="456" spans="1:11" x14ac:dyDescent="0.3">
      <c r="A456" s="1086">
        <v>14</v>
      </c>
      <c r="B456" s="550" t="s">
        <v>6</v>
      </c>
      <c r="C456" s="550" t="s">
        <v>1530</v>
      </c>
      <c r="D456" s="551" t="s">
        <v>1883</v>
      </c>
      <c r="E456" s="1042">
        <v>40395</v>
      </c>
      <c r="F456" s="550" t="s">
        <v>1598</v>
      </c>
      <c r="G456" s="895"/>
      <c r="H456" s="550"/>
      <c r="I456" s="1025">
        <v>22.17</v>
      </c>
      <c r="J456" s="1085" t="str">
        <f>IF(ISBLANK(I456)," ",IF(ISTEXT(I456)," ",IF(I456&lt;=[2]Нормативы!$H$38,"КМС",IF(I456&lt;=[2]Нормативы!$H$39,"КМС",IF(I456&lt;=[2]Нормативы!$L$40,"КМС",IF(I456&lt;=[2]Нормативы!$L$41,"I",IF(I456&lt;=[2]Нормативы!$L$42,"II",IF(I456&lt;=[2]Нормативы!$L$43,"III",IF(I456&lt;=[2]Нормативы!$L$44,"I юн",IF(I456&lt;=[2]Нормативы!$L$45,"II юн",IF(I456&lt;=[2]Нормативы!$L$46,"III юн","б/р")))))))))))</f>
        <v>I</v>
      </c>
    </row>
    <row r="457" spans="1:11" x14ac:dyDescent="0.3">
      <c r="A457" s="1086">
        <v>15</v>
      </c>
      <c r="B457" s="550" t="s">
        <v>23</v>
      </c>
      <c r="C457" s="550" t="s">
        <v>1891</v>
      </c>
      <c r="D457" s="551" t="s">
        <v>1737</v>
      </c>
      <c r="E457" s="1042">
        <v>40372</v>
      </c>
      <c r="F457" s="550" t="s">
        <v>460</v>
      </c>
      <c r="G457" s="895"/>
      <c r="H457" s="550"/>
      <c r="I457" s="1025">
        <v>22.21</v>
      </c>
      <c r="J457" s="1085" t="str">
        <f>IF(ISBLANK(I457)," ",IF(ISTEXT(I457)," ",IF(I457&lt;=[2]Нормативы!$H$38,"КМС",IF(I457&lt;=[2]Нормативы!$H$39,"КМС",IF(I457&lt;=[2]Нормативы!$L$40,"КМС",IF(I457&lt;=[2]Нормативы!$L$41,"I",IF(I457&lt;=[2]Нормативы!$L$42,"II",IF(I457&lt;=[2]Нормативы!$L$43,"III",IF(I457&lt;=[2]Нормативы!$L$44,"I юн",IF(I457&lt;=[2]Нормативы!$L$45,"II юн",IF(I457&lt;=[2]Нормативы!$L$46,"III юн","б/р")))))))))))</f>
        <v>I</v>
      </c>
    </row>
    <row r="458" spans="1:11" x14ac:dyDescent="0.3">
      <c r="A458" s="1086">
        <v>16</v>
      </c>
      <c r="B458" s="550" t="s">
        <v>6</v>
      </c>
      <c r="C458" s="550" t="s">
        <v>1893</v>
      </c>
      <c r="D458" s="551" t="s">
        <v>1733</v>
      </c>
      <c r="E458" s="1042">
        <v>40679</v>
      </c>
      <c r="F458" s="550" t="s">
        <v>1654</v>
      </c>
      <c r="G458" s="895"/>
      <c r="H458" s="550"/>
      <c r="I458" s="1025">
        <v>22.27</v>
      </c>
      <c r="J458" s="1085" t="str">
        <f>IF(ISBLANK(I458)," ",IF(ISTEXT(I458)," ",IF(I458&lt;=[2]Нормативы!$H$38,"КМС",IF(I458&lt;=[2]Нормативы!$H$39,"КМС",IF(I458&lt;=[2]Нормативы!$L$40,"КМС",IF(I458&lt;=[2]Нормативы!$L$41,"I",IF(I458&lt;=[2]Нормативы!$L$42,"II",IF(I458&lt;=[2]Нормативы!$L$43,"III",IF(I458&lt;=[2]Нормативы!$L$44,"I юн",IF(I458&lt;=[2]Нормативы!$L$45,"II юн",IF(I458&lt;=[2]Нормативы!$L$46,"III юн","б/р")))))))))))</f>
        <v>I</v>
      </c>
    </row>
    <row r="459" spans="1:11" x14ac:dyDescent="0.3">
      <c r="A459" s="1086">
        <v>17</v>
      </c>
      <c r="B459" s="550" t="s">
        <v>23</v>
      </c>
      <c r="C459" s="550" t="s">
        <v>1885</v>
      </c>
      <c r="D459" s="551" t="s">
        <v>1807</v>
      </c>
      <c r="E459" s="1042">
        <v>40526</v>
      </c>
      <c r="F459" s="550" t="s">
        <v>1654</v>
      </c>
      <c r="G459" s="895"/>
      <c r="H459" s="550"/>
      <c r="I459" s="1025">
        <v>22.59</v>
      </c>
      <c r="J459" s="1085" t="str">
        <f>IF(ISBLANK(I459)," ",IF(ISTEXT(I459)," ",IF(I459&lt;=[2]Нормативы!$H$38,"КМС",IF(I459&lt;=[2]Нормативы!$H$39,"КМС",IF(I459&lt;=[2]Нормативы!$L$40,"КМС",IF(I459&lt;=[2]Нормативы!$L$41,"I",IF(I459&lt;=[2]Нормативы!$L$42,"II",IF(I459&lt;=[2]Нормативы!$L$43,"III",IF(I459&lt;=[2]Нормативы!$L$44,"I юн",IF(I459&lt;=[2]Нормативы!$L$45,"II юн",IF(I459&lt;=[2]Нормативы!$L$46,"III юн","б/р")))))))))))</f>
        <v>I</v>
      </c>
    </row>
    <row r="460" spans="1:11" x14ac:dyDescent="0.3">
      <c r="A460" s="1086">
        <v>18</v>
      </c>
      <c r="B460" s="550" t="s">
        <v>6</v>
      </c>
      <c r="C460" s="550" t="s">
        <v>1894</v>
      </c>
      <c r="D460" s="551" t="s">
        <v>1792</v>
      </c>
      <c r="E460" s="1042">
        <v>39806</v>
      </c>
      <c r="F460" s="550" t="s">
        <v>1654</v>
      </c>
      <c r="G460" s="895"/>
      <c r="H460" s="550"/>
      <c r="I460" s="1025">
        <v>22.63</v>
      </c>
      <c r="J460" s="1085" t="str">
        <f>IF(ISBLANK(I460)," ",IF(ISTEXT(I460)," ",IF(I460&lt;=[2]Нормативы!$H$38,"КМС",IF(I460&lt;=[2]Нормативы!$H$39,"КМС",IF(I460&lt;=[2]Нормативы!$L$40,"КМС",IF(I460&lt;=[2]Нормативы!$L$41,"I",IF(I460&lt;=[2]Нормативы!$L$42,"II",IF(I460&lt;=[2]Нормативы!$L$43,"III",IF(I460&lt;=[2]Нормативы!$L$44,"I юн",IF(I460&lt;=[2]Нормативы!$L$45,"II юн",IF(I460&lt;=[2]Нормативы!$L$46,"III юн","б/р")))))))))))</f>
        <v>I</v>
      </c>
    </row>
    <row r="461" spans="1:11" x14ac:dyDescent="0.3">
      <c r="A461" s="1086">
        <v>19</v>
      </c>
      <c r="B461" s="550" t="s">
        <v>23</v>
      </c>
      <c r="C461" s="550" t="s">
        <v>1877</v>
      </c>
      <c r="D461" s="551" t="s">
        <v>1781</v>
      </c>
      <c r="E461" s="1042">
        <v>40703</v>
      </c>
      <c r="F461" s="550" t="s">
        <v>1634</v>
      </c>
      <c r="G461" s="895"/>
      <c r="H461" s="550"/>
      <c r="I461" s="1025">
        <v>22.64</v>
      </c>
      <c r="J461" s="1085" t="str">
        <f>IF(ISBLANK(I461)," ",IF(ISTEXT(I461)," ",IF(I461&lt;=[2]Нормативы!$H$38,"КМС",IF(I461&lt;=[2]Нормативы!$H$39,"КМС",IF(I461&lt;=[2]Нормативы!$L$40,"КМС",IF(I461&lt;=[2]Нормативы!$L$41,"I",IF(I461&lt;=[2]Нормативы!$L$42,"II",IF(I461&lt;=[2]Нормативы!$L$43,"III",IF(I461&lt;=[2]Нормативы!$L$44,"I юн",IF(I461&lt;=[2]Нормативы!$L$45,"II юн",IF(I461&lt;=[2]Нормативы!$L$46,"III юн","б/р")))))))))))</f>
        <v>I</v>
      </c>
    </row>
    <row r="462" spans="1:11" x14ac:dyDescent="0.3">
      <c r="A462" s="1086">
        <v>20</v>
      </c>
      <c r="B462" s="550" t="s">
        <v>6</v>
      </c>
      <c r="C462" s="551" t="s">
        <v>1411</v>
      </c>
      <c r="D462" s="551" t="s">
        <v>1733</v>
      </c>
      <c r="E462" s="1042">
        <v>40447</v>
      </c>
      <c r="F462" s="550" t="s">
        <v>1596</v>
      </c>
      <c r="G462" s="895"/>
      <c r="H462" s="550"/>
      <c r="I462" s="1025">
        <v>22.76</v>
      </c>
      <c r="J462" s="1085" t="str">
        <f>IF(ISBLANK(I462)," ",IF(ISTEXT(I462)," ",IF(I462&lt;=[2]Нормативы!$H$38,"КМС",IF(I462&lt;=[2]Нормативы!$H$39,"КМС",IF(I462&lt;=[2]Нормативы!$L$40,"КМС",IF(I462&lt;=[2]Нормативы!$L$41,"I",IF(I462&lt;=[2]Нормативы!$L$42,"II",IF(I462&lt;=[2]Нормативы!$L$43,"III",IF(I462&lt;=[2]Нормативы!$L$44,"I юн",IF(I462&lt;=[2]Нормативы!$L$45,"II юн",IF(I462&lt;=[2]Нормативы!$L$46,"III юн","б/р")))))))))))</f>
        <v>II</v>
      </c>
    </row>
    <row r="463" spans="1:11" x14ac:dyDescent="0.3">
      <c r="A463" s="1086">
        <v>21</v>
      </c>
      <c r="B463" s="550" t="s">
        <v>23</v>
      </c>
      <c r="C463" s="550" t="s">
        <v>1887</v>
      </c>
      <c r="D463" s="551" t="s">
        <v>1792</v>
      </c>
      <c r="E463" s="1042">
        <v>40569</v>
      </c>
      <c r="F463" s="550" t="s">
        <v>1628</v>
      </c>
      <c r="G463" s="895"/>
      <c r="H463" s="550"/>
      <c r="I463" s="1025">
        <v>22.85</v>
      </c>
      <c r="J463" s="1085" t="str">
        <f>IF(ISBLANK(I463)," ",IF(ISTEXT(I463)," ",IF(I463&lt;=[2]Нормативы!$H$38,"КМС",IF(I463&lt;=[2]Нормативы!$H$39,"КМС",IF(I463&lt;=[2]Нормативы!$L$40,"КМС",IF(I463&lt;=[2]Нормативы!$L$41,"I",IF(I463&lt;=[2]Нормативы!$L$42,"II",IF(I463&lt;=[2]Нормативы!$L$43,"III",IF(I463&lt;=[2]Нормативы!$L$44,"I юн",IF(I463&lt;=[2]Нормативы!$L$45,"II юн",IF(I463&lt;=[2]Нормативы!$L$46,"III юн","б/р")))))))))))</f>
        <v>II</v>
      </c>
    </row>
    <row r="464" spans="1:11" x14ac:dyDescent="0.3">
      <c r="A464" s="1086">
        <v>22</v>
      </c>
      <c r="B464" s="550" t="s">
        <v>23</v>
      </c>
      <c r="C464" s="550" t="s">
        <v>1882</v>
      </c>
      <c r="D464" s="551" t="s">
        <v>1760</v>
      </c>
      <c r="E464" s="1042">
        <v>40894</v>
      </c>
      <c r="F464" s="550" t="s">
        <v>1598</v>
      </c>
      <c r="G464" s="895"/>
      <c r="H464" s="550"/>
      <c r="I464" s="1025">
        <v>22.88</v>
      </c>
      <c r="J464" s="1085" t="str">
        <f>IF(ISBLANK(I464)," ",IF(ISTEXT(I464)," ",IF(I464&lt;=[2]Нормативы!$H$38,"КМС",IF(I464&lt;=[2]Нормативы!$H$39,"КМС",IF(I464&lt;=[2]Нормативы!$L$40,"КМС",IF(I464&lt;=[2]Нормативы!$L$41,"I",IF(I464&lt;=[2]Нормативы!$L$42,"II",IF(I464&lt;=[2]Нормативы!$L$43,"III",IF(I464&lt;=[2]Нормативы!$L$44,"I юн",IF(I464&lt;=[2]Нормативы!$L$45,"II юн",IF(I464&lt;=[2]Нормативы!$L$46,"III юн","б/р")))))))))))</f>
        <v>II</v>
      </c>
    </row>
    <row r="465" spans="1:10" x14ac:dyDescent="0.3">
      <c r="A465" s="1086">
        <v>23</v>
      </c>
      <c r="B465" s="550" t="s">
        <v>6</v>
      </c>
      <c r="C465" s="550" t="s">
        <v>1884</v>
      </c>
      <c r="D465" s="551" t="s">
        <v>1739</v>
      </c>
      <c r="E465" s="1042">
        <v>40112</v>
      </c>
      <c r="F465" s="550" t="s">
        <v>1381</v>
      </c>
      <c r="G465" s="895"/>
      <c r="H465" s="550"/>
      <c r="I465" s="1025">
        <v>22.97</v>
      </c>
      <c r="J465" s="1085" t="str">
        <f>IF(ISBLANK(I465)," ",IF(ISTEXT(I465)," ",IF(I465&lt;=[2]Нормативы!$H$38,"КМС",IF(I465&lt;=[2]Нормативы!$H$39,"КМС",IF(I465&lt;=[2]Нормативы!$L$40,"КМС",IF(I465&lt;=[2]Нормативы!$L$41,"I",IF(I465&lt;=[2]Нормативы!$L$42,"II",IF(I465&lt;=[2]Нормативы!$L$43,"III",IF(I465&lt;=[2]Нормативы!$L$44,"I юн",IF(I465&lt;=[2]Нормативы!$L$45,"II юн",IF(I465&lt;=[2]Нормативы!$L$46,"III юн","б/р")))))))))))</f>
        <v>II</v>
      </c>
    </row>
    <row r="466" spans="1:10" x14ac:dyDescent="0.3">
      <c r="A466" s="1086">
        <v>24</v>
      </c>
      <c r="B466" s="550" t="s">
        <v>24</v>
      </c>
      <c r="C466" s="550" t="s">
        <v>1532</v>
      </c>
      <c r="D466" s="551" t="s">
        <v>1737</v>
      </c>
      <c r="E466" s="1042">
        <v>40013</v>
      </c>
      <c r="F466" s="550" t="s">
        <v>1596</v>
      </c>
      <c r="G466" s="895"/>
      <c r="H466" s="550"/>
      <c r="I466" s="1025">
        <v>23.03</v>
      </c>
      <c r="J466" s="1085" t="str">
        <f>IF(ISBLANK(I466)," ",IF(ISTEXT(I466)," ",IF(I466&lt;=[2]Нормативы!$H$38,"КМС",IF(I466&lt;=[2]Нормативы!$H$39,"КМС",IF(I466&lt;=[2]Нормативы!$L$40,"КМС",IF(I466&lt;=[2]Нормативы!$L$41,"I",IF(I466&lt;=[2]Нормативы!$L$42,"II",IF(I466&lt;=[2]Нормативы!$L$43,"III",IF(I466&lt;=[2]Нормативы!$L$44,"I юн",IF(I466&lt;=[2]Нормативы!$L$45,"II юн",IF(I466&lt;=[2]Нормативы!$L$46,"III юн","б/р")))))))))))</f>
        <v>II</v>
      </c>
    </row>
    <row r="467" spans="1:10" x14ac:dyDescent="0.3">
      <c r="A467" s="1086">
        <v>25</v>
      </c>
      <c r="B467" s="550" t="s">
        <v>23</v>
      </c>
      <c r="C467" s="550" t="s">
        <v>1880</v>
      </c>
      <c r="D467" s="551" t="s">
        <v>1755</v>
      </c>
      <c r="E467" s="1042">
        <v>40529</v>
      </c>
      <c r="F467" s="550" t="s">
        <v>1654</v>
      </c>
      <c r="G467" s="895"/>
      <c r="H467" s="550"/>
      <c r="I467" s="1025">
        <v>23.1</v>
      </c>
      <c r="J467" s="1085" t="str">
        <f>IF(ISBLANK(I467)," ",IF(ISTEXT(I467)," ",IF(I467&lt;=[2]Нормативы!$H$38,"КМС",IF(I467&lt;=[2]Нормативы!$H$39,"КМС",IF(I467&lt;=[2]Нормативы!$L$40,"КМС",IF(I467&lt;=[2]Нормативы!$L$41,"I",IF(I467&lt;=[2]Нормативы!$L$42,"II",IF(I467&lt;=[2]Нормативы!$L$43,"III",IF(I467&lt;=[2]Нормативы!$L$44,"I юн",IF(I467&lt;=[2]Нормативы!$L$45,"II юн",IF(I467&lt;=[2]Нормативы!$L$46,"III юн","б/р")))))))))))</f>
        <v>II</v>
      </c>
    </row>
    <row r="468" spans="1:10" x14ac:dyDescent="0.3">
      <c r="A468" s="1086">
        <v>26</v>
      </c>
      <c r="B468" s="24" t="s">
        <v>6</v>
      </c>
      <c r="C468" s="550" t="s">
        <v>1533</v>
      </c>
      <c r="D468" s="551" t="s">
        <v>1737</v>
      </c>
      <c r="E468" s="1042">
        <v>39993</v>
      </c>
      <c r="F468" s="550" t="s">
        <v>1596</v>
      </c>
      <c r="G468" s="895"/>
      <c r="H468" s="550"/>
      <c r="I468" s="1025">
        <v>23.14</v>
      </c>
      <c r="J468" s="1085" t="str">
        <f>IF(ISBLANK(I468)," ",IF(ISTEXT(I468)," ",IF(I468&lt;=[2]Нормативы!$H$38,"КМС",IF(I468&lt;=[2]Нормативы!$H$39,"КМС",IF(I468&lt;=[2]Нормативы!$L$40,"КМС",IF(I468&lt;=[2]Нормативы!$L$41,"I",IF(I468&lt;=[2]Нормативы!$L$42,"II",IF(I468&lt;=[2]Нормативы!$L$43,"III",IF(I468&lt;=[2]Нормативы!$L$44,"I юн",IF(I468&lt;=[2]Нормативы!$L$45,"II юн",IF(I468&lt;=[2]Нормативы!$L$46,"III юн","б/р")))))))))))</f>
        <v>II</v>
      </c>
    </row>
    <row r="469" spans="1:10" x14ac:dyDescent="0.3">
      <c r="A469" s="1086">
        <v>27</v>
      </c>
      <c r="B469" s="550" t="s">
        <v>23</v>
      </c>
      <c r="C469" s="550" t="s">
        <v>1875</v>
      </c>
      <c r="D469" s="551" t="s">
        <v>1737</v>
      </c>
      <c r="E469" s="1042">
        <v>40048</v>
      </c>
      <c r="F469" s="550" t="s">
        <v>1634</v>
      </c>
      <c r="G469" s="895"/>
      <c r="H469" s="550"/>
      <c r="I469" s="1025">
        <v>23.15</v>
      </c>
      <c r="J469" s="1085" t="str">
        <f>IF(ISBLANK(I469)," ",IF(ISTEXT(I469)," ",IF(I469&lt;=[2]Нормативы!$H$38,"КМС",IF(I469&lt;=[2]Нормативы!$H$39,"КМС",IF(I469&lt;=[2]Нормативы!$L$40,"КМС",IF(I469&lt;=[2]Нормативы!$L$41,"I",IF(I469&lt;=[2]Нормативы!$L$42,"II",IF(I469&lt;=[2]Нормативы!$L$43,"III",IF(I469&lt;=[2]Нормативы!$L$44,"I юн",IF(I469&lt;=[2]Нормативы!$L$45,"II юн",IF(I469&lt;=[2]Нормативы!$L$46,"III юн","б/р")))))))))))</f>
        <v>II</v>
      </c>
    </row>
    <row r="470" spans="1:10" x14ac:dyDescent="0.3">
      <c r="A470" s="1086">
        <v>28</v>
      </c>
      <c r="B470" s="550" t="s">
        <v>23</v>
      </c>
      <c r="C470" s="550" t="s">
        <v>1878</v>
      </c>
      <c r="D470" s="551" t="s">
        <v>1760</v>
      </c>
      <c r="E470" s="1042">
        <v>40233</v>
      </c>
      <c r="F470" s="550" t="s">
        <v>1628</v>
      </c>
      <c r="G470" s="895"/>
      <c r="H470" s="550"/>
      <c r="I470" s="1025">
        <v>23.4</v>
      </c>
      <c r="J470" s="1085" t="str">
        <f>IF(ISBLANK(I470)," ",IF(ISTEXT(I470)," ",IF(I470&lt;=[2]Нормативы!$H$38,"КМС",IF(I470&lt;=[2]Нормативы!$H$39,"КМС",IF(I470&lt;=[2]Нормативы!$L$40,"КМС",IF(I470&lt;=[2]Нормативы!$L$41,"I",IF(I470&lt;=[2]Нормативы!$L$42,"II",IF(I470&lt;=[2]Нормативы!$L$43,"III",IF(I470&lt;=[2]Нормативы!$L$44,"I юн",IF(I470&lt;=[2]Нормативы!$L$45,"II юн",IF(I470&lt;=[2]Нормативы!$L$46,"III юн","б/р")))))))))))</f>
        <v>II</v>
      </c>
    </row>
    <row r="471" spans="1:10" x14ac:dyDescent="0.3">
      <c r="A471" s="1086">
        <v>29</v>
      </c>
      <c r="B471" s="550" t="s">
        <v>23</v>
      </c>
      <c r="C471" s="550" t="s">
        <v>1886</v>
      </c>
      <c r="D471" s="551" t="s">
        <v>1760</v>
      </c>
      <c r="E471" s="1042">
        <v>40574</v>
      </c>
      <c r="F471" s="550" t="s">
        <v>1450</v>
      </c>
      <c r="G471" s="895"/>
      <c r="H471" s="550"/>
      <c r="I471" s="1025">
        <v>23.43</v>
      </c>
      <c r="J471" s="1085" t="str">
        <f>IF(ISBLANK(I471)," ",IF(ISTEXT(I471)," ",IF(I471&lt;=[2]Нормативы!$H$38,"КМС",IF(I471&lt;=[2]Нормативы!$H$39,"КМС",IF(I471&lt;=[2]Нормативы!$L$40,"КМС",IF(I471&lt;=[2]Нормативы!$L$41,"I",IF(I471&lt;=[2]Нормативы!$L$42,"II",IF(I471&lt;=[2]Нормативы!$L$43,"III",IF(I471&lt;=[2]Нормативы!$L$44,"I юн",IF(I471&lt;=[2]Нормативы!$L$45,"II юн",IF(I471&lt;=[2]Нормативы!$L$46,"III юн","б/р")))))))))))</f>
        <v>II</v>
      </c>
    </row>
    <row r="472" spans="1:10" x14ac:dyDescent="0.3">
      <c r="A472" s="1086">
        <v>30</v>
      </c>
      <c r="B472" s="550" t="s">
        <v>136</v>
      </c>
      <c r="C472" s="1047" t="s">
        <v>1529</v>
      </c>
      <c r="D472" s="551" t="s">
        <v>1742</v>
      </c>
      <c r="E472" s="1042">
        <v>39643</v>
      </c>
      <c r="F472" s="550" t="s">
        <v>1596</v>
      </c>
      <c r="G472" s="895"/>
      <c r="H472" s="550"/>
      <c r="I472" s="1025">
        <v>23.45</v>
      </c>
      <c r="J472" s="1085" t="str">
        <f>IF(ISBLANK(I472)," ",IF(ISTEXT(I472)," ",IF(I472&lt;=[2]Нормативы!$H$38,"КМС",IF(I472&lt;=[2]Нормативы!$H$39,"КМС",IF(I472&lt;=[2]Нормативы!$L$40,"КМС",IF(I472&lt;=[2]Нормативы!$L$41,"I",IF(I472&lt;=[2]Нормативы!$L$42,"II",IF(I472&lt;=[2]Нормативы!$L$43,"III",IF(I472&lt;=[2]Нормативы!$L$44,"I юн",IF(I472&lt;=[2]Нормативы!$L$45,"II юн",IF(I472&lt;=[2]Нормативы!$L$46,"III юн","б/р")))))))))))</f>
        <v>II</v>
      </c>
    </row>
    <row r="473" spans="1:10" x14ac:dyDescent="0.3">
      <c r="A473" s="1086">
        <v>31</v>
      </c>
      <c r="B473" s="550" t="s">
        <v>23</v>
      </c>
      <c r="C473" s="550" t="s">
        <v>1879</v>
      </c>
      <c r="D473" s="551" t="s">
        <v>1760</v>
      </c>
      <c r="E473" s="1042">
        <v>40563</v>
      </c>
      <c r="F473" s="550" t="s">
        <v>1628</v>
      </c>
      <c r="G473" s="895"/>
      <c r="H473" s="550"/>
      <c r="I473" s="1025">
        <v>23.93</v>
      </c>
      <c r="J473" s="1085" t="str">
        <f>IF(ISBLANK(I473)," ",IF(ISTEXT(I473)," ",IF(I473&lt;=[2]Нормативы!$H$38,"КМС",IF(I473&lt;=[2]Нормативы!$H$39,"КМС",IF(I473&lt;=[2]Нормативы!$L$40,"КМС",IF(I473&lt;=[2]Нормативы!$L$41,"I",IF(I473&lt;=[2]Нормативы!$L$42,"II",IF(I473&lt;=[2]Нормативы!$L$43,"III",IF(I473&lt;=[2]Нормативы!$L$44,"I юн",IF(I473&lt;=[2]Нормативы!$L$45,"II юн",IF(I473&lt;=[2]Нормативы!$L$46,"III юн","б/р")))))))))))</f>
        <v>II</v>
      </c>
    </row>
    <row r="474" spans="1:10" x14ac:dyDescent="0.3">
      <c r="A474" s="1086">
        <v>32</v>
      </c>
      <c r="B474" s="550" t="s">
        <v>23</v>
      </c>
      <c r="C474" s="550" t="s">
        <v>1872</v>
      </c>
      <c r="D474" s="551" t="s">
        <v>1742</v>
      </c>
      <c r="E474" s="1042" t="s">
        <v>1873</v>
      </c>
      <c r="F474" s="550" t="s">
        <v>1450</v>
      </c>
      <c r="G474" s="895"/>
      <c r="H474" s="550"/>
      <c r="I474" s="1025">
        <v>24.25</v>
      </c>
      <c r="J474" s="1085" t="str">
        <f>IF(ISBLANK(I474)," ",IF(ISTEXT(I474)," ",IF(I474&lt;=[2]Нормативы!$H$38,"КМС",IF(I474&lt;=[2]Нормативы!$H$39,"КМС",IF(I474&lt;=[2]Нормативы!$L$40,"КМС",IF(I474&lt;=[2]Нормативы!$L$41,"I",IF(I474&lt;=[2]Нормативы!$L$42,"II",IF(I474&lt;=[2]Нормативы!$L$43,"III",IF(I474&lt;=[2]Нормативы!$L$44,"I юн",IF(I474&lt;=[2]Нормативы!$L$45,"II юн",IF(I474&lt;=[2]Нормативы!$L$46,"III юн","б/р")))))))))))</f>
        <v>II</v>
      </c>
    </row>
    <row r="475" spans="1:10" x14ac:dyDescent="0.3">
      <c r="A475" s="1086">
        <v>33</v>
      </c>
      <c r="B475" s="550" t="s">
        <v>24</v>
      </c>
      <c r="C475" s="550" t="s">
        <v>1871</v>
      </c>
      <c r="D475" s="551" t="s">
        <v>1768</v>
      </c>
      <c r="E475" s="1042">
        <v>40828</v>
      </c>
      <c r="F475" s="550" t="s">
        <v>1634</v>
      </c>
      <c r="G475" s="895"/>
      <c r="H475" s="550"/>
      <c r="I475" s="1025">
        <v>24.87</v>
      </c>
      <c r="J475" s="1085" t="str">
        <f>IF(ISBLANK(I475)," ",IF(ISTEXT(I475)," ",IF(I475&lt;=[2]Нормативы!$H$38,"КМС",IF(I475&lt;=[2]Нормативы!$H$39,"КМС",IF(I475&lt;=[2]Нормативы!$L$40,"КМС",IF(I475&lt;=[2]Нормативы!$L$41,"I",IF(I475&lt;=[2]Нормативы!$L$42,"II",IF(I475&lt;=[2]Нормативы!$L$43,"III",IF(I475&lt;=[2]Нормативы!$L$44,"I юн",IF(I475&lt;=[2]Нормативы!$L$45,"II юн",IF(I475&lt;=[2]Нормативы!$L$46,"III юн","б/р")))))))))))</f>
        <v>III</v>
      </c>
    </row>
    <row r="476" spans="1:10" x14ac:dyDescent="0.3">
      <c r="A476" s="1086">
        <v>34</v>
      </c>
      <c r="B476" s="550" t="s">
        <v>24</v>
      </c>
      <c r="C476" s="550" t="s">
        <v>1870</v>
      </c>
      <c r="D476" s="551" t="s">
        <v>1781</v>
      </c>
      <c r="E476" s="1042">
        <v>40551</v>
      </c>
      <c r="F476" s="550" t="s">
        <v>1628</v>
      </c>
      <c r="G476" s="895"/>
      <c r="H476" s="550"/>
      <c r="I476" s="1025">
        <v>25.1</v>
      </c>
      <c r="J476" s="1085" t="str">
        <f>IF(ISBLANK(I476)," ",IF(ISTEXT(I476)," ",IF(I476&lt;=[2]Нормативы!$H$38,"КМС",IF(I476&lt;=[2]Нормативы!$H$39,"КМС",IF(I476&lt;=[2]Нормативы!$L$40,"КМС",IF(I476&lt;=[2]Нормативы!$L$41,"I",IF(I476&lt;=[2]Нормативы!$L$42,"II",IF(I476&lt;=[2]Нормативы!$L$43,"III",IF(I476&lt;=[2]Нормативы!$L$44,"I юн",IF(I476&lt;=[2]Нормативы!$L$45,"II юн",IF(I476&lt;=[2]Нормативы!$L$46,"III юн","б/р")))))))))))</f>
        <v>III</v>
      </c>
    </row>
    <row r="477" spans="1:10" x14ac:dyDescent="0.3">
      <c r="A477" s="1086">
        <v>35</v>
      </c>
      <c r="B477" s="1050" t="s">
        <v>35</v>
      </c>
      <c r="C477" s="1047" t="s">
        <v>1584</v>
      </c>
      <c r="D477" s="551" t="s">
        <v>1807</v>
      </c>
      <c r="E477" s="1042">
        <v>40908</v>
      </c>
      <c r="F477" s="550" t="s">
        <v>1596</v>
      </c>
      <c r="G477" s="895"/>
      <c r="H477" s="550"/>
      <c r="I477" s="1025">
        <v>25.2</v>
      </c>
      <c r="J477" s="1085" t="str">
        <f>IF(ISBLANK(I477)," ",IF(ISTEXT(I477)," ",IF(I477&lt;=[2]Нормативы!$H$38,"КМС",IF(I477&lt;=[2]Нормативы!$H$39,"КМС",IF(I477&lt;=[2]Нормативы!$L$40,"КМС",IF(I477&lt;=[2]Нормативы!$L$41,"I",IF(I477&lt;=[2]Нормативы!$L$42,"II",IF(I477&lt;=[2]Нормативы!$L$43,"III",IF(I477&lt;=[2]Нормативы!$L$44,"I юн",IF(I477&lt;=[2]Нормативы!$L$45,"II юн",IF(I477&lt;=[2]Нормативы!$L$46,"III юн","б/р")))))))))))</f>
        <v>III</v>
      </c>
    </row>
    <row r="478" spans="1:10" x14ac:dyDescent="0.3">
      <c r="A478" s="1086">
        <v>36</v>
      </c>
      <c r="B478" s="550" t="s">
        <v>24</v>
      </c>
      <c r="C478" s="550" t="s">
        <v>1876</v>
      </c>
      <c r="D478" s="551" t="s">
        <v>1733</v>
      </c>
      <c r="E478" s="1042">
        <v>40884</v>
      </c>
      <c r="F478" s="550" t="s">
        <v>1654</v>
      </c>
      <c r="G478" s="895"/>
      <c r="H478" s="550"/>
      <c r="I478" s="1025">
        <v>25.38</v>
      </c>
      <c r="J478" s="1085" t="str">
        <f>IF(ISBLANK(I478)," ",IF(ISTEXT(I478)," ",IF(I478&lt;=[2]Нормативы!$H$38,"КМС",IF(I478&lt;=[2]Нормативы!$H$39,"КМС",IF(I478&lt;=[2]Нормативы!$L$40,"КМС",IF(I478&lt;=[2]Нормативы!$L$41,"I",IF(I478&lt;=[2]Нормативы!$L$42,"II",IF(I478&lt;=[2]Нормативы!$L$43,"III",IF(I478&lt;=[2]Нормативы!$L$44,"I юн",IF(I478&lt;=[2]Нормативы!$L$45,"II юн",IF(I478&lt;=[2]Нормативы!$L$46,"III юн","б/р")))))))))))</f>
        <v>III</v>
      </c>
    </row>
    <row r="479" spans="1:10" x14ac:dyDescent="0.3">
      <c r="A479" s="1086">
        <v>37</v>
      </c>
      <c r="B479" s="550" t="s">
        <v>20</v>
      </c>
      <c r="C479" s="550" t="s">
        <v>1857</v>
      </c>
      <c r="D479" s="551" t="s">
        <v>1733</v>
      </c>
      <c r="E479" s="1042">
        <v>40874</v>
      </c>
      <c r="F479" s="550" t="s">
        <v>1628</v>
      </c>
      <c r="G479" s="895"/>
      <c r="H479" s="550"/>
      <c r="I479" s="1025">
        <v>25.58</v>
      </c>
      <c r="J479" s="1085" t="str">
        <f>IF(ISBLANK(I479)," ",IF(ISTEXT(I479)," ",IF(I479&lt;=[2]Нормативы!$H$38,"КМС",IF(I479&lt;=[2]Нормативы!$H$39,"КМС",IF(I479&lt;=[2]Нормативы!$L$40,"КМС",IF(I479&lt;=[2]Нормативы!$L$41,"I",IF(I479&lt;=[2]Нормативы!$L$42,"II",IF(I479&lt;=[2]Нормативы!$L$43,"III",IF(I479&lt;=[2]Нормативы!$L$44,"I юн",IF(I479&lt;=[2]Нормативы!$L$45,"II юн",IF(I479&lt;=[2]Нормативы!$L$46,"III юн","б/р")))))))))))</f>
        <v>III</v>
      </c>
    </row>
    <row r="480" spans="1:10" x14ac:dyDescent="0.3">
      <c r="A480" s="1086">
        <v>38</v>
      </c>
      <c r="B480" s="550" t="s">
        <v>35</v>
      </c>
      <c r="C480" s="1047" t="s">
        <v>1867</v>
      </c>
      <c r="D480" s="551" t="s">
        <v>1785</v>
      </c>
      <c r="E480" s="1042">
        <v>40526</v>
      </c>
      <c r="F480" s="550" t="s">
        <v>1596</v>
      </c>
      <c r="G480" s="895"/>
      <c r="H480" s="550"/>
      <c r="I480" s="1025">
        <v>25.63</v>
      </c>
      <c r="J480" s="1085" t="str">
        <f>IF(ISBLANK(I480)," ",IF(ISTEXT(I480)," ",IF(I480&lt;=[2]Нормативы!$H$38,"КМС",IF(I480&lt;=[2]Нормативы!$H$39,"КМС",IF(I480&lt;=[2]Нормативы!$L$40,"КМС",IF(I480&lt;=[2]Нормативы!$L$41,"I",IF(I480&lt;=[2]Нормативы!$L$42,"II",IF(I480&lt;=[2]Нормативы!$L$43,"III",IF(I480&lt;=[2]Нормативы!$L$44,"I юн",IF(I480&lt;=[2]Нормативы!$L$45,"II юн",IF(I480&lt;=[2]Нормативы!$L$46,"III юн","б/р")))))))))))</f>
        <v>III</v>
      </c>
    </row>
    <row r="481" spans="1:10" x14ac:dyDescent="0.3">
      <c r="A481" s="1086">
        <v>39</v>
      </c>
      <c r="B481" s="24" t="s">
        <v>35</v>
      </c>
      <c r="C481" s="24" t="s">
        <v>1865</v>
      </c>
      <c r="D481" s="890" t="s">
        <v>1735</v>
      </c>
      <c r="E481" s="1043">
        <v>40470</v>
      </c>
      <c r="F481" s="550" t="s">
        <v>1430</v>
      </c>
      <c r="G481" s="895"/>
      <c r="H481" s="550"/>
      <c r="I481" s="1025">
        <v>25.81</v>
      </c>
      <c r="J481" s="1085" t="str">
        <f>IF(ISBLANK(I481)," ",IF(ISTEXT(I481)," ",IF(I481&lt;=[2]Нормативы!$H$38,"КМС",IF(I481&lt;=[2]Нормативы!$H$39,"КМС",IF(I481&lt;=[2]Нормативы!$L$40,"КМС",IF(I481&lt;=[2]Нормативы!$L$41,"I",IF(I481&lt;=[2]Нормативы!$L$42,"II",IF(I481&lt;=[2]Нормативы!$L$43,"III",IF(I481&lt;=[2]Нормативы!$L$44,"I юн",IF(I481&lt;=[2]Нормативы!$L$45,"II юн",IF(I481&lt;=[2]Нормативы!$L$46,"III юн","б/р")))))))))))</f>
        <v>III</v>
      </c>
    </row>
    <row r="482" spans="1:10" x14ac:dyDescent="0.3">
      <c r="A482" s="1086">
        <v>40</v>
      </c>
      <c r="B482" s="24" t="s">
        <v>35</v>
      </c>
      <c r="C482" s="550" t="s">
        <v>1868</v>
      </c>
      <c r="D482" s="551" t="s">
        <v>1742</v>
      </c>
      <c r="E482" s="1042">
        <v>40514</v>
      </c>
      <c r="F482" s="550" t="s">
        <v>1596</v>
      </c>
      <c r="G482" s="895"/>
      <c r="H482" s="550"/>
      <c r="I482" s="1025">
        <v>25.94</v>
      </c>
      <c r="J482" s="1085" t="str">
        <f>IF(ISBLANK(I482)," ",IF(ISTEXT(I482)," ",IF(I482&lt;=[2]Нормативы!$H$38,"КМС",IF(I482&lt;=[2]Нормативы!$H$39,"КМС",IF(I482&lt;=[2]Нормативы!$L$40,"КМС",IF(I482&lt;=[2]Нормативы!$L$41,"I",IF(I482&lt;=[2]Нормативы!$L$42,"II",IF(I482&lt;=[2]Нормативы!$L$43,"III",IF(I482&lt;=[2]Нормативы!$L$44,"I юн",IF(I482&lt;=[2]Нормативы!$L$45,"II юн",IF(I482&lt;=[2]Нормативы!$L$46,"III юн","б/р")))))))))))</f>
        <v>III</v>
      </c>
    </row>
    <row r="483" spans="1:10" x14ac:dyDescent="0.3">
      <c r="A483" s="1086">
        <v>41</v>
      </c>
      <c r="B483" s="24" t="s">
        <v>35</v>
      </c>
      <c r="C483" s="24" t="s">
        <v>1945</v>
      </c>
      <c r="D483" s="890" t="s">
        <v>1798</v>
      </c>
      <c r="E483" s="1043">
        <v>40648</v>
      </c>
      <c r="F483" s="550" t="s">
        <v>1430</v>
      </c>
      <c r="G483" s="895"/>
      <c r="H483" s="550"/>
      <c r="I483" s="1025">
        <v>26.41</v>
      </c>
      <c r="J483" s="1085" t="str">
        <f>IF(ISBLANK(I483)," ",IF(ISTEXT(I483)," ",IF(I483&lt;=[2]Нормативы!$H$38,"КМС",IF(I483&lt;=[2]Нормативы!$H$39,"КМС",IF(I483&lt;=[2]Нормативы!$L$40,"КМС",IF(I483&lt;=[2]Нормативы!$L$41,"I",IF(I483&lt;=[2]Нормативы!$L$42,"II",IF(I483&lt;=[2]Нормативы!$L$43,"III",IF(I483&lt;=[2]Нормативы!$L$44,"I юн",IF(I483&lt;=[2]Нормативы!$L$45,"II юн",IF(I483&lt;=[2]Нормативы!$L$46,"III юн","б/р")))))))))))</f>
        <v>I юн</v>
      </c>
    </row>
    <row r="484" spans="1:10" x14ac:dyDescent="0.3">
      <c r="A484" s="1086">
        <v>42</v>
      </c>
      <c r="B484" s="550" t="s">
        <v>35</v>
      </c>
      <c r="C484" s="550" t="s">
        <v>1863</v>
      </c>
      <c r="D484" s="551" t="s">
        <v>1798</v>
      </c>
      <c r="E484" s="1042">
        <v>40596</v>
      </c>
      <c r="F484" s="550" t="s">
        <v>1450</v>
      </c>
      <c r="G484" s="895"/>
      <c r="H484" s="550"/>
      <c r="I484" s="1025">
        <v>26.44</v>
      </c>
      <c r="J484" s="1085" t="str">
        <f>IF(ISBLANK(I484)," ",IF(ISTEXT(I484)," ",IF(I484&lt;=[2]Нормативы!$H$38,"КМС",IF(I484&lt;=[2]Нормативы!$H$39,"КМС",IF(I484&lt;=[2]Нормативы!$L$40,"КМС",IF(I484&lt;=[2]Нормативы!$L$41,"I",IF(I484&lt;=[2]Нормативы!$L$42,"II",IF(I484&lt;=[2]Нормативы!$L$43,"III",IF(I484&lt;=[2]Нормативы!$L$44,"I юн",IF(I484&lt;=[2]Нормативы!$L$45,"II юн",IF(I484&lt;=[2]Нормативы!$L$46,"III юн","б/р")))))))))))</f>
        <v>I юн</v>
      </c>
    </row>
    <row r="485" spans="1:10" x14ac:dyDescent="0.3">
      <c r="A485" s="1086">
        <v>43</v>
      </c>
      <c r="B485" s="550" t="s">
        <v>35</v>
      </c>
      <c r="C485" s="550" t="s">
        <v>1864</v>
      </c>
      <c r="D485" s="551" t="s">
        <v>1817</v>
      </c>
      <c r="E485" s="1042">
        <v>40697</v>
      </c>
      <c r="F485" s="550" t="s">
        <v>1628</v>
      </c>
      <c r="G485" s="895"/>
      <c r="H485" s="550"/>
      <c r="I485" s="1025">
        <v>27.14</v>
      </c>
      <c r="J485" s="1085" t="str">
        <f>IF(ISBLANK(I485)," ",IF(ISTEXT(I485)," ",IF(I485&lt;=[2]Нормативы!$H$38,"КМС",IF(I485&lt;=[2]Нормативы!$H$39,"КМС",IF(I485&lt;=[2]Нормативы!$L$40,"КМС",IF(I485&lt;=[2]Нормативы!$L$41,"I",IF(I485&lt;=[2]Нормативы!$L$42,"II",IF(I485&lt;=[2]Нормативы!$L$43,"III",IF(I485&lt;=[2]Нормативы!$L$44,"I юн",IF(I485&lt;=[2]Нормативы!$L$45,"II юн",IF(I485&lt;=[2]Нормативы!$L$46,"III юн","б/р")))))))))))</f>
        <v>I юн</v>
      </c>
    </row>
    <row r="486" spans="1:10" x14ac:dyDescent="0.3">
      <c r="A486" s="1086">
        <v>44</v>
      </c>
      <c r="B486" s="550" t="s">
        <v>35</v>
      </c>
      <c r="C486" s="550" t="s">
        <v>1866</v>
      </c>
      <c r="D486" s="551" t="s">
        <v>1798</v>
      </c>
      <c r="E486" s="1042">
        <v>40835</v>
      </c>
      <c r="F486" s="550" t="s">
        <v>1628</v>
      </c>
      <c r="G486" s="895"/>
      <c r="H486" s="550"/>
      <c r="I486" s="1025">
        <v>27.31</v>
      </c>
      <c r="J486" s="1085" t="str">
        <f>IF(ISBLANK(I486)," ",IF(ISTEXT(I486)," ",IF(I486&lt;=[2]Нормативы!$H$38,"КМС",IF(I486&lt;=[2]Нормативы!$H$39,"КМС",IF(I486&lt;=[2]Нормативы!$L$40,"КМС",IF(I486&lt;=[2]Нормативы!$L$41,"I",IF(I486&lt;=[2]Нормативы!$L$42,"II",IF(I486&lt;=[2]Нормативы!$L$43,"III",IF(I486&lt;=[2]Нормативы!$L$44,"I юн",IF(I486&lt;=[2]Нормативы!$L$45,"II юн",IF(I486&lt;=[2]Нормативы!$L$46,"III юн","б/р")))))))))))</f>
        <v>I юн</v>
      </c>
    </row>
    <row r="487" spans="1:10" x14ac:dyDescent="0.3">
      <c r="A487" s="1086">
        <v>45</v>
      </c>
      <c r="B487" s="550" t="s">
        <v>20</v>
      </c>
      <c r="C487" s="1047" t="s">
        <v>1861</v>
      </c>
      <c r="D487" s="551" t="s">
        <v>1862</v>
      </c>
      <c r="E487" s="1042">
        <v>40691</v>
      </c>
      <c r="F487" s="550" t="s">
        <v>1596</v>
      </c>
      <c r="G487" s="895"/>
      <c r="H487" s="550"/>
      <c r="I487" s="1025">
        <v>30.2</v>
      </c>
      <c r="J487" s="1085" t="str">
        <f>IF(ISBLANK(I487)," ",IF(ISTEXT(I487)," ",IF(I487&lt;=[2]Нормативы!$H$38,"КМС",IF(I487&lt;=[2]Нормативы!$H$39,"КМС",IF(I487&lt;=[2]Нормативы!$L$40,"КМС",IF(I487&lt;=[2]Нормативы!$L$41,"I",IF(I487&lt;=[2]Нормативы!$L$42,"II",IF(I487&lt;=[2]Нормативы!$L$43,"III",IF(I487&lt;=[2]Нормативы!$L$44,"I юн",IF(I487&lt;=[2]Нормативы!$L$45,"II юн",IF(I487&lt;=[2]Нормативы!$L$46,"III юн","б/р")))))))))))</f>
        <v>II юн</v>
      </c>
    </row>
    <row r="488" spans="1:10" x14ac:dyDescent="0.3">
      <c r="A488" s="1086">
        <v>46</v>
      </c>
      <c r="B488" s="550" t="s">
        <v>20</v>
      </c>
      <c r="C488" s="550" t="s">
        <v>1860</v>
      </c>
      <c r="D488" s="551" t="s">
        <v>1744</v>
      </c>
      <c r="E488" s="1042">
        <v>40668</v>
      </c>
      <c r="F488" s="550" t="s">
        <v>1628</v>
      </c>
      <c r="G488" s="895"/>
      <c r="H488" s="550"/>
      <c r="I488" s="1025">
        <v>31.72</v>
      </c>
      <c r="J488" s="1085" t="str">
        <f>IF(ISBLANK(I488)," ",IF(ISTEXT(I488)," ",IF(I488&lt;=[2]Нормативы!$H$38,"КМС",IF(I488&lt;=[2]Нормативы!$H$39,"КМС",IF(I488&lt;=[2]Нормативы!$L$40,"КМС",IF(I488&lt;=[2]Нормативы!$L$41,"I",IF(I488&lt;=[2]Нормативы!$L$42,"II",IF(I488&lt;=[2]Нормативы!$L$43,"III",IF(I488&lt;=[2]Нормативы!$L$44,"I юн",IF(I488&lt;=[2]Нормативы!$L$45,"II юн",IF(I488&lt;=[2]Нормативы!$L$46,"III юн","б/р")))))))))))</f>
        <v>II юн</v>
      </c>
    </row>
    <row r="489" spans="1:10" x14ac:dyDescent="0.3">
      <c r="A489" s="1086"/>
      <c r="B489" s="942"/>
      <c r="C489" s="927"/>
      <c r="D489" s="18"/>
      <c r="E489" s="984"/>
      <c r="F489" s="947"/>
      <c r="G489" s="942"/>
      <c r="H489" s="947"/>
      <c r="I489" s="1025"/>
      <c r="J489" s="549"/>
    </row>
    <row r="490" spans="1:10" ht="15.6" x14ac:dyDescent="0.3">
      <c r="A490" s="1086"/>
      <c r="B490" s="550"/>
      <c r="C490" s="928" t="s">
        <v>1912</v>
      </c>
      <c r="D490" s="374"/>
      <c r="E490" s="374"/>
      <c r="F490" s="374"/>
      <c r="G490" s="374"/>
      <c r="H490" s="929"/>
      <c r="I490" s="1025"/>
      <c r="J490" s="878"/>
    </row>
    <row r="491" spans="1:10" x14ac:dyDescent="0.3">
      <c r="A491" s="1086"/>
      <c r="B491" s="953"/>
      <c r="C491" s="947"/>
      <c r="D491" s="880"/>
      <c r="E491" s="981"/>
      <c r="F491" s="947"/>
      <c r="G491" s="947"/>
      <c r="H491" s="982"/>
      <c r="I491" s="1070"/>
      <c r="J491" s="549"/>
    </row>
    <row r="492" spans="1:10" x14ac:dyDescent="0.3">
      <c r="A492" s="1086">
        <v>1</v>
      </c>
      <c r="B492" s="895" t="s">
        <v>6</v>
      </c>
      <c r="C492" s="551" t="s">
        <v>1914</v>
      </c>
      <c r="D492" s="890" t="s">
        <v>1664</v>
      </c>
      <c r="E492" s="1042">
        <v>41296</v>
      </c>
      <c r="F492" s="550" t="s">
        <v>1598</v>
      </c>
      <c r="G492" s="895"/>
      <c r="H492" s="550"/>
      <c r="I492" s="1025">
        <v>46.74</v>
      </c>
      <c r="J492" s="1085" t="str">
        <f>IF(ISBLANK(I492)," ",IF(ISTEXT(I492)," ",IF(I492&lt;=[2]Нормативы!$H$49,"КМС",IF(I492&lt;=[2]Нормативы!$H$50,"КМС",IF(I492&lt;=[2]Нормативы!$L$51,"КМС",IF(I492&lt;=[2]Нормативы!$L$52,"I",IF(I492&lt;=[2]Нормативы!$L$53,"II",IF(I492&lt;=[2]Нормативы!$L$54,"III",IF(I492&lt;=[2]Нормативы!$L$55,"I юн",IF(I492&lt;=[2]Нормативы!$L$56,"II юн",IF(I492&lt;=[2]Нормативы!$L$57,"III юн","б/р")))))))))))</f>
        <v>I</v>
      </c>
    </row>
    <row r="493" spans="1:10" x14ac:dyDescent="0.3">
      <c r="A493" s="1086">
        <v>2</v>
      </c>
      <c r="B493" s="895" t="s">
        <v>23</v>
      </c>
      <c r="C493" s="551" t="s">
        <v>1913</v>
      </c>
      <c r="D493" s="890" t="s">
        <v>1618</v>
      </c>
      <c r="E493" s="1042">
        <v>41626</v>
      </c>
      <c r="F493" s="550" t="s">
        <v>1598</v>
      </c>
      <c r="G493" s="895"/>
      <c r="H493" s="550"/>
      <c r="I493" s="1025">
        <v>48.7</v>
      </c>
      <c r="J493" s="1085" t="str">
        <f>IF(ISBLANK(I493)," ",IF(ISTEXT(I493)," ",IF(I493&lt;=[2]Нормативы!$H$49,"КМС",IF(I493&lt;=[2]Нормативы!$H$50,"КМС",IF(I493&lt;=[2]Нормативы!$L$51,"КМС",IF(I493&lt;=[2]Нормативы!$L$52,"I",IF(I493&lt;=[2]Нормативы!$L$53,"II",IF(I493&lt;=[2]Нормативы!$L$54,"III",IF(I493&lt;=[2]Нормативы!$L$55,"I юн",IF(I493&lt;=[2]Нормативы!$L$56,"II юн",IF(I493&lt;=[2]Нормативы!$L$57,"III юн","б/р")))))))))))</f>
        <v>II</v>
      </c>
    </row>
    <row r="494" spans="1:10" x14ac:dyDescent="0.3">
      <c r="A494" s="1086">
        <v>3</v>
      </c>
      <c r="B494" s="895" t="s">
        <v>23</v>
      </c>
      <c r="C494" s="551" t="s">
        <v>1328</v>
      </c>
      <c r="D494" s="890" t="s">
        <v>1684</v>
      </c>
      <c r="E494" s="1042">
        <v>41346</v>
      </c>
      <c r="F494" s="550" t="s">
        <v>1598</v>
      </c>
      <c r="G494" s="895"/>
      <c r="H494" s="550"/>
      <c r="I494" s="1025">
        <v>54.09</v>
      </c>
      <c r="J494" s="1085" t="str">
        <f>IF(ISBLANK(I494)," ",IF(ISTEXT(I494)," ",IF(I494&lt;=[2]Нормативы!$H$49,"КМС",IF(I494&lt;=[2]Нормативы!$H$50,"КМС",IF(I494&lt;=[2]Нормативы!$L$51,"КМС",IF(I494&lt;=[2]Нормативы!$L$52,"I",IF(I494&lt;=[2]Нормативы!$L$53,"II",IF(I494&lt;=[2]Нормативы!$L$54,"III",IF(I494&lt;=[2]Нормативы!$L$55,"I юн",IF(I494&lt;=[2]Нормативы!$L$56,"II юн",IF(I494&lt;=[2]Нормативы!$L$57,"III юн","б/р")))))))))))</f>
        <v>III</v>
      </c>
    </row>
    <row r="495" spans="1:10" x14ac:dyDescent="0.3">
      <c r="A495" s="1086"/>
      <c r="B495" s="953"/>
      <c r="C495" s="947"/>
      <c r="D495" s="880"/>
      <c r="E495" s="981"/>
      <c r="F495" s="947"/>
      <c r="G495" s="947"/>
      <c r="H495" s="982"/>
      <c r="I495" s="1070"/>
      <c r="J495" s="906"/>
    </row>
    <row r="496" spans="1:10" ht="15.6" x14ac:dyDescent="0.3">
      <c r="A496" s="1086"/>
      <c r="B496" s="550"/>
      <c r="C496" s="928" t="s">
        <v>1915</v>
      </c>
      <c r="D496" s="374"/>
      <c r="E496" s="374"/>
      <c r="F496" s="374"/>
      <c r="G496" s="374"/>
      <c r="H496" s="929"/>
      <c r="I496" s="1025"/>
      <c r="J496" s="878"/>
    </row>
    <row r="497" spans="1:10" x14ac:dyDescent="0.3">
      <c r="A497" s="1086"/>
      <c r="B497" s="953"/>
      <c r="C497" s="947"/>
      <c r="D497" s="880"/>
      <c r="E497" s="981"/>
      <c r="F497" s="947"/>
      <c r="G497" s="947"/>
      <c r="H497" s="982"/>
      <c r="I497" s="1070"/>
      <c r="J497" s="885"/>
    </row>
    <row r="498" spans="1:10" x14ac:dyDescent="0.3">
      <c r="A498" s="1086">
        <v>1</v>
      </c>
      <c r="B498" s="895" t="s">
        <v>23</v>
      </c>
      <c r="C498" s="551" t="s">
        <v>1916</v>
      </c>
      <c r="D498" s="890" t="s">
        <v>1595</v>
      </c>
      <c r="E498" s="1042">
        <v>40854</v>
      </c>
      <c r="F498" s="550" t="s">
        <v>1634</v>
      </c>
      <c r="G498" s="895"/>
      <c r="H498" s="550"/>
      <c r="I498" s="1025">
        <v>50.87</v>
      </c>
      <c r="J498" s="1085" t="str">
        <f>IF(ISBLANK(I498)," ",IF(ISTEXT(I498)," ",IF(I498&lt;=[2]Нормативы!$H$49,"КМС",IF(I498&lt;=[2]Нормативы!$H$50,"КМС",IF(I498&lt;=[2]Нормативы!$L$51,"КМС",IF(I498&lt;=[2]Нормативы!$L$52,"I",IF(I498&lt;=[2]Нормативы!$L$53,"II",IF(I498&lt;=[2]Нормативы!$L$54,"III",IF(I498&lt;=[2]Нормативы!$L$55,"I юн",IF(I498&lt;=[2]Нормативы!$L$56,"II юн",IF(I498&lt;=[2]Нормативы!$L$57,"III юн","б/р")))))))))))</f>
        <v>II</v>
      </c>
    </row>
    <row r="499" spans="1:10" x14ac:dyDescent="0.3">
      <c r="A499" s="1086">
        <v>2</v>
      </c>
      <c r="B499" s="895" t="s">
        <v>6</v>
      </c>
      <c r="C499" s="551" t="s">
        <v>1717</v>
      </c>
      <c r="D499" s="890" t="s">
        <v>1618</v>
      </c>
      <c r="E499" s="1042">
        <v>40297</v>
      </c>
      <c r="F499" s="550" t="s">
        <v>1452</v>
      </c>
      <c r="G499" s="895"/>
      <c r="H499" s="550"/>
      <c r="I499" s="1025">
        <v>51.2</v>
      </c>
      <c r="J499" s="1085" t="str">
        <f>IF(ISBLANK(I499)," ",IF(ISTEXT(I499)," ",IF(I499&lt;=[2]Нормативы!$H$49,"КМС",IF(I499&lt;=[2]Нормативы!$H$50,"КМС",IF(I499&lt;=[2]Нормативы!$L$51,"КМС",IF(I499&lt;=[2]Нормативы!$L$52,"I",IF(I499&lt;=[2]Нормативы!$L$53,"II",IF(I499&lt;=[2]Нормативы!$L$54,"III",IF(I499&lt;=[2]Нормативы!$L$55,"I юн",IF(I499&lt;=[2]Нормативы!$L$56,"II юн",IF(I499&lt;=[2]Нормативы!$L$57,"III юн","б/р")))))))))))</f>
        <v>III</v>
      </c>
    </row>
    <row r="500" spans="1:10" x14ac:dyDescent="0.3">
      <c r="A500" s="1086">
        <v>3</v>
      </c>
      <c r="B500" s="895" t="s">
        <v>6</v>
      </c>
      <c r="C500" s="551" t="s">
        <v>1701</v>
      </c>
      <c r="D500" s="890" t="s">
        <v>1616</v>
      </c>
      <c r="E500" s="1042">
        <v>40392</v>
      </c>
      <c r="F500" s="550" t="s">
        <v>1634</v>
      </c>
      <c r="G500" s="895"/>
      <c r="H500" s="550"/>
      <c r="I500" s="1025">
        <v>52.4</v>
      </c>
      <c r="J500" s="1085" t="str">
        <f>IF(ISBLANK(I500)," ",IF(ISTEXT(I500)," ",IF(I500&lt;=[2]Нормативы!$H$49,"КМС",IF(I500&lt;=[2]Нормативы!$H$50,"КМС",IF(I500&lt;=[2]Нормативы!$L$51,"КМС",IF(I500&lt;=[2]Нормативы!$L$52,"I",IF(I500&lt;=[2]Нормативы!$L$53,"II",IF(I500&lt;=[2]Нормативы!$L$54,"III",IF(I500&lt;=[2]Нормативы!$L$55,"I юн",IF(I500&lt;=[2]Нормативы!$L$56,"II юн",IF(I500&lt;=[2]Нормативы!$L$57,"III юн","б/р")))))))))))</f>
        <v>III</v>
      </c>
    </row>
    <row r="501" spans="1:10" x14ac:dyDescent="0.3">
      <c r="A501" s="1086">
        <v>4</v>
      </c>
      <c r="B501" s="895" t="s">
        <v>23</v>
      </c>
      <c r="C501" s="551" t="s">
        <v>1699</v>
      </c>
      <c r="D501" s="890" t="s">
        <v>1642</v>
      </c>
      <c r="E501" s="1042">
        <v>39956</v>
      </c>
      <c r="F501" s="550" t="s">
        <v>1654</v>
      </c>
      <c r="G501" s="895"/>
      <c r="H501" s="550"/>
      <c r="I501" s="1025">
        <v>58.56</v>
      </c>
      <c r="J501" s="1085" t="str">
        <f>IF(ISBLANK(I501)," ",IF(ISTEXT(I501)," ",IF(I501&lt;=[2]Нормативы!$H$49,"КМС",IF(I501&lt;=[2]Нормативы!$H$50,"КМС",IF(I501&lt;=[2]Нормативы!$L$51,"КМС",IF(I501&lt;=[2]Нормативы!$L$52,"I",IF(I501&lt;=[2]Нормативы!$L$53,"II",IF(I501&lt;=[2]Нормативы!$L$54,"III",IF(I501&lt;=[2]Нормативы!$L$55,"I юн",IF(I501&lt;=[2]Нормативы!$L$56,"II юн",IF(I501&lt;=[2]Нормативы!$L$57,"III юн","б/р")))))))))))</f>
        <v>I юн</v>
      </c>
    </row>
    <row r="502" spans="1:10" x14ac:dyDescent="0.3">
      <c r="A502" s="1086"/>
      <c r="B502" s="953"/>
      <c r="C502" s="947"/>
      <c r="D502" s="880"/>
      <c r="E502" s="981"/>
      <c r="F502" s="947"/>
      <c r="G502" s="947"/>
      <c r="H502" s="982"/>
      <c r="I502" s="1070"/>
      <c r="J502" s="878"/>
    </row>
    <row r="503" spans="1:10" ht="15.6" x14ac:dyDescent="0.3">
      <c r="A503" s="1086"/>
      <c r="B503" s="550"/>
      <c r="C503" s="928" t="s">
        <v>1923</v>
      </c>
      <c r="D503" s="374"/>
      <c r="E503" s="374"/>
      <c r="F503" s="374"/>
      <c r="G503" s="374"/>
      <c r="H503" s="929"/>
      <c r="I503" s="1025"/>
      <c r="J503" s="878"/>
    </row>
    <row r="504" spans="1:10" x14ac:dyDescent="0.3">
      <c r="A504" s="1070"/>
      <c r="J504" s="300"/>
    </row>
    <row r="505" spans="1:10" x14ac:dyDescent="0.3">
      <c r="A505" s="1086">
        <v>1</v>
      </c>
      <c r="B505" s="550" t="s">
        <v>23</v>
      </c>
      <c r="C505" s="550" t="s">
        <v>1853</v>
      </c>
      <c r="D505" s="550" t="s">
        <v>1729</v>
      </c>
      <c r="E505" s="1042">
        <v>41127</v>
      </c>
      <c r="F505" s="550" t="s">
        <v>1654</v>
      </c>
      <c r="G505" s="895"/>
      <c r="H505" s="550"/>
      <c r="I505" s="1025">
        <v>44.94</v>
      </c>
      <c r="J505" s="1085" t="str">
        <f>IF(ISBLANK(I505)," ",IF(ISTEXT(I505)," ",IF(I505&lt;=[2]Нормативы!$H$60,"КМС",IF(I505&lt;=[2]Нормативы!$H$61,"КМС",IF(I505&lt;=[2]Нормативы!$L$62,"КМС",IF(I505&lt;=[2]Нормативы!$L$63,"I",IF(I505&lt;=[2]Нормативы!$L$64,"II",IF(I505&lt;=[2]Нормативы!$L$65,"III",IF(I505&lt;=[2]Нормативы!$L$66,"I юн",IF(I505&lt;=[2]Нормативы!$L$67,"II юн",IF(I505&lt;=[2]Нормативы!$L$68,"III юн","б/р")))))))))))</f>
        <v>II</v>
      </c>
    </row>
    <row r="506" spans="1:10" x14ac:dyDescent="0.3">
      <c r="A506" s="1086">
        <v>2</v>
      </c>
      <c r="B506" s="550" t="s">
        <v>23</v>
      </c>
      <c r="C506" s="550" t="s">
        <v>1338</v>
      </c>
      <c r="D506" s="550" t="s">
        <v>1729</v>
      </c>
      <c r="E506" s="1042">
        <v>41319</v>
      </c>
      <c r="F506" s="550" t="s">
        <v>1598</v>
      </c>
      <c r="G506" s="895"/>
      <c r="H506" s="550"/>
      <c r="I506" s="1025">
        <v>49.08</v>
      </c>
      <c r="J506" s="1085" t="str">
        <f>IF(ISBLANK(I506)," ",IF(ISTEXT(I506)," ",IF(I506&lt;=[2]Нормативы!$H$60,"КМС",IF(I506&lt;=[2]Нормативы!$H$61,"КМС",IF(I506&lt;=[2]Нормативы!$L$62,"КМС",IF(I506&lt;=[2]Нормативы!$L$63,"I",IF(I506&lt;=[2]Нормативы!$L$64,"II",IF(I506&lt;=[2]Нормативы!$L$65,"III",IF(I506&lt;=[2]Нормативы!$L$66,"I юн",IF(I506&lt;=[2]Нормативы!$L$67,"II юн",IF(I506&lt;=[2]Нормативы!$L$68,"III юн","б/р")))))))))))</f>
        <v>III</v>
      </c>
    </row>
    <row r="507" spans="1:10" x14ac:dyDescent="0.3">
      <c r="A507" s="1086">
        <v>3</v>
      </c>
      <c r="B507" s="550" t="s">
        <v>24</v>
      </c>
      <c r="C507" s="550" t="s">
        <v>1925</v>
      </c>
      <c r="D507" s="550" t="s">
        <v>1807</v>
      </c>
      <c r="E507" s="1042">
        <v>41066</v>
      </c>
      <c r="F507" s="550" t="s">
        <v>1598</v>
      </c>
      <c r="G507" s="895"/>
      <c r="H507" s="550"/>
      <c r="I507" s="1025">
        <v>50.99</v>
      </c>
      <c r="J507" s="1085" t="str">
        <f>IF(ISBLANK(I507)," ",IF(ISTEXT(I507)," ",IF(I507&lt;=[2]Нормативы!$H$60,"КМС",IF(I507&lt;=[2]Нормативы!$H$61,"КМС",IF(I507&lt;=[2]Нормативы!$L$62,"КМС",IF(I507&lt;=[2]Нормативы!$L$63,"I",IF(I507&lt;=[2]Нормативы!$L$64,"II",IF(I507&lt;=[2]Нормативы!$L$65,"III",IF(I507&lt;=[2]Нормативы!$L$66,"I юн",IF(I507&lt;=[2]Нормативы!$L$67,"II юн",IF(I507&lt;=[2]Нормативы!$L$68,"III юн","б/р")))))))))))</f>
        <v>I юн</v>
      </c>
    </row>
    <row r="508" spans="1:10" x14ac:dyDescent="0.3">
      <c r="A508" s="1086">
        <v>4</v>
      </c>
      <c r="B508" s="550" t="s">
        <v>35</v>
      </c>
      <c r="C508" s="550" t="s">
        <v>1845</v>
      </c>
      <c r="D508" s="550" t="s">
        <v>1750</v>
      </c>
      <c r="E508" s="1042">
        <v>41305</v>
      </c>
      <c r="F508" s="550" t="s">
        <v>1598</v>
      </c>
      <c r="G508" s="895"/>
      <c r="H508" s="550"/>
      <c r="I508" s="1025">
        <v>52.09</v>
      </c>
      <c r="J508" s="1085" t="str">
        <f>IF(ISBLANK(I508)," ",IF(ISTEXT(I508)," ",IF(I508&lt;=[2]Нормативы!$H$60,"КМС",IF(I508&lt;=[2]Нормативы!$H$61,"КМС",IF(I508&lt;=[2]Нормативы!$L$62,"КМС",IF(I508&lt;=[2]Нормативы!$L$63,"I",IF(I508&lt;=[2]Нормативы!$L$64,"II",IF(I508&lt;=[2]Нормативы!$L$65,"III",IF(I508&lt;=[2]Нормативы!$L$66,"I юн",IF(I508&lt;=[2]Нормативы!$L$67,"II юн",IF(I508&lt;=[2]Нормативы!$L$68,"III юн","б/р")))))))))))</f>
        <v>I юн</v>
      </c>
    </row>
    <row r="509" spans="1:10" x14ac:dyDescent="0.3">
      <c r="A509" s="1086">
        <v>5</v>
      </c>
      <c r="B509" s="550" t="s">
        <v>24</v>
      </c>
      <c r="C509" s="550" t="s">
        <v>1924</v>
      </c>
      <c r="D509" s="550" t="s">
        <v>1768</v>
      </c>
      <c r="E509" s="1042">
        <v>41521</v>
      </c>
      <c r="F509" s="550" t="s">
        <v>1598</v>
      </c>
      <c r="G509" s="895"/>
      <c r="H509" s="550"/>
      <c r="I509" s="1025">
        <v>52.1</v>
      </c>
      <c r="J509" s="1085" t="str">
        <f>IF(ISBLANK(I509)," ",IF(ISTEXT(I509)," ",IF(I509&lt;=[2]Нормативы!$H$60,"КМС",IF(I509&lt;=[2]Нормативы!$H$61,"КМС",IF(I509&lt;=[2]Нормативы!$L$62,"КМС",IF(I509&lt;=[2]Нормативы!$L$63,"I",IF(I509&lt;=[2]Нормативы!$L$64,"II",IF(I509&lt;=[2]Нормативы!$L$65,"III",IF(I509&lt;=[2]Нормативы!$L$66,"I юн",IF(I509&lt;=[2]Нормативы!$L$67,"II юн",IF(I509&lt;=[2]Нормативы!$L$68,"III юн","б/р")))))))))))</f>
        <v>I юн</v>
      </c>
    </row>
    <row r="510" spans="1:10" x14ac:dyDescent="0.3">
      <c r="A510" s="1086">
        <v>6</v>
      </c>
      <c r="B510" s="550" t="s">
        <v>35</v>
      </c>
      <c r="C510" s="550" t="s">
        <v>1843</v>
      </c>
      <c r="D510" s="550" t="s">
        <v>1844</v>
      </c>
      <c r="E510" s="1042">
        <v>41143</v>
      </c>
      <c r="F510" s="550" t="s">
        <v>1834</v>
      </c>
      <c r="G510" s="895"/>
      <c r="H510" s="550"/>
      <c r="I510" s="1025">
        <v>55.32</v>
      </c>
      <c r="J510" s="1085" t="str">
        <f>IF(ISBLANK(I510)," ",IF(ISTEXT(I510)," ",IF(I510&lt;=[2]Нормативы!$H$60,"КМС",IF(I510&lt;=[2]Нормативы!$H$61,"КМС",IF(I510&lt;=[2]Нормативы!$L$62,"КМС",IF(I510&lt;=[2]Нормативы!$L$63,"I",IF(I510&lt;=[2]Нормативы!$L$64,"II",IF(I510&lt;=[2]Нормативы!$L$65,"III",IF(I510&lt;=[2]Нормативы!$L$66,"I юн",IF(I510&lt;=[2]Нормативы!$L$67,"II юн",IF(I510&lt;=[2]Нормативы!$L$68,"III юн","б/р")))))))))))</f>
        <v>II юн</v>
      </c>
    </row>
    <row r="511" spans="1:10" x14ac:dyDescent="0.3">
      <c r="A511" s="1086">
        <v>7</v>
      </c>
      <c r="B511" s="550" t="s">
        <v>35</v>
      </c>
      <c r="C511" s="550" t="s">
        <v>1832</v>
      </c>
      <c r="D511" s="550" t="s">
        <v>1833</v>
      </c>
      <c r="E511" s="1042">
        <v>41103</v>
      </c>
      <c r="F511" s="550" t="s">
        <v>1834</v>
      </c>
      <c r="G511" s="895"/>
      <c r="H511" s="550"/>
      <c r="I511" s="1025">
        <v>58.7</v>
      </c>
      <c r="J511" s="1085" t="str">
        <f>IF(ISBLANK(I511)," ",IF(ISTEXT(I511)," ",IF(I511&lt;=[2]Нормативы!$H$60,"КМС",IF(I511&lt;=[2]Нормативы!$H$61,"КМС",IF(I511&lt;=[2]Нормативы!$L$62,"КМС",IF(I511&lt;=[2]Нормативы!$L$63,"I",IF(I511&lt;=[2]Нормативы!$L$64,"II",IF(I511&lt;=[2]Нормативы!$L$65,"III",IF(I511&lt;=[2]Нормативы!$L$66,"I юн",IF(I511&lt;=[2]Нормативы!$L$67,"II юн",IF(I511&lt;=[2]Нормативы!$L$68,"III юн","б/р")))))))))))</f>
        <v>II юн</v>
      </c>
    </row>
    <row r="512" spans="1:10" x14ac:dyDescent="0.3">
      <c r="A512" s="1086">
        <v>8</v>
      </c>
      <c r="B512" s="550" t="s">
        <v>35</v>
      </c>
      <c r="C512" s="550" t="s">
        <v>1835</v>
      </c>
      <c r="D512" s="550" t="s">
        <v>1739</v>
      </c>
      <c r="E512" s="1042">
        <v>41375</v>
      </c>
      <c r="F512" s="550" t="s">
        <v>1834</v>
      </c>
      <c r="G512" s="895"/>
      <c r="H512" s="550"/>
      <c r="I512" s="1025">
        <v>101.87</v>
      </c>
      <c r="J512" s="1085" t="str">
        <f>IF(ISBLANK(I512)," ",IF(ISTEXT(I512)," ",IF(I512&lt;=[2]Нормативы!$H$60,"КМС",IF(I512&lt;=[2]Нормативы!$H$61,"КМС",IF(I512&lt;=[2]Нормативы!$L$62,"КМС",IF(I512&lt;=[2]Нормативы!$L$63,"I",IF(I512&lt;=[2]Нормативы!$L$64,"II",IF(I512&lt;=[2]Нормативы!$L$65,"III",IF(I512&lt;=[2]Нормативы!$L$66,"I юн",IF(I512&lt;=[2]Нормативы!$L$67,"II юн",IF(I512&lt;=[2]Нормативы!$L$68,"III юн","б/р")))))))))))</f>
        <v>III юн</v>
      </c>
    </row>
    <row r="513" spans="1:10" x14ac:dyDescent="0.3">
      <c r="A513" s="1086">
        <v>9</v>
      </c>
      <c r="B513" s="550" t="s">
        <v>20</v>
      </c>
      <c r="C513" s="550" t="s">
        <v>1815</v>
      </c>
      <c r="D513" s="550" t="s">
        <v>1785</v>
      </c>
      <c r="E513" s="1042">
        <v>41607</v>
      </c>
      <c r="F513" s="550" t="s">
        <v>1598</v>
      </c>
      <c r="G513" s="895"/>
      <c r="H513" s="550"/>
      <c r="I513" s="1025">
        <v>103.87</v>
      </c>
      <c r="J513" s="1085" t="str">
        <f>IF(ISBLANK(I513)," ",IF(ISTEXT(I513)," ",IF(I513&lt;=[2]Нормативы!$H$60,"КМС",IF(I513&lt;=[2]Нормативы!$H$61,"КМС",IF(I513&lt;=[2]Нормативы!$L$62,"КМС",IF(I513&lt;=[2]Нормативы!$L$63,"I",IF(I513&lt;=[2]Нормативы!$L$64,"II",IF(I513&lt;=[2]Нормативы!$L$65,"III",IF(I513&lt;=[2]Нормативы!$L$66,"I юн",IF(I513&lt;=[2]Нормативы!$L$67,"II юн",IF(I513&lt;=[2]Нормативы!$L$68,"III юн","б/р")))))))))))</f>
        <v>III юн</v>
      </c>
    </row>
    <row r="514" spans="1:10" x14ac:dyDescent="0.3">
      <c r="A514" s="1086"/>
      <c r="B514" s="361"/>
      <c r="C514" s="349"/>
      <c r="D514" s="361"/>
      <c r="E514" s="361"/>
      <c r="F514" s="361"/>
      <c r="G514" s="361"/>
      <c r="H514" s="954"/>
      <c r="I514" s="1071"/>
      <c r="J514" s="300"/>
    </row>
    <row r="515" spans="1:10" ht="15.6" x14ac:dyDescent="0.3">
      <c r="A515" s="1028"/>
      <c r="B515" s="550"/>
      <c r="C515" s="928" t="s">
        <v>1926</v>
      </c>
      <c r="D515" s="374"/>
      <c r="E515" s="374"/>
      <c r="F515" s="374"/>
      <c r="G515" s="374"/>
      <c r="H515" s="929"/>
      <c r="I515" s="1025"/>
      <c r="J515" s="878"/>
    </row>
    <row r="516" spans="1:10" x14ac:dyDescent="0.3">
      <c r="A516" s="1086"/>
      <c r="B516" s="953"/>
      <c r="C516" s="927"/>
      <c r="D516" s="880"/>
      <c r="E516" s="981"/>
      <c r="F516" s="947"/>
      <c r="G516" s="947"/>
      <c r="H516" s="982"/>
      <c r="I516" s="1074"/>
      <c r="J516" s="300"/>
    </row>
    <row r="517" spans="1:10" x14ac:dyDescent="0.3">
      <c r="A517" s="1086">
        <v>1</v>
      </c>
      <c r="B517" s="550" t="s">
        <v>34</v>
      </c>
      <c r="C517" s="550" t="s">
        <v>1901</v>
      </c>
      <c r="D517" s="551" t="s">
        <v>1830</v>
      </c>
      <c r="E517" s="1042">
        <v>39611</v>
      </c>
      <c r="F517" s="550" t="s">
        <v>460</v>
      </c>
      <c r="G517" s="895"/>
      <c r="H517" s="550"/>
      <c r="I517" s="1025">
        <v>42.3</v>
      </c>
      <c r="J517" s="1085" t="str">
        <f>IF(ISBLANK(I517)," ",IF(ISTEXT(I517)," ",IF(I517&lt;=[2]Нормативы!$H$60,"КМС",IF(I517&lt;=[2]Нормативы!$H$61,"КМС",IF(I517&lt;=[2]Нормативы!$L$62,"КМС",IF(I517&lt;=[2]Нормативы!$L$63,"I",IF(I517&lt;=[2]Нормативы!$L$64,"II",IF(I517&lt;=[2]Нормативы!$L$65,"III",IF(I517&lt;=[2]Нормативы!$L$66,"I юн",IF(I517&lt;=[2]Нормативы!$L$67,"II юн",IF(I517&lt;=[2]Нормативы!$L$68,"III юн","б/р")))))))))))</f>
        <v>II</v>
      </c>
    </row>
    <row r="518" spans="1:10" x14ac:dyDescent="0.3">
      <c r="A518" s="1086">
        <v>2</v>
      </c>
      <c r="B518" s="550" t="s">
        <v>6</v>
      </c>
      <c r="C518" s="550" t="s">
        <v>1897</v>
      </c>
      <c r="D518" s="551" t="s">
        <v>1792</v>
      </c>
      <c r="E518" s="1042">
        <v>39771</v>
      </c>
      <c r="F518" s="550" t="s">
        <v>1598</v>
      </c>
      <c r="G518" s="895"/>
      <c r="H518" s="550"/>
      <c r="I518" s="1025">
        <v>43.09</v>
      </c>
      <c r="J518" s="1085" t="str">
        <f>IF(ISBLANK(I518)," ",IF(ISTEXT(I518)," ",IF(I518&lt;=[2]Нормативы!$H$60,"КМС",IF(I518&lt;=[2]Нормативы!$H$61,"КМС",IF(I518&lt;=[2]Нормативы!$L$62,"КМС",IF(I518&lt;=[2]Нормативы!$L$63,"I",IF(I518&lt;=[2]Нормативы!$L$64,"II",IF(I518&lt;=[2]Нормативы!$L$65,"III",IF(I518&lt;=[2]Нормативы!$L$66,"I юн",IF(I518&lt;=[2]Нормативы!$L$67,"II юн",IF(I518&lt;=[2]Нормативы!$L$68,"III юн","б/р")))))))))))</f>
        <v>II</v>
      </c>
    </row>
    <row r="519" spans="1:10" x14ac:dyDescent="0.3">
      <c r="A519" s="1086">
        <v>3</v>
      </c>
      <c r="B519" s="550" t="s">
        <v>23</v>
      </c>
      <c r="C519" s="550" t="s">
        <v>1891</v>
      </c>
      <c r="D519" s="551" t="s">
        <v>1737</v>
      </c>
      <c r="E519" s="1042">
        <v>40372</v>
      </c>
      <c r="F519" s="550" t="s">
        <v>460</v>
      </c>
      <c r="G519" s="895"/>
      <c r="H519" s="550"/>
      <c r="I519" s="1025">
        <v>44.83</v>
      </c>
      <c r="J519" s="1085" t="str">
        <f>IF(ISBLANK(I519)," ",IF(ISTEXT(I519)," ",IF(I519&lt;=[2]Нормативы!$H$60,"КМС",IF(I519&lt;=[2]Нормативы!$H$61,"КМС",IF(I519&lt;=[2]Нормативы!$L$62,"КМС",IF(I519&lt;=[2]Нормативы!$L$63,"I",IF(I519&lt;=[2]Нормативы!$L$64,"II",IF(I519&lt;=[2]Нормативы!$L$65,"III",IF(I519&lt;=[2]Нормативы!$L$66,"I юн",IF(I519&lt;=[2]Нормативы!$L$67,"II юн",IF(I519&lt;=[2]Нормативы!$L$68,"III юн","б/р")))))))))))</f>
        <v>II</v>
      </c>
    </row>
    <row r="520" spans="1:10" x14ac:dyDescent="0.3">
      <c r="A520" s="1086">
        <v>4</v>
      </c>
      <c r="B520" s="550" t="s">
        <v>23</v>
      </c>
      <c r="C520" s="550" t="s">
        <v>1927</v>
      </c>
      <c r="D520" s="551" t="s">
        <v>1789</v>
      </c>
      <c r="E520" s="1042">
        <v>40745</v>
      </c>
      <c r="F520" s="550" t="s">
        <v>1598</v>
      </c>
      <c r="G520" s="895"/>
      <c r="H520" s="550"/>
      <c r="I520" s="1025">
        <v>48.63</v>
      </c>
      <c r="J520" s="1085" t="str">
        <f>IF(ISBLANK(I520)," ",IF(ISTEXT(I520)," ",IF(I520&lt;=[2]Нормативы!$H$60,"КМС",IF(I520&lt;=[2]Нормативы!$H$61,"КМС",IF(I520&lt;=[2]Нормативы!$L$62,"КМС",IF(I520&lt;=[2]Нормативы!$L$63,"I",IF(I520&lt;=[2]Нормативы!$L$64,"II",IF(I520&lt;=[2]Нормативы!$L$65,"III",IF(I520&lt;=[2]Нормативы!$L$66,"I юн",IF(I520&lt;=[2]Нормативы!$L$67,"II юн",IF(I520&lt;=[2]Нормативы!$L$68,"III юн","б/р")))))))))))</f>
        <v>III</v>
      </c>
    </row>
    <row r="521" spans="1:10" x14ac:dyDescent="0.3">
      <c r="A521" s="1086"/>
      <c r="B521" s="953"/>
      <c r="C521" s="927"/>
      <c r="D521" s="880"/>
      <c r="E521" s="981"/>
      <c r="F521" s="947"/>
      <c r="G521" s="947"/>
      <c r="H521" s="982"/>
      <c r="I521" s="1070"/>
      <c r="J521" s="878"/>
    </row>
    <row r="522" spans="1:10" x14ac:dyDescent="0.3">
      <c r="A522" s="1086"/>
      <c r="B522" s="942"/>
      <c r="C522" s="927"/>
      <c r="D522" s="18"/>
      <c r="E522" s="984"/>
      <c r="F522" s="947"/>
      <c r="G522" s="942"/>
      <c r="H522" s="947"/>
      <c r="I522" s="1025"/>
      <c r="J522" s="549"/>
    </row>
    <row r="523" spans="1:10" ht="15.6" x14ac:dyDescent="0.3">
      <c r="A523" s="1086"/>
      <c r="B523" s="361"/>
      <c r="C523" s="928" t="s">
        <v>1933</v>
      </c>
      <c r="D523" s="374"/>
      <c r="E523" s="374"/>
      <c r="F523" s="374"/>
      <c r="G523" s="374"/>
      <c r="H523" s="929"/>
      <c r="I523" s="1071"/>
      <c r="J523" s="549"/>
    </row>
    <row r="524" spans="1:10" x14ac:dyDescent="0.3">
      <c r="A524" s="1028"/>
      <c r="B524" s="361"/>
      <c r="C524" s="992"/>
      <c r="D524" s="364"/>
      <c r="E524" s="139"/>
      <c r="F524" s="364"/>
      <c r="G524" s="364"/>
      <c r="H524" s="979"/>
      <c r="I524" s="1076"/>
      <c r="J524" s="549"/>
    </row>
    <row r="525" spans="1:10" x14ac:dyDescent="0.3">
      <c r="A525" s="1161">
        <v>1</v>
      </c>
      <c r="B525" s="550" t="s">
        <v>6</v>
      </c>
      <c r="C525" s="551" t="s">
        <v>1690</v>
      </c>
      <c r="D525" s="551" t="s">
        <v>1636</v>
      </c>
      <c r="E525" s="1042">
        <v>41010</v>
      </c>
      <c r="F525" s="550" t="s">
        <v>1596</v>
      </c>
      <c r="G525" s="895"/>
      <c r="H525" s="880"/>
      <c r="I525" s="1025">
        <v>159.18</v>
      </c>
      <c r="J525" s="1085" t="str">
        <f>IF(ISBLANK(I525)," ",IF(ISTEXT(I525)," ",IF(I525&lt;=[2]Нормативы!$H$115,"КМС",IF(I525&lt;=[2]Нормативы!$H$116,"КМС",IF(I525&lt;=[2]Нормативы!$L$117,"КМС",IF(I525&lt;=[2]Нормативы!$L$118,"I",IF(I525&lt;=[2]Нормативы!$L$119,"II",IF(I525&lt;=[2]Нормативы!$L$120,"III",IF(I525&lt;=[2]Нормативы!$L$121,"I юн",IF(I525&lt;=[2]Нормативы!$L$122,"II юн",IF(I525&lt;=[2]Нормативы!$L$123,"III юн","б/р")))))))))))</f>
        <v>I</v>
      </c>
    </row>
    <row r="526" spans="1:10" x14ac:dyDescent="0.3">
      <c r="A526" s="1161">
        <v>2</v>
      </c>
      <c r="B526" s="550" t="s">
        <v>34</v>
      </c>
      <c r="C526" s="551" t="s">
        <v>1673</v>
      </c>
      <c r="D526" s="890" t="s">
        <v>1674</v>
      </c>
      <c r="E526" s="1042">
        <v>41526</v>
      </c>
      <c r="F526" s="550" t="s">
        <v>1381</v>
      </c>
      <c r="G526" s="895"/>
      <c r="H526" s="880"/>
      <c r="I526" s="1025">
        <v>201.6</v>
      </c>
      <c r="J526" s="1085" t="str">
        <f>IF(ISBLANK(I526)," ",IF(ISTEXT(I526)," ",IF(I526&lt;=[2]Нормативы!$H$115,"КМС",IF(I526&lt;=[2]Нормативы!$H$116,"КМС",IF(I526&lt;=[2]Нормативы!$L$117,"КМС",IF(I526&lt;=[2]Нормативы!$L$118,"I",IF(I526&lt;=[2]Нормативы!$L$119,"II",IF(I526&lt;=[2]Нормативы!$L$120,"III",IF(I526&lt;=[2]Нормативы!$L$121,"I юн",IF(I526&lt;=[2]Нормативы!$L$122,"II юн",IF(I526&lt;=[2]Нормативы!$L$123,"III юн","б/р")))))))))))</f>
        <v>I</v>
      </c>
    </row>
    <row r="527" spans="1:10" x14ac:dyDescent="0.3">
      <c r="A527" s="1161">
        <v>3</v>
      </c>
      <c r="B527" s="550" t="s">
        <v>6</v>
      </c>
      <c r="C527" s="551" t="s">
        <v>1691</v>
      </c>
      <c r="D527" s="7" t="s">
        <v>1616</v>
      </c>
      <c r="E527" s="1042">
        <v>41165</v>
      </c>
      <c r="F527" s="550" t="s">
        <v>1596</v>
      </c>
      <c r="G527" s="895"/>
      <c r="H527" s="880"/>
      <c r="I527" s="1025">
        <v>203.13</v>
      </c>
      <c r="J527" s="1085" t="str">
        <f>IF(ISBLANK(I527)," ",IF(ISTEXT(I527)," ",IF(I527&lt;=[2]Нормативы!$H$115,"КМС",IF(I527&lt;=[2]Нормативы!$H$116,"КМС",IF(I527&lt;=[2]Нормативы!$L$117,"КМС",IF(I527&lt;=[2]Нормативы!$L$118,"I",IF(I527&lt;=[2]Нормативы!$L$119,"II",IF(I527&lt;=[2]Нормативы!$L$120,"III",IF(I527&lt;=[2]Нормативы!$L$121,"I юн",IF(I527&lt;=[2]Нормативы!$L$122,"II юн",IF(I527&lt;=[2]Нормативы!$L$123,"III юн","б/р")))))))))))</f>
        <v>I</v>
      </c>
    </row>
    <row r="528" spans="1:10" x14ac:dyDescent="0.3">
      <c r="A528" s="1161">
        <v>4</v>
      </c>
      <c r="B528" s="550" t="s">
        <v>6</v>
      </c>
      <c r="C528" s="551" t="s">
        <v>1688</v>
      </c>
      <c r="D528" s="890" t="s">
        <v>1689</v>
      </c>
      <c r="E528" s="1042">
        <v>40997</v>
      </c>
      <c r="F528" s="550" t="s">
        <v>1596</v>
      </c>
      <c r="G528" s="895"/>
      <c r="H528" s="880"/>
      <c r="I528" s="1025">
        <v>203.58</v>
      </c>
      <c r="J528" s="1085" t="str">
        <f>IF(ISBLANK(I528)," ",IF(ISTEXT(I528)," ",IF(I528&lt;=[2]Нормативы!$H$115,"КМС",IF(I528&lt;=[2]Нормативы!$H$116,"КМС",IF(I528&lt;=[2]Нормативы!$L$117,"КМС",IF(I528&lt;=[2]Нормативы!$L$118,"I",IF(I528&lt;=[2]Нормативы!$L$119,"II",IF(I528&lt;=[2]Нормативы!$L$120,"III",IF(I528&lt;=[2]Нормативы!$L$121,"I юн",IF(I528&lt;=[2]Нормативы!$L$122,"II юн",IF(I528&lt;=[2]Нормативы!$L$123,"III юн","б/р")))))))))))</f>
        <v>I</v>
      </c>
    </row>
    <row r="529" spans="1:10" x14ac:dyDescent="0.3">
      <c r="A529" s="1161">
        <v>5</v>
      </c>
      <c r="B529" s="550" t="s">
        <v>23</v>
      </c>
      <c r="C529" s="551" t="s">
        <v>1683</v>
      </c>
      <c r="D529" s="890" t="s">
        <v>1613</v>
      </c>
      <c r="E529" s="1042">
        <v>41302</v>
      </c>
      <c r="F529" s="550" t="s">
        <v>1634</v>
      </c>
      <c r="G529" s="895"/>
      <c r="H529" s="880"/>
      <c r="I529" s="1025">
        <v>212.59</v>
      </c>
      <c r="J529" s="1085" t="str">
        <f>IF(ISBLANK(I529)," ",IF(ISTEXT(I529)," ",IF(I529&lt;=[2]Нормативы!$H$115,"КМС",IF(I529&lt;=[2]Нормативы!$H$116,"КМС",IF(I529&lt;=[2]Нормативы!$L$117,"КМС",IF(I529&lt;=[2]Нормативы!$L$118,"I",IF(I529&lt;=[2]Нормативы!$L$119,"II",IF(I529&lt;=[2]Нормативы!$L$120,"III",IF(I529&lt;=[2]Нормативы!$L$121,"I юн",IF(I529&lt;=[2]Нормативы!$L$122,"II юн",IF(I529&lt;=[2]Нормативы!$L$123,"III юн","б/р")))))))))))</f>
        <v>II</v>
      </c>
    </row>
    <row r="530" spans="1:10" x14ac:dyDescent="0.3">
      <c r="A530" s="1161">
        <v>6</v>
      </c>
      <c r="B530" s="550" t="s">
        <v>24</v>
      </c>
      <c r="C530" s="551" t="s">
        <v>1672</v>
      </c>
      <c r="D530" s="890" t="s">
        <v>1603</v>
      </c>
      <c r="E530" s="1042">
        <v>41347</v>
      </c>
      <c r="F530" s="550" t="s">
        <v>1634</v>
      </c>
      <c r="G530" s="895"/>
      <c r="H530" s="880"/>
      <c r="I530" s="1025">
        <v>222.14</v>
      </c>
      <c r="J530" s="1085" t="str">
        <f>IF(ISBLANK(I530)," ",IF(ISTEXT(I530)," ",IF(I530&lt;=[2]Нормативы!$H$115,"КМС",IF(I530&lt;=[2]Нормативы!$H$116,"КМС",IF(I530&lt;=[2]Нормативы!$L$117,"КМС",IF(I530&lt;=[2]Нормативы!$L$118,"I",IF(I530&lt;=[2]Нормативы!$L$119,"II",IF(I530&lt;=[2]Нормативы!$L$120,"III",IF(I530&lt;=[2]Нормативы!$L$121,"I юн",IF(I530&lt;=[2]Нормативы!$L$122,"II юн",IF(I530&lt;=[2]Нормативы!$L$123,"III юн","б/р")))))))))))</f>
        <v>III</v>
      </c>
    </row>
    <row r="531" spans="1:10" x14ac:dyDescent="0.3">
      <c r="A531" s="1161">
        <v>7</v>
      </c>
      <c r="B531" s="550" t="s">
        <v>24</v>
      </c>
      <c r="C531" s="24" t="s">
        <v>1678</v>
      </c>
      <c r="D531" s="890" t="s">
        <v>1611</v>
      </c>
      <c r="E531" s="1043">
        <v>41307</v>
      </c>
      <c r="F531" s="550" t="s">
        <v>1430</v>
      </c>
      <c r="G531" s="895"/>
      <c r="H531" s="880"/>
      <c r="I531" s="1075">
        <v>225.87</v>
      </c>
      <c r="J531" s="1085" t="str">
        <f>IF(ISBLANK(I531)," ",IF(ISTEXT(I531)," ",IF(I531&lt;=[2]Нормативы!$H$115,"КМС",IF(I531&lt;=[2]Нормативы!$H$116,"КМС",IF(I531&lt;=[2]Нормативы!$L$117,"КМС",IF(I531&lt;=[2]Нормативы!$L$118,"I",IF(I531&lt;=[2]Нормативы!$L$119,"II",IF(I531&lt;=[2]Нормативы!$L$120,"III",IF(I531&lt;=[2]Нормативы!$L$121,"I юн",IF(I531&lt;=[2]Нормативы!$L$122,"II юн",IF(I531&lt;=[2]Нормативы!$L$123,"III юн","б/р")))))))))))</f>
        <v>III</v>
      </c>
    </row>
    <row r="532" spans="1:10" x14ac:dyDescent="0.3">
      <c r="A532" s="1161">
        <v>8</v>
      </c>
      <c r="B532" s="550" t="s">
        <v>24</v>
      </c>
      <c r="C532" s="551" t="s">
        <v>1665</v>
      </c>
      <c r="D532" s="890" t="s">
        <v>1603</v>
      </c>
      <c r="E532" s="1042">
        <v>41039</v>
      </c>
      <c r="F532" s="550" t="s">
        <v>1628</v>
      </c>
      <c r="G532" s="895"/>
      <c r="H532" s="359"/>
      <c r="I532" s="1025">
        <v>237.5</v>
      </c>
      <c r="J532" s="1085" t="str">
        <f>IF(ISBLANK(I532)," ",IF(ISTEXT(I532)," ",IF(I532&lt;=[2]Нормативы!$H$115,"КМС",IF(I532&lt;=[2]Нормативы!$H$116,"КМС",IF(I532&lt;=[2]Нормативы!$L$117,"КМС",IF(I532&lt;=[2]Нормативы!$L$118,"I",IF(I532&lt;=[2]Нормативы!$L$119,"II",IF(I532&lt;=[2]Нормативы!$L$120,"III",IF(I532&lt;=[2]Нормативы!$L$121,"I юн",IF(I532&lt;=[2]Нормативы!$L$122,"II юн",IF(I532&lt;=[2]Нормативы!$L$123,"III юн","б/р")))))))))))</f>
        <v>I юн</v>
      </c>
    </row>
    <row r="533" spans="1:10" x14ac:dyDescent="0.3">
      <c r="A533" s="1161">
        <v>9</v>
      </c>
      <c r="B533" s="24" t="s">
        <v>35</v>
      </c>
      <c r="C533" s="551" t="s">
        <v>1663</v>
      </c>
      <c r="D533" s="890" t="s">
        <v>1664</v>
      </c>
      <c r="E533" s="1042">
        <v>41074</v>
      </c>
      <c r="F533" s="550" t="s">
        <v>1596</v>
      </c>
      <c r="G533" s="895"/>
      <c r="H533" s="880"/>
      <c r="I533" s="1025">
        <v>249.13</v>
      </c>
      <c r="J533" s="1085" t="str">
        <f>IF(ISBLANK(I533)," ",IF(ISTEXT(I533)," ",IF(I533&lt;=[2]Нормативы!$H$115,"КМС",IF(I533&lt;=[2]Нормативы!$H$116,"КМС",IF(I533&lt;=[2]Нормативы!$L$117,"КМС",IF(I533&lt;=[2]Нормативы!$L$118,"I",IF(I533&lt;=[2]Нормативы!$L$119,"II",IF(I533&lt;=[2]Нормативы!$L$120,"III",IF(I533&lt;=[2]Нормативы!$L$121,"I юн",IF(I533&lt;=[2]Нормативы!$L$122,"II юн",IF(I533&lt;=[2]Нормативы!$L$123,"III юн","б/р")))))))))))</f>
        <v>II юн</v>
      </c>
    </row>
    <row r="534" spans="1:10" x14ac:dyDescent="0.3">
      <c r="A534" s="1086"/>
      <c r="B534" s="550" t="s">
        <v>23</v>
      </c>
      <c r="C534" s="24" t="s">
        <v>1682</v>
      </c>
      <c r="D534" s="890" t="s">
        <v>1613</v>
      </c>
      <c r="E534" s="1043">
        <v>41449</v>
      </c>
      <c r="F534" s="550" t="s">
        <v>1430</v>
      </c>
      <c r="G534" s="895"/>
      <c r="H534" s="880"/>
      <c r="I534" s="1074" t="s">
        <v>2066</v>
      </c>
      <c r="J534" s="910"/>
    </row>
    <row r="535" spans="1:10" x14ac:dyDescent="0.3">
      <c r="A535" s="1086"/>
      <c r="B535" s="550"/>
      <c r="C535" s="551"/>
      <c r="D535" s="890"/>
      <c r="E535" s="1042"/>
      <c r="F535" s="550"/>
      <c r="G535" s="895"/>
      <c r="H535" s="359"/>
      <c r="I535" s="1025"/>
      <c r="J535" s="901"/>
    </row>
    <row r="536" spans="1:10" ht="15.6" x14ac:dyDescent="0.3">
      <c r="A536" s="1086"/>
      <c r="B536" s="361"/>
      <c r="C536" s="928" t="s">
        <v>1934</v>
      </c>
      <c r="D536" s="374"/>
      <c r="E536" s="374"/>
      <c r="F536" s="374"/>
      <c r="G536" s="374"/>
      <c r="H536" s="929"/>
      <c r="I536" s="1071"/>
      <c r="J536" s="549"/>
    </row>
    <row r="537" spans="1:10" x14ac:dyDescent="0.3">
      <c r="A537" s="1028"/>
      <c r="B537" s="953"/>
      <c r="C537" s="1011"/>
      <c r="D537" s="18"/>
      <c r="E537" s="1012"/>
      <c r="F537" s="952"/>
      <c r="G537" s="987"/>
      <c r="H537" s="358"/>
      <c r="I537" s="1027"/>
      <c r="J537" s="549"/>
    </row>
    <row r="538" spans="1:10" x14ac:dyDescent="0.3">
      <c r="A538" s="1086">
        <v>1</v>
      </c>
      <c r="B538" s="551" t="s">
        <v>34</v>
      </c>
      <c r="C538" s="551" t="s">
        <v>1935</v>
      </c>
      <c r="D538" s="890" t="s">
        <v>1611</v>
      </c>
      <c r="E538" s="1042">
        <v>40673</v>
      </c>
      <c r="F538" s="550" t="s">
        <v>1598</v>
      </c>
      <c r="G538" s="895"/>
      <c r="H538" s="550"/>
      <c r="I538" s="1025">
        <v>156.29</v>
      </c>
      <c r="J538" s="1085" t="str">
        <f>IF(ISBLANK(I538)," ",IF(ISTEXT(I538)," ",IF(I538&lt;=[2]Нормативы!$H$115,"КМС",IF(I538&lt;=[2]Нормативы!$H$116,"КМС",IF(I538&lt;=[2]Нормативы!$L$117,"КМС",IF(I538&lt;=[2]Нормативы!$L$118,"I",IF(I538&lt;=[2]Нормативы!$L$119,"II",IF(I538&lt;=[2]Нормативы!$L$120,"III",IF(I538&lt;=[2]Нормативы!$L$121,"I юн",IF(I538&lt;=[2]Нормативы!$L$122,"II юн",IF(I538&lt;=[2]Нормативы!$L$123,"III юн","б/р")))))))))))</f>
        <v>КМС</v>
      </c>
    </row>
    <row r="539" spans="1:10" s="948" customFormat="1" x14ac:dyDescent="0.3">
      <c r="A539" s="1086">
        <v>2</v>
      </c>
      <c r="B539" s="551" t="s">
        <v>6</v>
      </c>
      <c r="C539" s="551" t="s">
        <v>1709</v>
      </c>
      <c r="D539" s="890" t="s">
        <v>1630</v>
      </c>
      <c r="E539" s="1042">
        <v>39927</v>
      </c>
      <c r="F539" s="550" t="s">
        <v>1634</v>
      </c>
      <c r="G539" s="895"/>
      <c r="H539" s="550"/>
      <c r="I539" s="1025">
        <v>201.93</v>
      </c>
      <c r="J539" s="1085" t="str">
        <f>IF(ISBLANK(I539)," ",IF(ISTEXT(I539)," ",IF(I539&lt;=[2]Нормативы!$H$115,"КМС",IF(I539&lt;=[2]Нормативы!$H$116,"КМС",IF(I539&lt;=[2]Нормативы!$L$117,"КМС",IF(I539&lt;=[2]Нормативы!$L$118,"I",IF(I539&lt;=[2]Нормативы!$L$119,"II",IF(I539&lt;=[2]Нормативы!$L$120,"III",IF(I539&lt;=[2]Нормативы!$L$121,"I юн",IF(I539&lt;=[2]Нормативы!$L$122,"II юн",IF(I539&lt;=[2]Нормативы!$L$123,"III юн","б/р")))))))))))</f>
        <v>I</v>
      </c>
    </row>
    <row r="540" spans="1:10" x14ac:dyDescent="0.3">
      <c r="A540" s="1086">
        <v>3</v>
      </c>
      <c r="B540" s="551" t="s">
        <v>6</v>
      </c>
      <c r="C540" s="551" t="s">
        <v>1717</v>
      </c>
      <c r="D540" s="890" t="s">
        <v>1618</v>
      </c>
      <c r="E540" s="1042">
        <v>40297</v>
      </c>
      <c r="F540" s="550" t="s">
        <v>1452</v>
      </c>
      <c r="G540" s="895"/>
      <c r="H540" s="550"/>
      <c r="I540" s="1025">
        <v>203.32</v>
      </c>
      <c r="J540" s="1085" t="str">
        <f>IF(ISBLANK(I540)," ",IF(ISTEXT(I540)," ",IF(I540&lt;=[2]Нормативы!$H$115,"КМС",IF(I540&lt;=[2]Нормативы!$H$116,"КМС",IF(I540&lt;=[2]Нормативы!$L$117,"КМС",IF(I540&lt;=[2]Нормативы!$L$118,"I",IF(I540&lt;=[2]Нормативы!$L$119,"II",IF(I540&lt;=[2]Нормативы!$L$120,"III",IF(I540&lt;=[2]Нормативы!$L$121,"I юн",IF(I540&lt;=[2]Нормативы!$L$122,"II юн",IF(I540&lt;=[2]Нормативы!$L$123,"III юн","б/р")))))))))))</f>
        <v>I</v>
      </c>
    </row>
    <row r="541" spans="1:10" x14ac:dyDescent="0.3">
      <c r="A541" s="1086">
        <v>4</v>
      </c>
      <c r="B541" s="22" t="s">
        <v>35</v>
      </c>
      <c r="C541" s="551" t="s">
        <v>1714</v>
      </c>
      <c r="D541" s="890" t="s">
        <v>1715</v>
      </c>
      <c r="E541" s="1046" t="s">
        <v>1716</v>
      </c>
      <c r="F541" s="550" t="s">
        <v>460</v>
      </c>
      <c r="G541" s="895"/>
      <c r="H541" s="550"/>
      <c r="I541" s="1075">
        <v>203.75</v>
      </c>
      <c r="J541" s="1085" t="str">
        <f>IF(ISBLANK(I541)," ",IF(ISTEXT(I541)," ",IF(I541&lt;=[2]Нормативы!$H$115,"КМС",IF(I541&lt;=[2]Нормативы!$H$116,"КМС",IF(I541&lt;=[2]Нормативы!$L$117,"КМС",IF(I541&lt;=[2]Нормативы!$L$118,"I",IF(I541&lt;=[2]Нормативы!$L$119,"II",IF(I541&lt;=[2]Нормативы!$L$120,"III",IF(I541&lt;=[2]Нормативы!$L$121,"I юн",IF(I541&lt;=[2]Нормативы!$L$122,"II юн",IF(I541&lt;=[2]Нормативы!$L$123,"III юн","б/р")))))))))))</f>
        <v>I</v>
      </c>
    </row>
    <row r="542" spans="1:10" x14ac:dyDescent="0.3">
      <c r="A542" s="1086">
        <v>5</v>
      </c>
      <c r="B542" s="22" t="s">
        <v>35</v>
      </c>
      <c r="C542" s="551" t="s">
        <v>1703</v>
      </c>
      <c r="D542" s="890" t="s">
        <v>1603</v>
      </c>
      <c r="E542" s="1046" t="s">
        <v>1704</v>
      </c>
      <c r="F542" s="550" t="s">
        <v>460</v>
      </c>
      <c r="G542" s="895"/>
      <c r="H542" s="550"/>
      <c r="I542" s="1075">
        <v>209.69</v>
      </c>
      <c r="J542" s="1085" t="str">
        <f>IF(ISBLANK(I542)," ",IF(ISTEXT(I542)," ",IF(I542&lt;=[2]Нормативы!$H$115,"КМС",IF(I542&lt;=[2]Нормативы!$H$116,"КМС",IF(I542&lt;=[2]Нормативы!$L$117,"КМС",IF(I542&lt;=[2]Нормативы!$L$118,"I",IF(I542&lt;=[2]Нормативы!$L$119,"II",IF(I542&lt;=[2]Нормативы!$L$120,"III",IF(I542&lt;=[2]Нормативы!$L$121,"I юн",IF(I542&lt;=[2]Нормативы!$L$122,"II юн",IF(I542&lt;=[2]Нормативы!$L$123,"III юн","б/р")))))))))))</f>
        <v>II</v>
      </c>
    </row>
    <row r="543" spans="1:10" x14ac:dyDescent="0.3">
      <c r="A543" s="1086">
        <v>6</v>
      </c>
      <c r="B543" s="550" t="s">
        <v>23</v>
      </c>
      <c r="C543" s="551" t="s">
        <v>1465</v>
      </c>
      <c r="D543" s="890" t="s">
        <v>1595</v>
      </c>
      <c r="E543" s="1042">
        <v>40266</v>
      </c>
      <c r="F543" s="550" t="s">
        <v>1596</v>
      </c>
      <c r="G543" s="895"/>
      <c r="H543" s="550"/>
      <c r="I543" s="1074">
        <v>211.99</v>
      </c>
      <c r="J543" s="1085" t="str">
        <f>IF(ISBLANK(I543)," ",IF(ISTEXT(I543)," ",IF(I543&lt;=[2]Нормативы!$H$115,"КМС",IF(I543&lt;=[2]Нормативы!$H$116,"КМС",IF(I543&lt;=[2]Нормативы!$L$117,"КМС",IF(I543&lt;=[2]Нормативы!$L$118,"I",IF(I543&lt;=[2]Нормативы!$L$119,"II",IF(I543&lt;=[2]Нормативы!$L$120,"III",IF(I543&lt;=[2]Нормативы!$L$121,"I юн",IF(I543&lt;=[2]Нормативы!$L$122,"II юн",IF(I543&lt;=[2]Нормативы!$L$123,"III юн","б/р")))))))))))</f>
        <v>II</v>
      </c>
    </row>
    <row r="544" spans="1:10" x14ac:dyDescent="0.3">
      <c r="A544" s="1086">
        <v>7</v>
      </c>
      <c r="B544" s="550" t="s">
        <v>23</v>
      </c>
      <c r="C544" s="551" t="s">
        <v>1708</v>
      </c>
      <c r="D544" s="890" t="s">
        <v>1642</v>
      </c>
      <c r="E544" s="1042">
        <v>40868</v>
      </c>
      <c r="F544" s="550" t="s">
        <v>1628</v>
      </c>
      <c r="G544" s="895"/>
      <c r="H544" s="550"/>
      <c r="I544" s="1084">
        <v>212.59</v>
      </c>
      <c r="J544" s="1085" t="str">
        <f>IF(ISBLANK(I544)," ",IF(ISTEXT(I544)," ",IF(I544&lt;=[2]Нормативы!$H$115,"КМС",IF(I544&lt;=[2]Нормативы!$H$116,"КМС",IF(I544&lt;=[2]Нормативы!$L$117,"КМС",IF(I544&lt;=[2]Нормативы!$L$118,"I",IF(I544&lt;=[2]Нормативы!$L$119,"II",IF(I544&lt;=[2]Нормативы!$L$120,"III",IF(I544&lt;=[2]Нормативы!$L$121,"I юн",IF(I544&lt;=[2]Нормативы!$L$122,"II юн",IF(I544&lt;=[2]Нормативы!$L$123,"III юн","б/р")))))))))))</f>
        <v>II</v>
      </c>
    </row>
    <row r="545" spans="1:10" x14ac:dyDescent="0.3">
      <c r="A545" s="1086">
        <v>8</v>
      </c>
      <c r="B545" s="550" t="s">
        <v>23</v>
      </c>
      <c r="C545" s="551" t="s">
        <v>1705</v>
      </c>
      <c r="D545" s="890" t="s">
        <v>1613</v>
      </c>
      <c r="E545" s="1042">
        <v>40523</v>
      </c>
      <c r="F545" s="550" t="s">
        <v>1596</v>
      </c>
      <c r="G545" s="895"/>
      <c r="H545" s="550"/>
      <c r="I545" s="1083">
        <v>214.74</v>
      </c>
      <c r="J545" s="1085" t="str">
        <f>IF(ISBLANK(I545)," ",IF(ISTEXT(I545)," ",IF(I545&lt;=[2]Нормативы!$H$115,"КМС",IF(I545&lt;=[2]Нормативы!$H$116,"КМС",IF(I545&lt;=[2]Нормативы!$L$117,"КМС",IF(I545&lt;=[2]Нормативы!$L$118,"I",IF(I545&lt;=[2]Нормативы!$L$119,"II",IF(I545&lt;=[2]Нормативы!$L$120,"III",IF(I545&lt;=[2]Нормативы!$L$121,"I юн",IF(I545&lt;=[2]Нормативы!$L$122,"II юн",IF(I545&lt;=[2]Нормативы!$L$123,"III юн","б/р")))))))))))</f>
        <v>II</v>
      </c>
    </row>
    <row r="546" spans="1:10" x14ac:dyDescent="0.3">
      <c r="A546" s="1086">
        <v>9</v>
      </c>
      <c r="B546" s="550" t="s">
        <v>23</v>
      </c>
      <c r="C546" s="551" t="s">
        <v>1697</v>
      </c>
      <c r="D546" s="890" t="s">
        <v>1618</v>
      </c>
      <c r="E546" s="1042">
        <v>40845</v>
      </c>
      <c r="F546" s="550" t="s">
        <v>1596</v>
      </c>
      <c r="G546" s="895"/>
      <c r="H546" s="550"/>
      <c r="I546" s="1074">
        <v>216.76</v>
      </c>
      <c r="J546" s="1085" t="str">
        <f>IF(ISBLANK(I546)," ",IF(ISTEXT(I546)," ",IF(I546&lt;=[2]Нормативы!$H$115,"КМС",IF(I546&lt;=[2]Нормативы!$H$116,"КМС",IF(I546&lt;=[2]Нормативы!$L$117,"КМС",IF(I546&lt;=[2]Нормативы!$L$118,"I",IF(I546&lt;=[2]Нормативы!$L$119,"II",IF(I546&lt;=[2]Нормативы!$L$120,"III",IF(I546&lt;=[2]Нормативы!$L$121,"I юн",IF(I546&lt;=[2]Нормативы!$L$122,"II юн",IF(I546&lt;=[2]Нормативы!$L$123,"III юн","б/р")))))))))))</f>
        <v>III</v>
      </c>
    </row>
    <row r="547" spans="1:10" x14ac:dyDescent="0.3">
      <c r="A547" s="1086">
        <v>10</v>
      </c>
      <c r="B547" s="24" t="s">
        <v>35</v>
      </c>
      <c r="C547" s="551" t="s">
        <v>1692</v>
      </c>
      <c r="D547" s="890" t="s">
        <v>1609</v>
      </c>
      <c r="E547" s="1042">
        <v>40684</v>
      </c>
      <c r="F547" s="550" t="s">
        <v>1596</v>
      </c>
      <c r="G547" s="895"/>
      <c r="H547" s="550"/>
      <c r="I547" s="1027">
        <v>232.32</v>
      </c>
      <c r="J547" s="1085" t="str">
        <f>IF(ISBLANK(I547)," ",IF(ISTEXT(I547)," ",IF(I547&lt;=[2]Нормативы!$H$115,"КМС",IF(I547&lt;=[2]Нормативы!$H$116,"КМС",IF(I547&lt;=[2]Нормативы!$L$117,"КМС",IF(I547&lt;=[2]Нормативы!$L$118,"I",IF(I547&lt;=[2]Нормативы!$L$119,"II",IF(I547&lt;=[2]Нормативы!$L$120,"III",IF(I547&lt;=[2]Нормативы!$L$121,"I юн",IF(I547&lt;=[2]Нормативы!$L$122,"II юн",IF(I547&lt;=[2]Нормативы!$L$123,"III юн","б/р")))))))))))</f>
        <v>I юн</v>
      </c>
    </row>
    <row r="548" spans="1:10" x14ac:dyDescent="0.3">
      <c r="A548" s="1086">
        <v>11</v>
      </c>
      <c r="B548" s="550" t="s">
        <v>24</v>
      </c>
      <c r="C548" s="551" t="s">
        <v>1693</v>
      </c>
      <c r="D548" s="890" t="s">
        <v>1674</v>
      </c>
      <c r="E548" s="1042">
        <v>40693</v>
      </c>
      <c r="F548" s="550" t="s">
        <v>1452</v>
      </c>
      <c r="G548" s="895"/>
      <c r="H548" s="550"/>
      <c r="I548" s="1074">
        <v>233.24</v>
      </c>
      <c r="J548" s="1085" t="str">
        <f>IF(ISBLANK(I548)," ",IF(ISTEXT(I548)," ",IF(I548&lt;=[2]Нормативы!$H$115,"КМС",IF(I548&lt;=[2]Нормативы!$H$116,"КМС",IF(I548&lt;=[2]Нормативы!$L$117,"КМС",IF(I548&lt;=[2]Нормативы!$L$118,"I",IF(I548&lt;=[2]Нормативы!$L$119,"II",IF(I548&lt;=[2]Нормативы!$L$120,"III",IF(I548&lt;=[2]Нормативы!$L$121,"I юн",IF(I548&lt;=[2]Нормативы!$L$122,"II юн",IF(I548&lt;=[2]Нормативы!$L$123,"III юн","б/р")))))))))))</f>
        <v>I юн</v>
      </c>
    </row>
    <row r="549" spans="1:10" x14ac:dyDescent="0.3">
      <c r="A549" s="1086"/>
      <c r="B549" s="22"/>
      <c r="C549" s="551"/>
      <c r="D549" s="890"/>
      <c r="E549" s="1046"/>
      <c r="F549" s="550"/>
      <c r="G549" s="895"/>
      <c r="H549" s="550"/>
      <c r="I549" s="1075"/>
      <c r="J549" s="878"/>
    </row>
    <row r="550" spans="1:10" ht="15.6" x14ac:dyDescent="0.3">
      <c r="A550" s="1086"/>
      <c r="B550" s="374"/>
      <c r="C550" s="928" t="s">
        <v>1939</v>
      </c>
      <c r="D550" s="374"/>
      <c r="E550" s="374"/>
      <c r="F550" s="374"/>
      <c r="G550" s="374"/>
      <c r="H550" s="929"/>
      <c r="I550" s="1071"/>
      <c r="J550" s="906"/>
    </row>
    <row r="551" spans="1:10" x14ac:dyDescent="0.3">
      <c r="A551" s="1028"/>
      <c r="B551" s="361"/>
      <c r="C551" s="978"/>
      <c r="D551" s="364"/>
      <c r="E551" s="139"/>
      <c r="F551" s="364"/>
      <c r="G551" s="364"/>
      <c r="H551" s="979"/>
      <c r="I551" s="1077"/>
      <c r="J551" s="885"/>
    </row>
    <row r="552" spans="1:10" x14ac:dyDescent="0.3">
      <c r="A552" s="1086">
        <v>1</v>
      </c>
      <c r="B552" s="550" t="s">
        <v>6</v>
      </c>
      <c r="C552" s="550" t="s">
        <v>1855</v>
      </c>
      <c r="D552" s="551" t="s">
        <v>1856</v>
      </c>
      <c r="E552" s="1042">
        <v>41022</v>
      </c>
      <c r="F552" s="550" t="s">
        <v>1834</v>
      </c>
      <c r="G552" s="895"/>
      <c r="H552" s="550"/>
      <c r="I552" s="1025">
        <v>150</v>
      </c>
      <c r="J552" s="1085" t="str">
        <f>IF(ISBLANK(I552)," ",IF(ISTEXT(I552)," ",IF(I552&lt;=[2]Нормативы!$H$126,"КМС",IF(I552&lt;=[2]Нормативы!$H$127,"КМС",IF(I552&lt;=[2]Нормативы!$L$128,"КМС",IF(I552&lt;=[2]Нормативы!$L$129,"I",IF(I552&lt;=[2]Нормативы!$L$130,"II",IF(I552&lt;=[2]Нормативы!$L$131,"III",IF(I552&lt;=[2]Нормативы!$L$132,"I юн",IF(I552&lt;=[2]Нормативы!$L$133,"II юн",IF(I552&lt;=[2]Нормативы!$L$134,"III юн","б/р")))))))))))</f>
        <v>I</v>
      </c>
    </row>
    <row r="553" spans="1:10" x14ac:dyDescent="0.3">
      <c r="A553" s="1086">
        <v>2</v>
      </c>
      <c r="B553" s="550" t="s">
        <v>23</v>
      </c>
      <c r="C553" s="550" t="s">
        <v>1850</v>
      </c>
      <c r="D553" s="551" t="s">
        <v>1851</v>
      </c>
      <c r="E553" s="1042">
        <v>40927</v>
      </c>
      <c r="F553" s="550" t="s">
        <v>1834</v>
      </c>
      <c r="G553" s="895"/>
      <c r="H553" s="550"/>
      <c r="I553" s="1025">
        <v>158.44999999999999</v>
      </c>
      <c r="J553" s="1085" t="str">
        <f>IF(ISBLANK(I553)," ",IF(ISTEXT(I553)," ",IF(I553&lt;=[2]Нормативы!$H$126,"КМС",IF(I553&lt;=[2]Нормативы!$H$127,"КМС",IF(I553&lt;=[2]Нормативы!$L$128,"КМС",IF(I553&lt;=[2]Нормативы!$L$129,"I",IF(I553&lt;=[2]Нормативы!$L$130,"II",IF(I553&lt;=[2]Нормативы!$L$131,"III",IF(I553&lt;=[2]Нормативы!$L$132,"I юн",IF(I553&lt;=[2]Нормативы!$L$133,"II юн",IF(I553&lt;=[2]Нормативы!$L$134,"III юн","б/р")))))))))))</f>
        <v>II</v>
      </c>
    </row>
    <row r="554" spans="1:10" x14ac:dyDescent="0.3">
      <c r="A554" s="1086">
        <v>3</v>
      </c>
      <c r="B554" s="550" t="s">
        <v>24</v>
      </c>
      <c r="C554" s="550" t="s">
        <v>1849</v>
      </c>
      <c r="D554" s="551" t="s">
        <v>1737</v>
      </c>
      <c r="E554" s="1042">
        <v>41278</v>
      </c>
      <c r="F554" s="550" t="s">
        <v>460</v>
      </c>
      <c r="G554" s="895"/>
      <c r="H554" s="550"/>
      <c r="I554" s="1025">
        <v>159.13999999999999</v>
      </c>
      <c r="J554" s="1085" t="str">
        <f>IF(ISBLANK(I554)," ",IF(ISTEXT(I554)," ",IF(I554&lt;=[2]Нормативы!$H$126,"КМС",IF(I554&lt;=[2]Нормативы!$H$127,"КМС",IF(I554&lt;=[2]Нормативы!$L$128,"КМС",IF(I554&lt;=[2]Нормативы!$L$129,"I",IF(I554&lt;=[2]Нормативы!$L$130,"II",IF(I554&lt;=[2]Нормативы!$L$131,"III",IF(I554&lt;=[2]Нормативы!$L$132,"I юн",IF(I554&lt;=[2]Нормативы!$L$133,"II юн",IF(I554&lt;=[2]Нормативы!$L$134,"III юн","б/р")))))))))))</f>
        <v>II</v>
      </c>
    </row>
    <row r="555" spans="1:10" x14ac:dyDescent="0.3">
      <c r="A555" s="1086">
        <v>4</v>
      </c>
      <c r="B555" s="550" t="s">
        <v>23</v>
      </c>
      <c r="C555" s="550" t="s">
        <v>1365</v>
      </c>
      <c r="D555" s="551" t="s">
        <v>1940</v>
      </c>
      <c r="E555" s="1042">
        <v>41204</v>
      </c>
      <c r="F555" s="550" t="s">
        <v>1450</v>
      </c>
      <c r="G555" s="895"/>
      <c r="H555" s="550"/>
      <c r="I555" s="1025">
        <v>159.4</v>
      </c>
      <c r="J555" s="1085" t="str">
        <f>IF(ISBLANK(I555)," ",IF(ISTEXT(I555)," ",IF(I555&lt;=[2]Нормативы!$H$126,"КМС",IF(I555&lt;=[2]Нормативы!$H$127,"КМС",IF(I555&lt;=[2]Нормативы!$L$128,"КМС",IF(I555&lt;=[2]Нормативы!$L$129,"I",IF(I555&lt;=[2]Нормативы!$L$130,"II",IF(I555&lt;=[2]Нормативы!$L$131,"III",IF(I555&lt;=[2]Нормативы!$L$132,"I юн",IF(I555&lt;=[2]Нормативы!$L$133,"II юн",IF(I555&lt;=[2]Нормативы!$L$134,"III юн","б/р")))))))))))</f>
        <v>II</v>
      </c>
    </row>
    <row r="556" spans="1:10" x14ac:dyDescent="0.3">
      <c r="A556" s="1086">
        <v>5</v>
      </c>
      <c r="B556" s="550" t="s">
        <v>24</v>
      </c>
      <c r="C556" s="24" t="s">
        <v>1847</v>
      </c>
      <c r="D556" s="890" t="s">
        <v>1757</v>
      </c>
      <c r="E556" s="1043">
        <v>41331</v>
      </c>
      <c r="F556" s="550" t="s">
        <v>1430</v>
      </c>
      <c r="G556" s="895"/>
      <c r="H556" s="550"/>
      <c r="I556" s="1075">
        <v>204.45</v>
      </c>
      <c r="J556" s="1085" t="str">
        <f>IF(ISBLANK(I556)," ",IF(ISTEXT(I556)," ",IF(I556&lt;=[2]Нормативы!$H$126,"КМС",IF(I556&lt;=[2]Нормативы!$H$127,"КМС",IF(I556&lt;=[2]Нормативы!$L$128,"КМС",IF(I556&lt;=[2]Нормативы!$L$129,"I",IF(I556&lt;=[2]Нормативы!$L$130,"II",IF(I556&lt;=[2]Нормативы!$L$131,"III",IF(I556&lt;=[2]Нормативы!$L$132,"I юн",IF(I556&lt;=[2]Нормативы!$L$133,"II юн",IF(I556&lt;=[2]Нормативы!$L$134,"III юн","б/р")))))))))))</f>
        <v>III</v>
      </c>
    </row>
    <row r="557" spans="1:10" x14ac:dyDescent="0.3">
      <c r="A557" s="1086">
        <v>6</v>
      </c>
      <c r="B557" s="550" t="s">
        <v>24</v>
      </c>
      <c r="C557" s="1048" t="s">
        <v>1848</v>
      </c>
      <c r="D557" s="890" t="s">
        <v>1789</v>
      </c>
      <c r="E557" s="1049">
        <v>41517</v>
      </c>
      <c r="F557" s="550" t="s">
        <v>1430</v>
      </c>
      <c r="G557" s="895"/>
      <c r="H557" s="550"/>
      <c r="I557" s="1075">
        <v>206.81</v>
      </c>
      <c r="J557" s="1085" t="str">
        <f>IF(ISBLANK(I557)," ",IF(ISTEXT(I557)," ",IF(I557&lt;=[2]Нормативы!$H$126,"КМС",IF(I557&lt;=[2]Нормативы!$H$127,"КМС",IF(I557&lt;=[2]Нормативы!$L$128,"КМС",IF(I557&lt;=[2]Нормативы!$L$129,"I",IF(I557&lt;=[2]Нормативы!$L$130,"II",IF(I557&lt;=[2]Нормативы!$L$131,"III",IF(I557&lt;=[2]Нормативы!$L$132,"I юн",IF(I557&lt;=[2]Нормативы!$L$133,"II юн",IF(I557&lt;=[2]Нормативы!$L$134,"III юн","б/р")))))))))))</f>
        <v>III</v>
      </c>
    </row>
    <row r="558" spans="1:10" x14ac:dyDescent="0.3">
      <c r="A558" s="1086">
        <v>7</v>
      </c>
      <c r="B558" s="550" t="s">
        <v>1839</v>
      </c>
      <c r="C558" s="550" t="s">
        <v>1840</v>
      </c>
      <c r="D558" s="551" t="s">
        <v>1733</v>
      </c>
      <c r="E558" s="1042">
        <v>41375</v>
      </c>
      <c r="F558" s="550" t="s">
        <v>460</v>
      </c>
      <c r="G558" s="895"/>
      <c r="H558" s="550"/>
      <c r="I558" s="1025">
        <v>210.25</v>
      </c>
      <c r="J558" s="1085" t="str">
        <f>IF(ISBLANK(I558)," ",IF(ISTEXT(I558)," ",IF(I558&lt;=[2]Нормативы!$H$126,"КМС",IF(I558&lt;=[2]Нормативы!$H$127,"КМС",IF(I558&lt;=[2]Нормативы!$L$128,"КМС",IF(I558&lt;=[2]Нормативы!$L$129,"I",IF(I558&lt;=[2]Нормативы!$L$130,"II",IF(I558&lt;=[2]Нормативы!$L$131,"III",IF(I558&lt;=[2]Нормативы!$L$132,"I юн",IF(I558&lt;=[2]Нормативы!$L$133,"II юн",IF(I558&lt;=[2]Нормативы!$L$134,"III юн","б/р")))))))))))</f>
        <v>III</v>
      </c>
    </row>
    <row r="559" spans="1:10" x14ac:dyDescent="0.3">
      <c r="A559" s="1086">
        <v>8</v>
      </c>
      <c r="B559" s="550" t="s">
        <v>35</v>
      </c>
      <c r="C559" s="550" t="s">
        <v>1838</v>
      </c>
      <c r="D559" s="551" t="s">
        <v>1760</v>
      </c>
      <c r="E559" s="1042">
        <v>41478</v>
      </c>
      <c r="F559" s="550" t="s">
        <v>1452</v>
      </c>
      <c r="G559" s="895"/>
      <c r="H559" s="550"/>
      <c r="I559" s="1025">
        <v>214.5</v>
      </c>
      <c r="J559" s="1085" t="str">
        <f>IF(ISBLANK(I559)," ",IF(ISTEXT(I559)," ",IF(I559&lt;=[2]Нормативы!$H$126,"КМС",IF(I559&lt;=[2]Нормативы!$H$127,"КМС",IF(I559&lt;=[2]Нормативы!$L$128,"КМС",IF(I559&lt;=[2]Нормативы!$L$129,"I",IF(I559&lt;=[2]Нормативы!$L$130,"II",IF(I559&lt;=[2]Нормативы!$L$131,"III",IF(I559&lt;=[2]Нормативы!$L$132,"I юн",IF(I559&lt;=[2]Нормативы!$L$133,"II юн",IF(I559&lt;=[2]Нормативы!$L$134,"III юн","б/р")))))))))))</f>
        <v>I юн</v>
      </c>
    </row>
    <row r="560" spans="1:10" x14ac:dyDescent="0.3">
      <c r="A560" s="1086">
        <v>9</v>
      </c>
      <c r="B560" s="550" t="s">
        <v>35</v>
      </c>
      <c r="C560" s="550" t="s">
        <v>1825</v>
      </c>
      <c r="D560" s="551" t="s">
        <v>1752</v>
      </c>
      <c r="E560" s="1042">
        <v>41113</v>
      </c>
      <c r="F560" s="550" t="s">
        <v>1634</v>
      </c>
      <c r="G560" s="895"/>
      <c r="H560" s="550"/>
      <c r="I560" s="1025">
        <v>220.32</v>
      </c>
      <c r="J560" s="1085" t="str">
        <f>IF(ISBLANK(I560)," ",IF(ISTEXT(I560)," ",IF(I560&lt;=[2]Нормативы!$H$126,"КМС",IF(I560&lt;=[2]Нормативы!$H$127,"КМС",IF(I560&lt;=[2]Нормативы!$L$128,"КМС",IF(I560&lt;=[2]Нормативы!$L$129,"I",IF(I560&lt;=[2]Нормативы!$L$130,"II",IF(I560&lt;=[2]Нормативы!$L$131,"III",IF(I560&lt;=[2]Нормативы!$L$132,"I юн",IF(I560&lt;=[2]Нормативы!$L$133,"II юн",IF(I560&lt;=[2]Нормативы!$L$134,"III юн","б/р")))))))))))</f>
        <v>I юн</v>
      </c>
    </row>
    <row r="561" spans="1:10" x14ac:dyDescent="0.3">
      <c r="A561" s="1086">
        <v>10</v>
      </c>
      <c r="B561" s="550" t="s">
        <v>35</v>
      </c>
      <c r="C561" s="550" t="s">
        <v>1827</v>
      </c>
      <c r="D561" s="551" t="s">
        <v>1737</v>
      </c>
      <c r="E561" s="1042">
        <v>41462</v>
      </c>
      <c r="F561" s="550" t="s">
        <v>1634</v>
      </c>
      <c r="G561" s="895"/>
      <c r="H561" s="550"/>
      <c r="I561" s="1075">
        <v>221.28</v>
      </c>
      <c r="J561" s="1085" t="str">
        <f>IF(ISBLANK(I561)," ",IF(ISTEXT(I561)," ",IF(I561&lt;=[2]Нормативы!$H$126,"КМС",IF(I561&lt;=[2]Нормативы!$H$127,"КМС",IF(I561&lt;=[2]Нормативы!$L$128,"КМС",IF(I561&lt;=[2]Нормативы!$L$129,"I",IF(I561&lt;=[2]Нормативы!$L$130,"II",IF(I561&lt;=[2]Нормативы!$L$131,"III",IF(I561&lt;=[2]Нормативы!$L$132,"I юн",IF(I561&lt;=[2]Нормативы!$L$133,"II юн",IF(I561&lt;=[2]Нормативы!$L$134,"III юн","б/р")))))))))))</f>
        <v>I юн</v>
      </c>
    </row>
    <row r="562" spans="1:10" x14ac:dyDescent="0.3">
      <c r="A562" s="1086">
        <v>11</v>
      </c>
      <c r="B562" s="550" t="s">
        <v>35</v>
      </c>
      <c r="C562" s="551" t="s">
        <v>1578</v>
      </c>
      <c r="D562" s="551" t="s">
        <v>1729</v>
      </c>
      <c r="E562" s="1042">
        <v>41539</v>
      </c>
      <c r="F562" s="550" t="s">
        <v>1596</v>
      </c>
      <c r="G562" s="895"/>
      <c r="H562" s="550"/>
      <c r="I562" s="1025">
        <v>221.41</v>
      </c>
      <c r="J562" s="1085" t="str">
        <f>IF(ISBLANK(I562)," ",IF(ISTEXT(I562)," ",IF(I562&lt;=[2]Нормативы!$H$126,"КМС",IF(I562&lt;=[2]Нормативы!$H$127,"КМС",IF(I562&lt;=[2]Нормативы!$L$128,"КМС",IF(I562&lt;=[2]Нормативы!$L$129,"I",IF(I562&lt;=[2]Нормативы!$L$130,"II",IF(I562&lt;=[2]Нормативы!$L$131,"III",IF(I562&lt;=[2]Нормативы!$L$132,"I юн",IF(I562&lt;=[2]Нормативы!$L$133,"II юн",IF(I562&lt;=[2]Нормативы!$L$134,"III юн","б/р")))))))))))</f>
        <v>I юн</v>
      </c>
    </row>
    <row r="563" spans="1:10" x14ac:dyDescent="0.3">
      <c r="A563" s="1086">
        <v>12</v>
      </c>
      <c r="B563" s="550" t="s">
        <v>35</v>
      </c>
      <c r="C563" s="550" t="s">
        <v>1823</v>
      </c>
      <c r="D563" s="551" t="s">
        <v>1792</v>
      </c>
      <c r="E563" s="1042">
        <v>41062</v>
      </c>
      <c r="F563" s="550" t="s">
        <v>1654</v>
      </c>
      <c r="G563" s="895"/>
      <c r="H563" s="550"/>
      <c r="I563" s="1025">
        <v>223.16</v>
      </c>
      <c r="J563" s="1085" t="str">
        <f>IF(ISBLANK(I563)," ",IF(ISTEXT(I563)," ",IF(I563&lt;=[2]Нормативы!$H$126,"КМС",IF(I563&lt;=[2]Нормативы!$H$127,"КМС",IF(I563&lt;=[2]Нормативы!$L$128,"КМС",IF(I563&lt;=[2]Нормативы!$L$129,"I",IF(I563&lt;=[2]Нормативы!$L$130,"II",IF(I563&lt;=[2]Нормативы!$L$131,"III",IF(I563&lt;=[2]Нормативы!$L$132,"I юн",IF(I563&lt;=[2]Нормативы!$L$133,"II юн",IF(I563&lt;=[2]Нормативы!$L$134,"III юн","б/р")))))))))))</f>
        <v>I юн</v>
      </c>
    </row>
    <row r="564" spans="1:10" x14ac:dyDescent="0.3">
      <c r="A564" s="1086">
        <v>13</v>
      </c>
      <c r="B564" s="550" t="s">
        <v>35</v>
      </c>
      <c r="C564" s="550" t="s">
        <v>1824</v>
      </c>
      <c r="D564" s="551" t="s">
        <v>1725</v>
      </c>
      <c r="E564" s="1042">
        <v>41200</v>
      </c>
      <c r="F564" s="550" t="s">
        <v>1634</v>
      </c>
      <c r="G564" s="895"/>
      <c r="H564" s="550"/>
      <c r="I564" s="1025">
        <v>223.66</v>
      </c>
      <c r="J564" s="1085" t="str">
        <f>IF(ISBLANK(I564)," ",IF(ISTEXT(I564)," ",IF(I564&lt;=[2]Нормативы!$H$126,"КМС",IF(I564&lt;=[2]Нормативы!$H$127,"КМС",IF(I564&lt;=[2]Нормативы!$L$128,"КМС",IF(I564&lt;=[2]Нормативы!$L$129,"I",IF(I564&lt;=[2]Нормативы!$L$130,"II",IF(I564&lt;=[2]Нормативы!$L$131,"III",IF(I564&lt;=[2]Нормативы!$L$132,"I юн",IF(I564&lt;=[2]Нормативы!$L$133,"II юн",IF(I564&lt;=[2]Нормативы!$L$134,"III юн","б/р")))))))))))</f>
        <v>I юн</v>
      </c>
    </row>
    <row r="565" spans="1:10" x14ac:dyDescent="0.3">
      <c r="A565" s="1086">
        <v>14</v>
      </c>
      <c r="B565" s="550" t="s">
        <v>20</v>
      </c>
      <c r="C565" s="550" t="s">
        <v>1836</v>
      </c>
      <c r="D565" s="551" t="s">
        <v>1755</v>
      </c>
      <c r="E565" s="1042">
        <v>41258</v>
      </c>
      <c r="F565" s="550" t="s">
        <v>1452</v>
      </c>
      <c r="G565" s="895"/>
      <c r="H565" s="550"/>
      <c r="I565" s="1025">
        <v>225.46</v>
      </c>
      <c r="J565" s="1085" t="str">
        <f>IF(ISBLANK(I565)," ",IF(ISTEXT(I565)," ",IF(I565&lt;=[2]Нормативы!$H$126,"КМС",IF(I565&lt;=[2]Нормативы!$H$127,"КМС",IF(I565&lt;=[2]Нормативы!$L$128,"КМС",IF(I565&lt;=[2]Нормативы!$L$129,"I",IF(I565&lt;=[2]Нормативы!$L$130,"II",IF(I565&lt;=[2]Нормативы!$L$131,"III",IF(I565&lt;=[2]Нормативы!$L$132,"I юн",IF(I565&lt;=[2]Нормативы!$L$133,"II юн",IF(I565&lt;=[2]Нормативы!$L$134,"III юн","б/р")))))))))))</f>
        <v>I юн</v>
      </c>
    </row>
    <row r="566" spans="1:10" x14ac:dyDescent="0.3">
      <c r="A566" s="1086">
        <v>15</v>
      </c>
      <c r="B566" s="550" t="s">
        <v>20</v>
      </c>
      <c r="C566" s="1047" t="s">
        <v>1808</v>
      </c>
      <c r="D566" s="551" t="s">
        <v>1768</v>
      </c>
      <c r="E566" s="1042">
        <v>41114</v>
      </c>
      <c r="F566" s="24" t="s">
        <v>1596</v>
      </c>
      <c r="G566" s="895"/>
      <c r="H566" s="550"/>
      <c r="I566" s="1025">
        <v>226.16</v>
      </c>
      <c r="J566" s="1085" t="str">
        <f>IF(ISBLANK(I566)," ",IF(ISTEXT(I566)," ",IF(I566&lt;=[2]Нормативы!$H$126,"КМС",IF(I566&lt;=[2]Нормативы!$H$127,"КМС",IF(I566&lt;=[2]Нормативы!$L$128,"КМС",IF(I566&lt;=[2]Нормативы!$L$129,"I",IF(I566&lt;=[2]Нормативы!$L$130,"II",IF(I566&lt;=[2]Нормативы!$L$131,"III",IF(I566&lt;=[2]Нормативы!$L$132,"I юн",IF(I566&lt;=[2]Нормативы!$L$133,"II юн",IF(I566&lt;=[2]Нормативы!$L$134,"III юн","б/р")))))))))))</f>
        <v>II юн</v>
      </c>
    </row>
    <row r="567" spans="1:10" x14ac:dyDescent="0.3">
      <c r="A567" s="1086">
        <v>16</v>
      </c>
      <c r="B567" s="550" t="s">
        <v>35</v>
      </c>
      <c r="C567" s="1047" t="s">
        <v>1837</v>
      </c>
      <c r="D567" s="551" t="s">
        <v>1744</v>
      </c>
      <c r="E567" s="1042">
        <v>41473</v>
      </c>
      <c r="F567" s="550" t="s">
        <v>1596</v>
      </c>
      <c r="G567" s="895"/>
      <c r="H567" s="550"/>
      <c r="I567" s="1025">
        <v>226.26</v>
      </c>
      <c r="J567" s="1085" t="str">
        <f>IF(ISBLANK(I567)," ",IF(ISTEXT(I567)," ",IF(I567&lt;=[2]Нормативы!$H$126,"КМС",IF(I567&lt;=[2]Нормативы!$H$127,"КМС",IF(I567&lt;=[2]Нормативы!$L$128,"КМС",IF(I567&lt;=[2]Нормативы!$L$129,"I",IF(I567&lt;=[2]Нормативы!$L$130,"II",IF(I567&lt;=[2]Нормативы!$L$131,"III",IF(I567&lt;=[2]Нормативы!$L$132,"I юн",IF(I567&lt;=[2]Нормативы!$L$133,"II юн",IF(I567&lt;=[2]Нормативы!$L$134,"III юн","б/р")))))))))))</f>
        <v>II юн</v>
      </c>
    </row>
    <row r="568" spans="1:10" x14ac:dyDescent="0.3">
      <c r="A568" s="1086">
        <v>17</v>
      </c>
      <c r="B568" s="550" t="s">
        <v>1811</v>
      </c>
      <c r="C568" s="550" t="s">
        <v>1812</v>
      </c>
      <c r="D568" s="551" t="s">
        <v>1778</v>
      </c>
      <c r="E568" s="1042">
        <v>41178</v>
      </c>
      <c r="F568" s="550" t="s">
        <v>460</v>
      </c>
      <c r="G568" s="895"/>
      <c r="H568" s="550"/>
      <c r="I568" s="1025">
        <v>228.1</v>
      </c>
      <c r="J568" s="1085" t="str">
        <f>IF(ISBLANK(I568)," ",IF(ISTEXT(I568)," ",IF(I568&lt;=[2]Нормативы!$H$126,"КМС",IF(I568&lt;=[2]Нормативы!$H$127,"КМС",IF(I568&lt;=[2]Нормативы!$L$128,"КМС",IF(I568&lt;=[2]Нормативы!$L$129,"I",IF(I568&lt;=[2]Нормативы!$L$130,"II",IF(I568&lt;=[2]Нормативы!$L$131,"III",IF(I568&lt;=[2]Нормативы!$L$132,"I юн",IF(I568&lt;=[2]Нормативы!$L$133,"II юн",IF(I568&lt;=[2]Нормативы!$L$134,"III юн","б/р")))))))))))</f>
        <v>II юн</v>
      </c>
    </row>
    <row r="569" spans="1:10" x14ac:dyDescent="0.3">
      <c r="A569" s="1086">
        <v>18</v>
      </c>
      <c r="B569" s="550" t="s">
        <v>35</v>
      </c>
      <c r="C569" s="1047" t="s">
        <v>1514</v>
      </c>
      <c r="D569" s="551" t="s">
        <v>1764</v>
      </c>
      <c r="E569" s="1042">
        <v>40970</v>
      </c>
      <c r="F569" s="550" t="s">
        <v>1596</v>
      </c>
      <c r="G569" s="895"/>
      <c r="H569" s="550"/>
      <c r="I569" s="1025">
        <v>229.2</v>
      </c>
      <c r="J569" s="1085" t="str">
        <f>IF(ISBLANK(I569)," ",IF(ISTEXT(I569)," ",IF(I569&lt;=[2]Нормативы!$H$126,"КМС",IF(I569&lt;=[2]Нормативы!$H$127,"КМС",IF(I569&lt;=[2]Нормативы!$L$128,"КМС",IF(I569&lt;=[2]Нормативы!$L$129,"I",IF(I569&lt;=[2]Нормативы!$L$130,"II",IF(I569&lt;=[2]Нормативы!$L$131,"III",IF(I569&lt;=[2]Нормативы!$L$132,"I юн",IF(I569&lt;=[2]Нормативы!$L$133,"II юн",IF(I569&lt;=[2]Нормативы!$L$134,"III юн","б/р")))))))))))</f>
        <v>II юн</v>
      </c>
    </row>
    <row r="570" spans="1:10" x14ac:dyDescent="0.3">
      <c r="A570" s="1086">
        <v>19</v>
      </c>
      <c r="B570" s="550" t="s">
        <v>20</v>
      </c>
      <c r="C570" s="550" t="s">
        <v>1814</v>
      </c>
      <c r="D570" s="551" t="s">
        <v>1760</v>
      </c>
      <c r="E570" s="1042">
        <v>41457</v>
      </c>
      <c r="F570" s="550" t="s">
        <v>1628</v>
      </c>
      <c r="G570" s="895"/>
      <c r="H570" s="550"/>
      <c r="I570" s="1025">
        <v>230.69</v>
      </c>
      <c r="J570" s="1085" t="str">
        <f>IF(ISBLANK(I570)," ",IF(ISTEXT(I570)," ",IF(I570&lt;=[2]Нормативы!$H$126,"КМС",IF(I570&lt;=[2]Нормативы!$H$127,"КМС",IF(I570&lt;=[2]Нормативы!$L$128,"КМС",IF(I570&lt;=[2]Нормативы!$L$129,"I",IF(I570&lt;=[2]Нормативы!$L$130,"II",IF(I570&lt;=[2]Нормативы!$L$131,"III",IF(I570&lt;=[2]Нормативы!$L$132,"I юн",IF(I570&lt;=[2]Нормативы!$L$133,"II юн",IF(I570&lt;=[2]Нормативы!$L$134,"III юн","б/р")))))))))))</f>
        <v>II юн</v>
      </c>
    </row>
    <row r="571" spans="1:10" x14ac:dyDescent="0.3">
      <c r="A571" s="1086">
        <v>20</v>
      </c>
      <c r="B571" s="550" t="s">
        <v>20</v>
      </c>
      <c r="C571" s="551" t="s">
        <v>1821</v>
      </c>
      <c r="D571" s="551" t="s">
        <v>1735</v>
      </c>
      <c r="E571" s="1042">
        <v>41210</v>
      </c>
      <c r="F571" s="550" t="s">
        <v>1596</v>
      </c>
      <c r="G571" s="895"/>
      <c r="H571" s="550"/>
      <c r="I571" s="1025">
        <v>230.69</v>
      </c>
      <c r="J571" s="1085" t="str">
        <f>IF(ISBLANK(I571)," ",IF(ISTEXT(I571)," ",IF(I571&lt;=[2]Нормативы!$H$126,"КМС",IF(I571&lt;=[2]Нормативы!$H$127,"КМС",IF(I571&lt;=[2]Нормативы!$L$128,"КМС",IF(I571&lt;=[2]Нормативы!$L$129,"I",IF(I571&lt;=[2]Нормативы!$L$130,"II",IF(I571&lt;=[2]Нормативы!$L$131,"III",IF(I571&lt;=[2]Нормативы!$L$132,"I юн",IF(I571&lt;=[2]Нормативы!$L$133,"II юн",IF(I571&lt;=[2]Нормативы!$L$134,"III юн","б/р")))))))))))</f>
        <v>II юн</v>
      </c>
    </row>
    <row r="572" spans="1:10" x14ac:dyDescent="0.3">
      <c r="A572" s="1086">
        <v>21</v>
      </c>
      <c r="B572" s="550" t="s">
        <v>20</v>
      </c>
      <c r="C572" s="551" t="s">
        <v>1818</v>
      </c>
      <c r="D572" s="551" t="s">
        <v>1789</v>
      </c>
      <c r="E572" s="1042">
        <v>41553</v>
      </c>
      <c r="F572" s="550" t="s">
        <v>1596</v>
      </c>
      <c r="G572" s="895"/>
      <c r="H572" s="550"/>
      <c r="I572" s="1025">
        <v>232.09</v>
      </c>
      <c r="J572" s="1085" t="str">
        <f>IF(ISBLANK(I572)," ",IF(ISTEXT(I572)," ",IF(I572&lt;=[2]Нормативы!$H$126,"КМС",IF(I572&lt;=[2]Нормативы!$H$127,"КМС",IF(I572&lt;=[2]Нормативы!$L$128,"КМС",IF(I572&lt;=[2]Нормативы!$L$129,"I",IF(I572&lt;=[2]Нормативы!$L$130,"II",IF(I572&lt;=[2]Нормативы!$L$131,"III",IF(I572&lt;=[2]Нормативы!$L$132,"I юн",IF(I572&lt;=[2]Нормативы!$L$133,"II юн",IF(I572&lt;=[2]Нормативы!$L$134,"III юн","б/р")))))))))))</f>
        <v>II юн</v>
      </c>
    </row>
    <row r="573" spans="1:10" x14ac:dyDescent="0.3">
      <c r="A573" s="1086">
        <v>22</v>
      </c>
      <c r="B573" s="550" t="s">
        <v>20</v>
      </c>
      <c r="C573" s="550" t="s">
        <v>1816</v>
      </c>
      <c r="D573" s="551" t="s">
        <v>1817</v>
      </c>
      <c r="E573" s="1042">
        <v>41335</v>
      </c>
      <c r="F573" s="550" t="s">
        <v>1628</v>
      </c>
      <c r="G573" s="895"/>
      <c r="H573" s="550"/>
      <c r="I573" s="1025">
        <v>232.38</v>
      </c>
      <c r="J573" s="1085" t="str">
        <f>IF(ISBLANK(I573)," ",IF(ISTEXT(I573)," ",IF(I573&lt;=[2]Нормативы!$H$126,"КМС",IF(I573&lt;=[2]Нормативы!$H$127,"КМС",IF(I573&lt;=[2]Нормативы!$L$128,"КМС",IF(I573&lt;=[2]Нормативы!$L$129,"I",IF(I573&lt;=[2]Нормативы!$L$130,"II",IF(I573&lt;=[2]Нормативы!$L$131,"III",IF(I573&lt;=[2]Нормативы!$L$132,"I юн",IF(I573&lt;=[2]Нормативы!$L$133,"II юн",IF(I573&lt;=[2]Нормативы!$L$134,"III юн","б/р")))))))))))</f>
        <v>II юн</v>
      </c>
    </row>
    <row r="574" spans="1:10" x14ac:dyDescent="0.3">
      <c r="A574" s="1086">
        <v>23</v>
      </c>
      <c r="B574" s="550" t="s">
        <v>35</v>
      </c>
      <c r="C574" s="1047" t="s">
        <v>1822</v>
      </c>
      <c r="D574" s="551" t="s">
        <v>1739</v>
      </c>
      <c r="E574" s="1042">
        <v>41415</v>
      </c>
      <c r="F574" s="550" t="s">
        <v>1596</v>
      </c>
      <c r="G574" s="895"/>
      <c r="H574" s="550"/>
      <c r="I574" s="1025">
        <v>232.45</v>
      </c>
      <c r="J574" s="1085" t="str">
        <f>IF(ISBLANK(I574)," ",IF(ISTEXT(I574)," ",IF(I574&lt;=[2]Нормативы!$H$126,"КМС",IF(I574&lt;=[2]Нормативы!$H$127,"КМС",IF(I574&lt;=[2]Нормативы!$L$128,"КМС",IF(I574&lt;=[2]Нормативы!$L$129,"I",IF(I574&lt;=[2]Нормативы!$L$130,"II",IF(I574&lt;=[2]Нормативы!$L$131,"III",IF(I574&lt;=[2]Нормативы!$L$132,"I юн",IF(I574&lt;=[2]Нормативы!$L$133,"II юн",IF(I574&lt;=[2]Нормативы!$L$134,"III юн","б/р")))))))))))</f>
        <v>II юн</v>
      </c>
    </row>
    <row r="575" spans="1:10" x14ac:dyDescent="0.3">
      <c r="A575" s="1086">
        <v>24</v>
      </c>
      <c r="B575" s="550" t="s">
        <v>20</v>
      </c>
      <c r="C575" s="550" t="s">
        <v>1810</v>
      </c>
      <c r="D575" s="551" t="s">
        <v>1768</v>
      </c>
      <c r="E575" s="1042">
        <v>41626</v>
      </c>
      <c r="F575" s="550" t="s">
        <v>1634</v>
      </c>
      <c r="G575" s="895"/>
      <c r="H575" s="550"/>
      <c r="I575" s="1025">
        <v>233.09</v>
      </c>
      <c r="J575" s="1085" t="str">
        <f>IF(ISBLANK(I575)," ",IF(ISTEXT(I575)," ",IF(I575&lt;=[2]Нормативы!$H$126,"КМС",IF(I575&lt;=[2]Нормативы!$H$127,"КМС",IF(I575&lt;=[2]Нормативы!$L$128,"КМС",IF(I575&lt;=[2]Нормативы!$L$129,"I",IF(I575&lt;=[2]Нормативы!$L$130,"II",IF(I575&lt;=[2]Нормативы!$L$131,"III",IF(I575&lt;=[2]Нормативы!$L$132,"I юн",IF(I575&lt;=[2]Нормативы!$L$133,"II юн",IF(I575&lt;=[2]Нормативы!$L$134,"III юн","б/р")))))))))))</f>
        <v>II юн</v>
      </c>
    </row>
    <row r="576" spans="1:10" x14ac:dyDescent="0.3">
      <c r="A576" s="1086">
        <v>25</v>
      </c>
      <c r="B576" s="550" t="s">
        <v>21</v>
      </c>
      <c r="C576" s="550" t="s">
        <v>1805</v>
      </c>
      <c r="D576" s="551" t="s">
        <v>1729</v>
      </c>
      <c r="E576" s="1042">
        <v>41562</v>
      </c>
      <c r="F576" s="550" t="s">
        <v>1628</v>
      </c>
      <c r="G576" s="895"/>
      <c r="H576" s="550"/>
      <c r="I576" s="1025">
        <v>233.38</v>
      </c>
      <c r="J576" s="1085" t="str">
        <f>IF(ISBLANK(I576)," ",IF(ISTEXT(I576)," ",IF(I576&lt;=[2]Нормативы!$H$126,"КМС",IF(I576&lt;=[2]Нормативы!$H$127,"КМС",IF(I576&lt;=[2]Нормативы!$L$128,"КМС",IF(I576&lt;=[2]Нормативы!$L$129,"I",IF(I576&lt;=[2]Нормативы!$L$130,"II",IF(I576&lt;=[2]Нормативы!$L$131,"III",IF(I576&lt;=[2]Нормативы!$L$132,"I юн",IF(I576&lt;=[2]Нормативы!$L$133,"II юн",IF(I576&lt;=[2]Нормативы!$L$134,"III юн","б/р")))))))))))</f>
        <v>II юн</v>
      </c>
    </row>
    <row r="577" spans="1:10" x14ac:dyDescent="0.3">
      <c r="A577" s="1086">
        <v>26</v>
      </c>
      <c r="B577" s="550" t="s">
        <v>20</v>
      </c>
      <c r="C577" s="551" t="s">
        <v>1819</v>
      </c>
      <c r="D577" s="551" t="s">
        <v>1768</v>
      </c>
      <c r="E577" s="1042">
        <v>41088</v>
      </c>
      <c r="F577" s="550" t="s">
        <v>1596</v>
      </c>
      <c r="G577" s="895"/>
      <c r="H577" s="550"/>
      <c r="I577" s="1025">
        <v>234.94</v>
      </c>
      <c r="J577" s="1085" t="str">
        <f>IF(ISBLANK(I577)," ",IF(ISTEXT(I577)," ",IF(I577&lt;=[2]Нормативы!$H$126,"КМС",IF(I577&lt;=[2]Нормативы!$H$127,"КМС",IF(I577&lt;=[2]Нормативы!$L$128,"КМС",IF(I577&lt;=[2]Нормативы!$L$129,"I",IF(I577&lt;=[2]Нормативы!$L$130,"II",IF(I577&lt;=[2]Нормативы!$L$131,"III",IF(I577&lt;=[2]Нормативы!$L$132,"I юн",IF(I577&lt;=[2]Нормативы!$L$133,"II юн",IF(I577&lt;=[2]Нормативы!$L$134,"III юн","б/р")))))))))))</f>
        <v>II юн</v>
      </c>
    </row>
    <row r="578" spans="1:10" x14ac:dyDescent="0.3">
      <c r="A578" s="1086">
        <v>27</v>
      </c>
      <c r="B578" s="550" t="s">
        <v>35</v>
      </c>
      <c r="C578" s="551" t="s">
        <v>1831</v>
      </c>
      <c r="D578" s="551" t="s">
        <v>1729</v>
      </c>
      <c r="E578" s="1042">
        <v>41130</v>
      </c>
      <c r="F578" s="550" t="s">
        <v>1596</v>
      </c>
      <c r="G578" s="895"/>
      <c r="H578" s="550"/>
      <c r="I578" s="1025">
        <v>235.21</v>
      </c>
      <c r="J578" s="1085" t="str">
        <f>IF(ISBLANK(I578)," ",IF(ISTEXT(I578)," ",IF(I578&lt;=[2]Нормативы!$H$126,"КМС",IF(I578&lt;=[2]Нормативы!$H$127,"КМС",IF(I578&lt;=[2]Нормативы!$L$128,"КМС",IF(I578&lt;=[2]Нормативы!$L$129,"I",IF(I578&lt;=[2]Нормативы!$L$130,"II",IF(I578&lt;=[2]Нормативы!$L$131,"III",IF(I578&lt;=[2]Нормативы!$L$132,"I юн",IF(I578&lt;=[2]Нормативы!$L$133,"II юн",IF(I578&lt;=[2]Нормативы!$L$134,"III юн","б/р")))))))))))</f>
        <v>II юн</v>
      </c>
    </row>
    <row r="579" spans="1:10" x14ac:dyDescent="0.3">
      <c r="A579" s="1086">
        <v>28</v>
      </c>
      <c r="B579" s="550" t="s">
        <v>20</v>
      </c>
      <c r="C579" s="551" t="s">
        <v>1806</v>
      </c>
      <c r="D579" s="551" t="s">
        <v>1807</v>
      </c>
      <c r="E579" s="1042">
        <v>41552</v>
      </c>
      <c r="F579" s="550" t="s">
        <v>1596</v>
      </c>
      <c r="G579" s="895"/>
      <c r="H579" s="550"/>
      <c r="I579" s="1025">
        <v>240.33</v>
      </c>
      <c r="J579" s="1085" t="str">
        <f>IF(ISBLANK(I579)," ",IF(ISTEXT(I579)," ",IF(I579&lt;=[2]Нормативы!$H$126,"КМС",IF(I579&lt;=[2]Нормативы!$H$127,"КМС",IF(I579&lt;=[2]Нормативы!$L$128,"КМС",IF(I579&lt;=[2]Нормативы!$L$129,"I",IF(I579&lt;=[2]Нормативы!$L$130,"II",IF(I579&lt;=[2]Нормативы!$L$131,"III",IF(I579&lt;=[2]Нормативы!$L$132,"I юн",IF(I579&lt;=[2]Нормативы!$L$133,"II юн",IF(I579&lt;=[2]Нормативы!$L$134,"III юн","б/р")))))))))))</f>
        <v>III юн</v>
      </c>
    </row>
    <row r="580" spans="1:10" x14ac:dyDescent="0.3">
      <c r="A580" s="1086">
        <v>29</v>
      </c>
      <c r="B580" s="550" t="s">
        <v>21</v>
      </c>
      <c r="C580" s="551" t="s">
        <v>1577</v>
      </c>
      <c r="D580" s="551" t="s">
        <v>1809</v>
      </c>
      <c r="E580" s="1042">
        <v>41463</v>
      </c>
      <c r="F580" s="550" t="s">
        <v>1596</v>
      </c>
      <c r="G580" s="895"/>
      <c r="H580" s="550"/>
      <c r="I580" s="1025">
        <v>242.32</v>
      </c>
      <c r="J580" s="1085" t="str">
        <f>IF(ISBLANK(I580)," ",IF(ISTEXT(I580)," ",IF(I580&lt;=[2]Нормативы!$H$126,"КМС",IF(I580&lt;=[2]Нормативы!$H$127,"КМС",IF(I580&lt;=[2]Нормативы!$L$128,"КМС",IF(I580&lt;=[2]Нормативы!$L$129,"I",IF(I580&lt;=[2]Нормативы!$L$130,"II",IF(I580&lt;=[2]Нормативы!$L$131,"III",IF(I580&lt;=[2]Нормативы!$L$132,"I юн",IF(I580&lt;=[2]Нормативы!$L$133,"II юн",IF(I580&lt;=[2]Нормативы!$L$134,"III юн","б/р")))))))))))</f>
        <v>III юн</v>
      </c>
    </row>
    <row r="581" spans="1:10" x14ac:dyDescent="0.3">
      <c r="A581" s="1086">
        <v>30</v>
      </c>
      <c r="B581" s="550" t="s">
        <v>21</v>
      </c>
      <c r="C581" s="550" t="s">
        <v>1802</v>
      </c>
      <c r="D581" s="551" t="s">
        <v>1729</v>
      </c>
      <c r="E581" s="1042">
        <v>41327</v>
      </c>
      <c r="F581" s="550" t="s">
        <v>1654</v>
      </c>
      <c r="G581" s="895"/>
      <c r="H581" s="550"/>
      <c r="I581" s="1025">
        <v>249.85</v>
      </c>
      <c r="J581" s="1085" t="str">
        <f>IF(ISBLANK(I581)," ",IF(ISTEXT(I581)," ",IF(I581&lt;=[2]Нормативы!$H$126,"КМС",IF(I581&lt;=[2]Нормативы!$H$127,"КМС",IF(I581&lt;=[2]Нормативы!$L$128,"КМС",IF(I581&lt;=[2]Нормативы!$L$129,"I",IF(I581&lt;=[2]Нормативы!$L$130,"II",IF(I581&lt;=[2]Нормативы!$L$131,"III",IF(I581&lt;=[2]Нормативы!$L$132,"I юн",IF(I581&lt;=[2]Нормативы!$L$133,"II юн",IF(I581&lt;=[2]Нормативы!$L$134,"III юн","б/р")))))))))))</f>
        <v>III юн</v>
      </c>
    </row>
    <row r="582" spans="1:10" x14ac:dyDescent="0.3">
      <c r="A582" s="1086"/>
      <c r="B582" s="550" t="s">
        <v>35</v>
      </c>
      <c r="C582" s="550" t="s">
        <v>1826</v>
      </c>
      <c r="D582" s="551" t="s">
        <v>1735</v>
      </c>
      <c r="E582" s="1042">
        <v>41139</v>
      </c>
      <c r="F582" s="550" t="s">
        <v>1628</v>
      </c>
      <c r="G582" s="895"/>
      <c r="H582" s="550"/>
      <c r="I582" s="1074" t="s">
        <v>2066</v>
      </c>
      <c r="J582" s="878"/>
    </row>
    <row r="583" spans="1:10" x14ac:dyDescent="0.3">
      <c r="A583" s="1070"/>
      <c r="B583" s="361"/>
      <c r="C583" s="978"/>
      <c r="D583" s="364"/>
      <c r="E583" s="139"/>
      <c r="F583" s="364"/>
      <c r="G583" s="364"/>
      <c r="H583" s="979"/>
      <c r="I583" s="1076"/>
      <c r="J583" s="549"/>
    </row>
    <row r="584" spans="1:10" ht="15.6" x14ac:dyDescent="0.3">
      <c r="A584" s="1163"/>
      <c r="B584" s="374"/>
      <c r="C584" s="928" t="s">
        <v>1942</v>
      </c>
      <c r="D584" s="374"/>
      <c r="E584" s="374"/>
      <c r="F584" s="374"/>
      <c r="G584" s="374"/>
      <c r="H584" s="929"/>
      <c r="I584" s="1071"/>
      <c r="J584" s="549"/>
    </row>
    <row r="585" spans="1:10" x14ac:dyDescent="0.3">
      <c r="A585" s="1028"/>
      <c r="B585" s="361"/>
      <c r="C585" s="978"/>
      <c r="D585" s="364"/>
      <c r="E585" s="139"/>
      <c r="F585" s="364"/>
      <c r="G585" s="364"/>
      <c r="H585" s="979"/>
      <c r="I585" s="1077"/>
      <c r="J585" s="549"/>
    </row>
    <row r="586" spans="1:10" x14ac:dyDescent="0.3">
      <c r="A586" s="1086">
        <v>1</v>
      </c>
      <c r="B586" s="883" t="s">
        <v>34</v>
      </c>
      <c r="C586" s="883" t="s">
        <v>1947</v>
      </c>
      <c r="D586" s="883" t="s">
        <v>1768</v>
      </c>
      <c r="E586" s="1058">
        <v>39647</v>
      </c>
      <c r="F586" s="550" t="s">
        <v>1598</v>
      </c>
      <c r="G586" s="880"/>
      <c r="H586" s="880"/>
      <c r="I586" s="1025">
        <v>141.77000000000001</v>
      </c>
      <c r="J586" s="1085" t="str">
        <f>IF(ISBLANK(I586)," ",IF(ISTEXT(I586)," ",IF(I586&lt;=[2]Нормативы!$H$126,"КМС",IF(I586&lt;=[2]Нормативы!$H$127,"КМС",IF(I586&lt;=[2]Нормативы!$L$128,"КМС",IF(I586&lt;=[2]Нормативы!$L$129,"I",IF(I586&lt;=[2]Нормативы!$L$130,"II",IF(I586&lt;=[2]Нормативы!$L$131,"III",IF(I586&lt;=[2]Нормативы!$L$132,"I юн",IF(I586&lt;=[2]Нормативы!$L$133,"II юн",IF(I586&lt;=[2]Нормативы!$L$134,"III юн","б/р")))))))))))</f>
        <v>КМС</v>
      </c>
    </row>
    <row r="587" spans="1:10" x14ac:dyDescent="0.3">
      <c r="A587" s="1086">
        <v>2</v>
      </c>
      <c r="B587" s="550" t="s">
        <v>34</v>
      </c>
      <c r="C587" s="550" t="s">
        <v>1944</v>
      </c>
      <c r="D587" s="551" t="s">
        <v>1768</v>
      </c>
      <c r="E587" s="1042">
        <v>40035</v>
      </c>
      <c r="F587" s="550" t="s">
        <v>1634</v>
      </c>
      <c r="G587" s="895"/>
      <c r="H587" s="550"/>
      <c r="I587" s="1025">
        <v>142.85</v>
      </c>
      <c r="J587" s="1085" t="str">
        <f>IF(ISBLANK(I587)," ",IF(ISTEXT(I587)," ",IF(I587&lt;=[2]Нормативы!$H$126,"КМС",IF(I587&lt;=[2]Нормативы!$H$127,"КМС",IF(I587&lt;=[2]Нормативы!$L$128,"КМС",IF(I587&lt;=[2]Нормативы!$L$129,"I",IF(I587&lt;=[2]Нормативы!$L$130,"II",IF(I587&lt;=[2]Нормативы!$L$131,"III",IF(I587&lt;=[2]Нормативы!$L$132,"I юн",IF(I587&lt;=[2]Нормативы!$L$133,"II юн",IF(I587&lt;=[2]Нормативы!$L$134,"III юн","б/р")))))))))))</f>
        <v>КМС</v>
      </c>
    </row>
    <row r="588" spans="1:10" x14ac:dyDescent="0.3">
      <c r="A588" s="1086">
        <v>3</v>
      </c>
      <c r="B588" s="550" t="s">
        <v>34</v>
      </c>
      <c r="C588" s="550" t="s">
        <v>1904</v>
      </c>
      <c r="D588" s="551" t="s">
        <v>1723</v>
      </c>
      <c r="E588" s="1042" t="s">
        <v>1905</v>
      </c>
      <c r="F588" s="550" t="s">
        <v>460</v>
      </c>
      <c r="G588" s="895"/>
      <c r="H588" s="550"/>
      <c r="I588" s="1025">
        <v>144.32</v>
      </c>
      <c r="J588" s="1085" t="str">
        <f>IF(ISBLANK(I588)," ",IF(ISTEXT(I588)," ",IF(I588&lt;=[2]Нормативы!$H$126,"КМС",IF(I588&lt;=[2]Нормативы!$H$127,"КМС",IF(I588&lt;=[2]Нормативы!$L$128,"КМС",IF(I588&lt;=[2]Нормативы!$L$129,"I",IF(I588&lt;=[2]Нормативы!$L$130,"II",IF(I588&lt;=[2]Нормативы!$L$131,"III",IF(I588&lt;=[2]Нормативы!$L$132,"I юн",IF(I588&lt;=[2]Нормативы!$L$133,"II юн",IF(I588&lt;=[2]Нормативы!$L$134,"III юн","б/р")))))))))))</f>
        <v>КМС</v>
      </c>
    </row>
    <row r="589" spans="1:10" x14ac:dyDescent="0.3">
      <c r="A589" s="1086">
        <v>4</v>
      </c>
      <c r="B589" s="878" t="s">
        <v>34</v>
      </c>
      <c r="C589" s="878" t="s">
        <v>1932</v>
      </c>
      <c r="D589" s="878" t="s">
        <v>1768</v>
      </c>
      <c r="E589" s="1055">
        <v>39876</v>
      </c>
      <c r="F589" s="878" t="s">
        <v>1250</v>
      </c>
      <c r="G589" s="878"/>
      <c r="H589" s="878"/>
      <c r="I589" s="1025">
        <v>144.87</v>
      </c>
      <c r="J589" s="1085" t="str">
        <f>IF(ISBLANK(I589)," ",IF(ISTEXT(I589)," ",IF(I589&lt;=[2]Нормативы!$H$126,"КМС",IF(I589&lt;=[2]Нормативы!$H$127,"КМС",IF(I589&lt;=[2]Нормативы!$L$128,"КМС",IF(I589&lt;=[2]Нормативы!$L$129,"I",IF(I589&lt;=[2]Нормативы!$L$130,"II",IF(I589&lt;=[2]Нормативы!$L$131,"III",IF(I589&lt;=[2]Нормативы!$L$132,"I юн",IF(I589&lt;=[2]Нормативы!$L$133,"II юн",IF(I589&lt;=[2]Нормативы!$L$134,"III юн","б/р")))))))))))</f>
        <v>I</v>
      </c>
    </row>
    <row r="590" spans="1:10" x14ac:dyDescent="0.3">
      <c r="A590" s="1086">
        <v>5</v>
      </c>
      <c r="B590" s="550" t="s">
        <v>6</v>
      </c>
      <c r="C590" s="550" t="s">
        <v>1537</v>
      </c>
      <c r="D590" s="551" t="s">
        <v>1794</v>
      </c>
      <c r="E590" s="1042">
        <v>40259</v>
      </c>
      <c r="F590" s="550" t="s">
        <v>1450</v>
      </c>
      <c r="G590" s="895"/>
      <c r="H590" s="550"/>
      <c r="I590" s="1025">
        <v>145.5</v>
      </c>
      <c r="J590" s="1085" t="str">
        <f>IF(ISBLANK(I590)," ",IF(ISTEXT(I590)," ",IF(I590&lt;=[2]Нормативы!$H$126,"КМС",IF(I590&lt;=[2]Нормативы!$H$127,"КМС",IF(I590&lt;=[2]Нормативы!$L$128,"КМС",IF(I590&lt;=[2]Нормативы!$L$129,"I",IF(I590&lt;=[2]Нормативы!$L$130,"II",IF(I590&lt;=[2]Нормативы!$L$131,"III",IF(I590&lt;=[2]Нормативы!$L$132,"I юн",IF(I590&lt;=[2]Нормативы!$L$133,"II юн",IF(I590&lt;=[2]Нормативы!$L$134,"III юн","б/р")))))))))))</f>
        <v>I</v>
      </c>
    </row>
    <row r="591" spans="1:10" x14ac:dyDescent="0.3">
      <c r="A591" s="1086">
        <v>6</v>
      </c>
      <c r="B591" s="550" t="s">
        <v>6</v>
      </c>
      <c r="C591" s="550" t="s">
        <v>1892</v>
      </c>
      <c r="D591" s="551" t="s">
        <v>1729</v>
      </c>
      <c r="E591" s="1042">
        <v>40177</v>
      </c>
      <c r="F591" s="550" t="s">
        <v>1632</v>
      </c>
      <c r="G591" s="895"/>
      <c r="H591" s="550"/>
      <c r="I591" s="1025">
        <v>146.41</v>
      </c>
      <c r="J591" s="1085" t="str">
        <f>IF(ISBLANK(I591)," ",IF(ISTEXT(I591)," ",IF(I591&lt;=[2]Нормативы!$H$126,"КМС",IF(I591&lt;=[2]Нормативы!$H$127,"КМС",IF(I591&lt;=[2]Нормативы!$L$128,"КМС",IF(I591&lt;=[2]Нормативы!$L$129,"I",IF(I591&lt;=[2]Нормативы!$L$130,"II",IF(I591&lt;=[2]Нормативы!$L$131,"III",IF(I591&lt;=[2]Нормативы!$L$132,"I юн",IF(I591&lt;=[2]Нормативы!$L$133,"II юн",IF(I591&lt;=[2]Нормативы!$L$134,"III юн","б/р")))))))))))</f>
        <v>I</v>
      </c>
    </row>
    <row r="592" spans="1:10" x14ac:dyDescent="0.3">
      <c r="A592" s="1086">
        <v>7</v>
      </c>
      <c r="B592" s="550" t="s">
        <v>6</v>
      </c>
      <c r="C592" s="550" t="s">
        <v>1898</v>
      </c>
      <c r="D592" s="551" t="s">
        <v>1807</v>
      </c>
      <c r="E592" s="1042">
        <v>39763</v>
      </c>
      <c r="F592" s="550" t="s">
        <v>1654</v>
      </c>
      <c r="G592" s="895"/>
      <c r="H592" s="550"/>
      <c r="I592" s="1025">
        <v>147.47</v>
      </c>
      <c r="J592" s="1085" t="str">
        <f>IF(ISBLANK(I592)," ",IF(ISTEXT(I592)," ",IF(I592&lt;=[2]Нормативы!$H$126,"КМС",IF(I592&lt;=[2]Нормативы!$H$127,"КМС",IF(I592&lt;=[2]Нормативы!$L$128,"КМС",IF(I592&lt;=[2]Нормативы!$L$129,"I",IF(I592&lt;=[2]Нормативы!$L$130,"II",IF(I592&lt;=[2]Нормативы!$L$131,"III",IF(I592&lt;=[2]Нормативы!$L$132,"I юн",IF(I592&lt;=[2]Нормативы!$L$133,"II юн",IF(I592&lt;=[2]Нормативы!$L$134,"III юн","б/р")))))))))))</f>
        <v>I</v>
      </c>
    </row>
    <row r="593" spans="1:10" x14ac:dyDescent="0.3">
      <c r="A593" s="1086">
        <v>8</v>
      </c>
      <c r="B593" s="550" t="s">
        <v>6</v>
      </c>
      <c r="C593" s="550" t="s">
        <v>1890</v>
      </c>
      <c r="D593" s="551" t="s">
        <v>1766</v>
      </c>
      <c r="E593" s="1042">
        <v>40226</v>
      </c>
      <c r="F593" s="550" t="s">
        <v>1628</v>
      </c>
      <c r="G593" s="895"/>
      <c r="H593" s="550"/>
      <c r="I593" s="1025">
        <v>148.84</v>
      </c>
      <c r="J593" s="1085" t="str">
        <f>IF(ISBLANK(I593)," ",IF(ISTEXT(I593)," ",IF(I593&lt;=[2]Нормативы!$H$126,"КМС",IF(I593&lt;=[2]Нормативы!$H$127,"КМС",IF(I593&lt;=[2]Нормативы!$L$128,"КМС",IF(I593&lt;=[2]Нормативы!$L$129,"I",IF(I593&lt;=[2]Нормативы!$L$130,"II",IF(I593&lt;=[2]Нормативы!$L$131,"III",IF(I593&lt;=[2]Нормативы!$L$132,"I юн",IF(I593&lt;=[2]Нормативы!$L$133,"II юн",IF(I593&lt;=[2]Нормативы!$L$134,"III юн","б/р")))))))))))</f>
        <v>I</v>
      </c>
    </row>
    <row r="594" spans="1:10" x14ac:dyDescent="0.3">
      <c r="A594" s="1086">
        <v>9</v>
      </c>
      <c r="B594" s="550" t="s">
        <v>6</v>
      </c>
      <c r="C594" s="550" t="s">
        <v>1900</v>
      </c>
      <c r="D594" s="551" t="s">
        <v>1807</v>
      </c>
      <c r="E594" s="1042">
        <v>39576</v>
      </c>
      <c r="F594" s="550" t="s">
        <v>460</v>
      </c>
      <c r="G594" s="895"/>
      <c r="H594" s="550"/>
      <c r="I594" s="1025">
        <v>149.46</v>
      </c>
      <c r="J594" s="1085" t="str">
        <f>IF(ISBLANK(I594)," ",IF(ISTEXT(I594)," ",IF(I594&lt;=[2]Нормативы!$H$126,"КМС",IF(I594&lt;=[2]Нормативы!$H$127,"КМС",IF(I594&lt;=[2]Нормативы!$L$128,"КМС",IF(I594&lt;=[2]Нормативы!$L$129,"I",IF(I594&lt;=[2]Нормативы!$L$130,"II",IF(I594&lt;=[2]Нормативы!$L$131,"III",IF(I594&lt;=[2]Нормативы!$L$132,"I юн",IF(I594&lt;=[2]Нормативы!$L$133,"II юн",IF(I594&lt;=[2]Нормативы!$L$134,"III юн","б/р")))))))))))</f>
        <v>I</v>
      </c>
    </row>
    <row r="595" spans="1:10" x14ac:dyDescent="0.3">
      <c r="A595" s="1086">
        <v>10</v>
      </c>
      <c r="B595" s="550" t="s">
        <v>23</v>
      </c>
      <c r="C595" s="550" t="s">
        <v>1877</v>
      </c>
      <c r="D595" s="551" t="s">
        <v>1781</v>
      </c>
      <c r="E595" s="1042">
        <v>40703</v>
      </c>
      <c r="F595" s="550" t="s">
        <v>1634</v>
      </c>
      <c r="G595" s="895"/>
      <c r="H595" s="550"/>
      <c r="I595" s="1025">
        <v>149.88</v>
      </c>
      <c r="J595" s="1085" t="str">
        <f>IF(ISBLANK(I595)," ",IF(ISTEXT(I595)," ",IF(I595&lt;=[2]Нормативы!$H$126,"КМС",IF(I595&lt;=[2]Нормативы!$H$127,"КМС",IF(I595&lt;=[2]Нормативы!$L$128,"КМС",IF(I595&lt;=[2]Нормативы!$L$129,"I",IF(I595&lt;=[2]Нормативы!$L$130,"II",IF(I595&lt;=[2]Нормативы!$L$131,"III",IF(I595&lt;=[2]Нормативы!$L$132,"I юн",IF(I595&lt;=[2]Нормативы!$L$133,"II юн",IF(I595&lt;=[2]Нормативы!$L$134,"III юн","б/р")))))))))))</f>
        <v>I</v>
      </c>
    </row>
    <row r="596" spans="1:10" x14ac:dyDescent="0.3">
      <c r="A596" s="1086">
        <v>11</v>
      </c>
      <c r="B596" s="550" t="s">
        <v>6</v>
      </c>
      <c r="C596" s="551" t="s">
        <v>1411</v>
      </c>
      <c r="D596" s="551" t="s">
        <v>1733</v>
      </c>
      <c r="E596" s="1042">
        <v>40447</v>
      </c>
      <c r="F596" s="550" t="s">
        <v>1596</v>
      </c>
      <c r="G596" s="895"/>
      <c r="H596" s="550"/>
      <c r="I596" s="1025">
        <v>150.37</v>
      </c>
      <c r="J596" s="1085" t="str">
        <f>IF(ISBLANK(I596)," ",IF(ISTEXT(I596)," ",IF(I596&lt;=[2]Нормативы!$H$126,"КМС",IF(I596&lt;=[2]Нормативы!$H$127,"КМС",IF(I596&lt;=[2]Нормативы!$L$128,"КМС",IF(I596&lt;=[2]Нормативы!$L$129,"I",IF(I596&lt;=[2]Нормативы!$L$130,"II",IF(I596&lt;=[2]Нормативы!$L$131,"III",IF(I596&lt;=[2]Нормативы!$L$132,"I юн",IF(I596&lt;=[2]Нормативы!$L$133,"II юн",IF(I596&lt;=[2]Нормативы!$L$134,"III юн","б/р")))))))))))</f>
        <v>I</v>
      </c>
    </row>
    <row r="597" spans="1:10" x14ac:dyDescent="0.3">
      <c r="A597" s="1086">
        <v>12</v>
      </c>
      <c r="B597" s="24" t="s">
        <v>6</v>
      </c>
      <c r="C597" s="550" t="s">
        <v>1533</v>
      </c>
      <c r="D597" s="551" t="s">
        <v>1737</v>
      </c>
      <c r="E597" s="1042">
        <v>39993</v>
      </c>
      <c r="F597" s="550" t="s">
        <v>1596</v>
      </c>
      <c r="G597" s="895"/>
      <c r="H597" s="550"/>
      <c r="I597" s="1025">
        <v>150.57</v>
      </c>
      <c r="J597" s="1085" t="str">
        <f>IF(ISBLANK(I597)," ",IF(ISTEXT(I597)," ",IF(I597&lt;=[2]Нормативы!$H$126,"КМС",IF(I597&lt;=[2]Нормативы!$H$127,"КМС",IF(I597&lt;=[2]Нормативы!$L$128,"КМС",IF(I597&lt;=[2]Нормативы!$L$129,"I",IF(I597&lt;=[2]Нормативы!$L$130,"II",IF(I597&lt;=[2]Нормативы!$L$131,"III",IF(I597&lt;=[2]Нормативы!$L$132,"I юн",IF(I597&lt;=[2]Нормативы!$L$133,"II юн",IF(I597&lt;=[2]Нормативы!$L$134,"III юн","б/р")))))))))))</f>
        <v>I</v>
      </c>
    </row>
    <row r="598" spans="1:10" x14ac:dyDescent="0.3">
      <c r="A598" s="1086">
        <v>13</v>
      </c>
      <c r="B598" s="550" t="s">
        <v>23</v>
      </c>
      <c r="C598" s="550" t="s">
        <v>1943</v>
      </c>
      <c r="D598" s="551" t="s">
        <v>1725</v>
      </c>
      <c r="E598" s="1042">
        <v>40414</v>
      </c>
      <c r="F598" s="550" t="s">
        <v>1628</v>
      </c>
      <c r="G598" s="895"/>
      <c r="H598" s="550"/>
      <c r="I598" s="1025">
        <v>151.13</v>
      </c>
      <c r="J598" s="1085" t="str">
        <f>IF(ISBLANK(I598)," ",IF(ISTEXT(I598)," ",IF(I598&lt;=[2]Нормативы!$H$126,"КМС",IF(I598&lt;=[2]Нормативы!$H$127,"КМС",IF(I598&lt;=[2]Нормативы!$L$128,"КМС",IF(I598&lt;=[2]Нормативы!$L$129,"I",IF(I598&lt;=[2]Нормативы!$L$130,"II",IF(I598&lt;=[2]Нормативы!$L$131,"III",IF(I598&lt;=[2]Нормативы!$L$132,"I юн",IF(I598&lt;=[2]Нормативы!$L$133,"II юн",IF(I598&lt;=[2]Нормативы!$L$134,"III юн","б/р")))))))))))</f>
        <v>I</v>
      </c>
    </row>
    <row r="599" spans="1:10" x14ac:dyDescent="0.3">
      <c r="A599" s="1086">
        <v>14</v>
      </c>
      <c r="B599" s="550" t="s">
        <v>6</v>
      </c>
      <c r="C599" s="550" t="s">
        <v>1859</v>
      </c>
      <c r="D599" s="551" t="s">
        <v>1737</v>
      </c>
      <c r="E599" s="1042">
        <v>40374</v>
      </c>
      <c r="F599" s="550" t="s">
        <v>1628</v>
      </c>
      <c r="G599" s="895"/>
      <c r="H599" s="550"/>
      <c r="I599" s="1025">
        <v>153.19</v>
      </c>
      <c r="J599" s="1085" t="str">
        <f>IF(ISBLANK(I599)," ",IF(ISTEXT(I599)," ",IF(I599&lt;=[2]Нормативы!$H$126,"КМС",IF(I599&lt;=[2]Нормативы!$H$127,"КМС",IF(I599&lt;=[2]Нормативы!$L$128,"КМС",IF(I599&lt;=[2]Нормативы!$L$129,"I",IF(I599&lt;=[2]Нормативы!$L$130,"II",IF(I599&lt;=[2]Нормативы!$L$131,"III",IF(I599&lt;=[2]Нормативы!$L$132,"I юн",IF(I599&lt;=[2]Нормативы!$L$133,"II юн",IF(I599&lt;=[2]Нормативы!$L$134,"III юн","б/р")))))))))))</f>
        <v>I</v>
      </c>
    </row>
    <row r="600" spans="1:10" x14ac:dyDescent="0.3">
      <c r="A600" s="1086">
        <v>15</v>
      </c>
      <c r="B600" s="550" t="s">
        <v>6</v>
      </c>
      <c r="C600" s="550" t="s">
        <v>1893</v>
      </c>
      <c r="D600" s="551" t="s">
        <v>1733</v>
      </c>
      <c r="E600" s="1042">
        <v>40679</v>
      </c>
      <c r="F600" s="550" t="s">
        <v>1654</v>
      </c>
      <c r="G600" s="895"/>
      <c r="H600" s="550"/>
      <c r="I600" s="1025">
        <v>155.16</v>
      </c>
      <c r="J600" s="1085" t="str">
        <f>IF(ISBLANK(I600)," ",IF(ISTEXT(I600)," ",IF(I600&lt;=[2]Нормативы!$H$126,"КМС",IF(I600&lt;=[2]Нормативы!$H$127,"КМС",IF(I600&lt;=[2]Нормативы!$L$128,"КМС",IF(I600&lt;=[2]Нормативы!$L$129,"I",IF(I600&lt;=[2]Нормативы!$L$130,"II",IF(I600&lt;=[2]Нормативы!$L$131,"III",IF(I600&lt;=[2]Нормативы!$L$132,"I юн",IF(I600&lt;=[2]Нормативы!$L$133,"II юн",IF(I600&lt;=[2]Нормативы!$L$134,"III юн","б/р")))))))))))</f>
        <v>II</v>
      </c>
    </row>
    <row r="601" spans="1:10" x14ac:dyDescent="0.3">
      <c r="A601" s="1086">
        <v>16</v>
      </c>
      <c r="B601" s="550" t="s">
        <v>23</v>
      </c>
      <c r="C601" s="550" t="s">
        <v>1875</v>
      </c>
      <c r="D601" s="551" t="s">
        <v>1737</v>
      </c>
      <c r="E601" s="1042">
        <v>40048</v>
      </c>
      <c r="F601" s="550" t="s">
        <v>1634</v>
      </c>
      <c r="G601" s="895"/>
      <c r="H601" s="550"/>
      <c r="I601" s="1025">
        <v>156.09</v>
      </c>
      <c r="J601" s="1085" t="str">
        <f>IF(ISBLANK(I601)," ",IF(ISTEXT(I601)," ",IF(I601&lt;=[2]Нормативы!$H$126,"КМС",IF(I601&lt;=[2]Нормативы!$H$127,"КМС",IF(I601&lt;=[2]Нормативы!$L$128,"КМС",IF(I601&lt;=[2]Нормативы!$L$129,"I",IF(I601&lt;=[2]Нормативы!$L$130,"II",IF(I601&lt;=[2]Нормативы!$L$131,"III",IF(I601&lt;=[2]Нормативы!$L$132,"I юн",IF(I601&lt;=[2]Нормативы!$L$133,"II юн",IF(I601&lt;=[2]Нормативы!$L$134,"III юн","б/р")))))))))))</f>
        <v>II</v>
      </c>
    </row>
    <row r="602" spans="1:10" x14ac:dyDescent="0.3">
      <c r="A602" s="1086">
        <v>17</v>
      </c>
      <c r="B602" s="550" t="s">
        <v>24</v>
      </c>
      <c r="C602" s="550" t="s">
        <v>1532</v>
      </c>
      <c r="D602" s="551" t="s">
        <v>1737</v>
      </c>
      <c r="E602" s="1042">
        <v>40013</v>
      </c>
      <c r="F602" s="550" t="s">
        <v>1596</v>
      </c>
      <c r="G602" s="895"/>
      <c r="H602" s="550"/>
      <c r="I602" s="1025">
        <v>156.13999999999999</v>
      </c>
      <c r="J602" s="1085" t="str">
        <f>IF(ISBLANK(I602)," ",IF(ISTEXT(I602)," ",IF(I602&lt;=[2]Нормативы!$H$126,"КМС",IF(I602&lt;=[2]Нормативы!$H$127,"КМС",IF(I602&lt;=[2]Нормативы!$L$128,"КМС",IF(I602&lt;=[2]Нормативы!$L$129,"I",IF(I602&lt;=[2]Нормативы!$L$130,"II",IF(I602&lt;=[2]Нормативы!$L$131,"III",IF(I602&lt;=[2]Нормативы!$L$132,"I юн",IF(I602&lt;=[2]Нормативы!$L$133,"II юн",IF(I602&lt;=[2]Нормативы!$L$134,"III юн","б/р")))))))))))</f>
        <v>II</v>
      </c>
    </row>
    <row r="603" spans="1:10" x14ac:dyDescent="0.3">
      <c r="A603" s="1086">
        <v>18</v>
      </c>
      <c r="B603" s="550" t="s">
        <v>23</v>
      </c>
      <c r="C603" s="550" t="s">
        <v>1886</v>
      </c>
      <c r="D603" s="551" t="s">
        <v>1760</v>
      </c>
      <c r="E603" s="1042">
        <v>40574</v>
      </c>
      <c r="F603" s="550" t="s">
        <v>1450</v>
      </c>
      <c r="G603" s="895"/>
      <c r="H603" s="550"/>
      <c r="I603" s="1025">
        <v>157.72</v>
      </c>
      <c r="J603" s="1085" t="str">
        <f>IF(ISBLANK(I603)," ",IF(ISTEXT(I603)," ",IF(I603&lt;=[2]Нормативы!$H$126,"КМС",IF(I603&lt;=[2]Нормативы!$H$127,"КМС",IF(I603&lt;=[2]Нормативы!$L$128,"КМС",IF(I603&lt;=[2]Нормативы!$L$129,"I",IF(I603&lt;=[2]Нормативы!$L$130,"II",IF(I603&lt;=[2]Нормативы!$L$131,"III",IF(I603&lt;=[2]Нормативы!$L$132,"I юн",IF(I603&lt;=[2]Нормативы!$L$133,"II юн",IF(I603&lt;=[2]Нормативы!$L$134,"III юн","б/р")))))))))))</f>
        <v>II</v>
      </c>
    </row>
    <row r="604" spans="1:10" x14ac:dyDescent="0.3">
      <c r="A604" s="1086">
        <v>19</v>
      </c>
      <c r="B604" s="550" t="s">
        <v>23</v>
      </c>
      <c r="C604" s="550" t="s">
        <v>1879</v>
      </c>
      <c r="D604" s="551" t="s">
        <v>1760</v>
      </c>
      <c r="E604" s="1042">
        <v>40563</v>
      </c>
      <c r="F604" s="550" t="s">
        <v>1628</v>
      </c>
      <c r="G604" s="895"/>
      <c r="H604" s="550"/>
      <c r="I604" s="1025">
        <v>158.13</v>
      </c>
      <c r="J604" s="1085" t="str">
        <f>IF(ISBLANK(I604)," ",IF(ISTEXT(I604)," ",IF(I604&lt;=[2]Нормативы!$H$126,"КМС",IF(I604&lt;=[2]Нормативы!$H$127,"КМС",IF(I604&lt;=[2]Нормативы!$L$128,"КМС",IF(I604&lt;=[2]Нормативы!$L$129,"I",IF(I604&lt;=[2]Нормативы!$L$130,"II",IF(I604&lt;=[2]Нормативы!$L$131,"III",IF(I604&lt;=[2]Нормативы!$L$132,"I юн",IF(I604&lt;=[2]Нормативы!$L$133,"II юн",IF(I604&lt;=[2]Нормативы!$L$134,"III юн","б/р")))))))))))</f>
        <v>II</v>
      </c>
    </row>
    <row r="605" spans="1:10" x14ac:dyDescent="0.3">
      <c r="A605" s="1086">
        <v>20</v>
      </c>
      <c r="B605" s="550" t="s">
        <v>6</v>
      </c>
      <c r="C605" s="551" t="s">
        <v>1888</v>
      </c>
      <c r="D605" s="551" t="s">
        <v>1733</v>
      </c>
      <c r="E605" s="1042">
        <v>40043</v>
      </c>
      <c r="F605" s="550" t="s">
        <v>1596</v>
      </c>
      <c r="G605" s="895"/>
      <c r="H605" s="550"/>
      <c r="I605" s="1025">
        <v>158.16</v>
      </c>
      <c r="J605" s="1085" t="str">
        <f>IF(ISBLANK(I605)," ",IF(ISTEXT(I605)," ",IF(I605&lt;=[2]Нормативы!$H$126,"КМС",IF(I605&lt;=[2]Нормативы!$H$127,"КМС",IF(I605&lt;=[2]Нормативы!$L$128,"КМС",IF(I605&lt;=[2]Нормативы!$L$129,"I",IF(I605&lt;=[2]Нормативы!$L$130,"II",IF(I605&lt;=[2]Нормативы!$L$131,"III",IF(I605&lt;=[2]Нормативы!$L$132,"I юн",IF(I605&lt;=[2]Нормативы!$L$133,"II юн",IF(I605&lt;=[2]Нормативы!$L$134,"III юн","б/р")))))))))))</f>
        <v>II</v>
      </c>
    </row>
    <row r="606" spans="1:10" x14ac:dyDescent="0.3">
      <c r="A606" s="1086">
        <v>21</v>
      </c>
      <c r="B606" s="550" t="s">
        <v>23</v>
      </c>
      <c r="C606" s="550" t="s">
        <v>1882</v>
      </c>
      <c r="D606" s="551" t="s">
        <v>1760</v>
      </c>
      <c r="E606" s="1042">
        <v>40894</v>
      </c>
      <c r="F606" s="550" t="s">
        <v>1598</v>
      </c>
      <c r="G606" s="895"/>
      <c r="H606" s="550"/>
      <c r="I606" s="1025">
        <v>158.19999999999999</v>
      </c>
      <c r="J606" s="1085" t="str">
        <f>IF(ISBLANK(I606)," ",IF(ISTEXT(I606)," ",IF(I606&lt;=[2]Нормативы!$H$126,"КМС",IF(I606&lt;=[2]Нормативы!$H$127,"КМС",IF(I606&lt;=[2]Нормативы!$L$128,"КМС",IF(I606&lt;=[2]Нормативы!$L$129,"I",IF(I606&lt;=[2]Нормативы!$L$130,"II",IF(I606&lt;=[2]Нормативы!$L$131,"III",IF(I606&lt;=[2]Нормативы!$L$132,"I юн",IF(I606&lt;=[2]Нормативы!$L$133,"II юн",IF(I606&lt;=[2]Нормативы!$L$134,"III юн","б/р")))))))))))</f>
        <v>II</v>
      </c>
    </row>
    <row r="607" spans="1:10" x14ac:dyDescent="0.3">
      <c r="A607" s="1086">
        <v>22</v>
      </c>
      <c r="B607" s="550" t="s">
        <v>23</v>
      </c>
      <c r="C607" s="550" t="s">
        <v>1887</v>
      </c>
      <c r="D607" s="551" t="s">
        <v>1792</v>
      </c>
      <c r="E607" s="1042">
        <v>40569</v>
      </c>
      <c r="F607" s="550" t="s">
        <v>1628</v>
      </c>
      <c r="G607" s="895"/>
      <c r="H607" s="550"/>
      <c r="I607" s="1025">
        <v>158.49</v>
      </c>
      <c r="J607" s="1085" t="str">
        <f>IF(ISBLANK(I607)," ",IF(ISTEXT(I607)," ",IF(I607&lt;=[2]Нормативы!$H$126,"КМС",IF(I607&lt;=[2]Нормативы!$H$127,"КМС",IF(I607&lt;=[2]Нормативы!$L$128,"КМС",IF(I607&lt;=[2]Нормативы!$L$129,"I",IF(I607&lt;=[2]Нормативы!$L$130,"II",IF(I607&lt;=[2]Нормативы!$L$131,"III",IF(I607&lt;=[2]Нормативы!$L$132,"I юн",IF(I607&lt;=[2]Нормативы!$L$133,"II юн",IF(I607&lt;=[2]Нормативы!$L$134,"III юн","б/р")))))))))))</f>
        <v>II</v>
      </c>
    </row>
    <row r="608" spans="1:10" x14ac:dyDescent="0.3">
      <c r="A608" s="1086">
        <v>23</v>
      </c>
      <c r="B608" s="550" t="s">
        <v>23</v>
      </c>
      <c r="C608" s="550" t="s">
        <v>1885</v>
      </c>
      <c r="D608" s="551" t="s">
        <v>1807</v>
      </c>
      <c r="E608" s="1042">
        <v>40526</v>
      </c>
      <c r="F608" s="550" t="s">
        <v>1654</v>
      </c>
      <c r="G608" s="895"/>
      <c r="H608" s="550"/>
      <c r="I608" s="1025">
        <v>158.69999999999999</v>
      </c>
      <c r="J608" s="1085" t="str">
        <f>IF(ISBLANK(I608)," ",IF(ISTEXT(I608)," ",IF(I608&lt;=[2]Нормативы!$H$126,"КМС",IF(I608&lt;=[2]Нормативы!$H$127,"КМС",IF(I608&lt;=[2]Нормативы!$L$128,"КМС",IF(I608&lt;=[2]Нормативы!$L$129,"I",IF(I608&lt;=[2]Нормативы!$L$130,"II",IF(I608&lt;=[2]Нормативы!$L$131,"III",IF(I608&lt;=[2]Нормативы!$L$132,"I юн",IF(I608&lt;=[2]Нормативы!$L$133,"II юн",IF(I608&lt;=[2]Нормативы!$L$134,"III юн","б/р")))))))))))</f>
        <v>II</v>
      </c>
    </row>
    <row r="609" spans="1:10" x14ac:dyDescent="0.3">
      <c r="A609" s="1086">
        <v>24</v>
      </c>
      <c r="B609" s="550" t="s">
        <v>23</v>
      </c>
      <c r="C609" s="550" t="s">
        <v>1878</v>
      </c>
      <c r="D609" s="551" t="s">
        <v>1760</v>
      </c>
      <c r="E609" s="1042">
        <v>40233</v>
      </c>
      <c r="F609" s="550" t="s">
        <v>1628</v>
      </c>
      <c r="G609" s="895"/>
      <c r="H609" s="550"/>
      <c r="I609" s="1025">
        <v>159.76</v>
      </c>
      <c r="J609" s="1085" t="str">
        <f>IF(ISBLANK(I609)," ",IF(ISTEXT(I609)," ",IF(I609&lt;=[2]Нормативы!$H$126,"КМС",IF(I609&lt;=[2]Нормативы!$H$127,"КМС",IF(I609&lt;=[2]Нормативы!$L$128,"КМС",IF(I609&lt;=[2]Нормативы!$L$129,"I",IF(I609&lt;=[2]Нормативы!$L$130,"II",IF(I609&lt;=[2]Нормативы!$L$131,"III",IF(I609&lt;=[2]Нормативы!$L$132,"I юн",IF(I609&lt;=[2]Нормативы!$L$133,"II юн",IF(I609&lt;=[2]Нормативы!$L$134,"III юн","б/р")))))))))))</f>
        <v>II</v>
      </c>
    </row>
    <row r="610" spans="1:10" x14ac:dyDescent="0.3">
      <c r="A610" s="1086">
        <v>25</v>
      </c>
      <c r="B610" s="550" t="s">
        <v>23</v>
      </c>
      <c r="C610" s="550" t="s">
        <v>1880</v>
      </c>
      <c r="D610" s="551" t="s">
        <v>1755</v>
      </c>
      <c r="E610" s="1042">
        <v>40529</v>
      </c>
      <c r="F610" s="550" t="s">
        <v>1654</v>
      </c>
      <c r="G610" s="895"/>
      <c r="H610" s="550"/>
      <c r="I610" s="1025">
        <v>200.81</v>
      </c>
      <c r="J610" s="1085" t="str">
        <f>IF(ISBLANK(I610)," ",IF(ISTEXT(I610)," ",IF(I610&lt;=[2]Нормативы!$H$126,"КМС",IF(I610&lt;=[2]Нормативы!$H$127,"КМС",IF(I610&lt;=[2]Нормативы!$L$128,"КМС",IF(I610&lt;=[2]Нормативы!$L$129,"I",IF(I610&lt;=[2]Нормативы!$L$130,"II",IF(I610&lt;=[2]Нормативы!$L$131,"III",IF(I610&lt;=[2]Нормативы!$L$132,"I юн",IF(I610&lt;=[2]Нормативы!$L$133,"II юн",IF(I610&lt;=[2]Нормативы!$L$134,"III юн","б/р")))))))))))</f>
        <v>II</v>
      </c>
    </row>
    <row r="611" spans="1:10" x14ac:dyDescent="0.3">
      <c r="A611" s="1086">
        <v>26</v>
      </c>
      <c r="B611" s="550" t="s">
        <v>24</v>
      </c>
      <c r="C611" s="550" t="s">
        <v>1871</v>
      </c>
      <c r="D611" s="551" t="s">
        <v>1768</v>
      </c>
      <c r="E611" s="1042">
        <v>40828</v>
      </c>
      <c r="F611" s="550" t="s">
        <v>1634</v>
      </c>
      <c r="G611" s="895"/>
      <c r="H611" s="550"/>
      <c r="I611" s="1025">
        <v>204.1</v>
      </c>
      <c r="J611" s="1085" t="str">
        <f>IF(ISBLANK(I611)," ",IF(ISTEXT(I611)," ",IF(I611&lt;=[2]Нормативы!$H$126,"КМС",IF(I611&lt;=[2]Нормативы!$H$127,"КМС",IF(I611&lt;=[2]Нормативы!$L$128,"КМС",IF(I611&lt;=[2]Нормативы!$L$129,"I",IF(I611&lt;=[2]Нормативы!$L$130,"II",IF(I611&lt;=[2]Нормативы!$L$131,"III",IF(I611&lt;=[2]Нормативы!$L$132,"I юн",IF(I611&lt;=[2]Нормативы!$L$133,"II юн",IF(I611&lt;=[2]Нормативы!$L$134,"III юн","б/р")))))))))))</f>
        <v>III</v>
      </c>
    </row>
    <row r="612" spans="1:10" x14ac:dyDescent="0.3">
      <c r="A612" s="1086">
        <v>27</v>
      </c>
      <c r="B612" s="550" t="s">
        <v>34</v>
      </c>
      <c r="C612" s="550" t="s">
        <v>1902</v>
      </c>
      <c r="D612" s="551" t="s">
        <v>1725</v>
      </c>
      <c r="E612" s="1042" t="s">
        <v>1903</v>
      </c>
      <c r="F612" s="550" t="s">
        <v>460</v>
      </c>
      <c r="G612" s="895"/>
      <c r="H612" s="550"/>
      <c r="I612" s="1025">
        <v>205.57</v>
      </c>
      <c r="J612" s="1085" t="str">
        <f>IF(ISBLANK(I612)," ",IF(ISTEXT(I612)," ",IF(I612&lt;=[2]Нормативы!$H$126,"КМС",IF(I612&lt;=[2]Нормативы!$H$127,"КМС",IF(I612&lt;=[2]Нормативы!$L$128,"КМС",IF(I612&lt;=[2]Нормативы!$L$129,"I",IF(I612&lt;=[2]Нормативы!$L$130,"II",IF(I612&lt;=[2]Нормативы!$L$131,"III",IF(I612&lt;=[2]Нормативы!$L$132,"I юн",IF(I612&lt;=[2]Нормативы!$L$133,"II юн",IF(I612&lt;=[2]Нормативы!$L$134,"III юн","б/р")))))))))))</f>
        <v>III</v>
      </c>
    </row>
    <row r="613" spans="1:10" x14ac:dyDescent="0.3">
      <c r="A613" s="1086">
        <v>28</v>
      </c>
      <c r="B613" s="550" t="s">
        <v>136</v>
      </c>
      <c r="C613" s="1047" t="s">
        <v>1529</v>
      </c>
      <c r="D613" s="551" t="s">
        <v>1742</v>
      </c>
      <c r="E613" s="1042">
        <v>39643</v>
      </c>
      <c r="F613" s="550" t="s">
        <v>1596</v>
      </c>
      <c r="G613" s="895"/>
      <c r="H613" s="550"/>
      <c r="I613" s="1025">
        <v>207.75</v>
      </c>
      <c r="J613" s="1085" t="str">
        <f>IF(ISBLANK(I613)," ",IF(ISTEXT(I613)," ",IF(I613&lt;=[2]Нормативы!$H$126,"КМС",IF(I613&lt;=[2]Нормативы!$H$127,"КМС",IF(I613&lt;=[2]Нормативы!$L$128,"КМС",IF(I613&lt;=[2]Нормативы!$L$129,"I",IF(I613&lt;=[2]Нормативы!$L$130,"II",IF(I613&lt;=[2]Нормативы!$L$131,"III",IF(I613&lt;=[2]Нормативы!$L$132,"I юн",IF(I613&lt;=[2]Нормативы!$L$133,"II юн",IF(I613&lt;=[2]Нормативы!$L$134,"III юн","б/р")))))))))))</f>
        <v>III</v>
      </c>
    </row>
    <row r="614" spans="1:10" x14ac:dyDescent="0.3">
      <c r="A614" s="1086">
        <v>29</v>
      </c>
      <c r="B614" s="1050" t="s">
        <v>35</v>
      </c>
      <c r="C614" s="1047" t="s">
        <v>1584</v>
      </c>
      <c r="D614" s="551" t="s">
        <v>1807</v>
      </c>
      <c r="E614" s="1042">
        <v>40908</v>
      </c>
      <c r="F614" s="550" t="s">
        <v>1596</v>
      </c>
      <c r="G614" s="895"/>
      <c r="H614" s="550"/>
      <c r="I614" s="1025">
        <v>208.3</v>
      </c>
      <c r="J614" s="1085" t="str">
        <f>IF(ISBLANK(I614)," ",IF(ISTEXT(I614)," ",IF(I614&lt;=[2]Нормативы!$H$126,"КМС",IF(I614&lt;=[2]Нормативы!$H$127,"КМС",IF(I614&lt;=[2]Нормативы!$L$128,"КМС",IF(I614&lt;=[2]Нормативы!$L$129,"I",IF(I614&lt;=[2]Нормативы!$L$130,"II",IF(I614&lt;=[2]Нормативы!$L$131,"III",IF(I614&lt;=[2]Нормативы!$L$132,"I юн",IF(I614&lt;=[2]Нормативы!$L$133,"II юн",IF(I614&lt;=[2]Нормативы!$L$134,"III юн","б/р")))))))))))</f>
        <v>III</v>
      </c>
    </row>
    <row r="615" spans="1:10" x14ac:dyDescent="0.3">
      <c r="A615" s="1086">
        <v>30</v>
      </c>
      <c r="B615" s="550" t="s">
        <v>35</v>
      </c>
      <c r="C615" s="1047" t="s">
        <v>1867</v>
      </c>
      <c r="D615" s="551" t="s">
        <v>1785</v>
      </c>
      <c r="E615" s="1042">
        <v>40526</v>
      </c>
      <c r="F615" s="550" t="s">
        <v>1596</v>
      </c>
      <c r="G615" s="895"/>
      <c r="H615" s="550"/>
      <c r="I615" s="1025">
        <v>209.17</v>
      </c>
      <c r="J615" s="1085" t="str">
        <f>IF(ISBLANK(I615)," ",IF(ISTEXT(I615)," ",IF(I615&lt;=[2]Нормативы!$H$126,"КМС",IF(I615&lt;=[2]Нормативы!$H$127,"КМС",IF(I615&lt;=[2]Нормативы!$L$128,"КМС",IF(I615&lt;=[2]Нормативы!$L$129,"I",IF(I615&lt;=[2]Нормативы!$L$130,"II",IF(I615&lt;=[2]Нормативы!$L$131,"III",IF(I615&lt;=[2]Нормативы!$L$132,"I юн",IF(I615&lt;=[2]Нормативы!$L$133,"II юн",IF(I615&lt;=[2]Нормативы!$L$134,"III юн","б/р")))))))))))</f>
        <v>III</v>
      </c>
    </row>
    <row r="616" spans="1:10" x14ac:dyDescent="0.3">
      <c r="A616" s="1086">
        <v>31</v>
      </c>
      <c r="B616" s="24" t="s">
        <v>35</v>
      </c>
      <c r="C616" s="24" t="s">
        <v>1865</v>
      </c>
      <c r="D616" s="890" t="s">
        <v>1735</v>
      </c>
      <c r="E616" s="1043">
        <v>40470</v>
      </c>
      <c r="F616" s="550" t="s">
        <v>1430</v>
      </c>
      <c r="G616" s="895"/>
      <c r="H616" s="550"/>
      <c r="I616" s="1075">
        <v>215.32</v>
      </c>
      <c r="J616" s="1085" t="str">
        <f>IF(ISBLANK(I616)," ",IF(ISTEXT(I616)," ",IF(I616&lt;=[2]Нормативы!$H$126,"КМС",IF(I616&lt;=[2]Нормативы!$H$127,"КМС",IF(I616&lt;=[2]Нормативы!$L$128,"КМС",IF(I616&lt;=[2]Нормативы!$L$129,"I",IF(I616&lt;=[2]Нормативы!$L$130,"II",IF(I616&lt;=[2]Нормативы!$L$131,"III",IF(I616&lt;=[2]Нормативы!$L$132,"I юн",IF(I616&lt;=[2]Нормативы!$L$133,"II юн",IF(I616&lt;=[2]Нормативы!$L$134,"III юн","б/р")))))))))))</f>
        <v>I юн</v>
      </c>
    </row>
    <row r="617" spans="1:10" x14ac:dyDescent="0.3">
      <c r="A617" s="1086">
        <v>32</v>
      </c>
      <c r="B617" s="24" t="s">
        <v>35</v>
      </c>
      <c r="C617" s="550" t="s">
        <v>1868</v>
      </c>
      <c r="D617" s="551" t="s">
        <v>1742</v>
      </c>
      <c r="E617" s="1042">
        <v>40514</v>
      </c>
      <c r="F617" s="550" t="s">
        <v>1596</v>
      </c>
      <c r="G617" s="895"/>
      <c r="H617" s="550"/>
      <c r="I617" s="1025">
        <v>217.66</v>
      </c>
      <c r="J617" s="1085" t="str">
        <f>IF(ISBLANK(I617)," ",IF(ISTEXT(I617)," ",IF(I617&lt;=[2]Нормативы!$H$126,"КМС",IF(I617&lt;=[2]Нормативы!$H$127,"КМС",IF(I617&lt;=[2]Нормативы!$L$128,"КМС",IF(I617&lt;=[2]Нормативы!$L$129,"I",IF(I617&lt;=[2]Нормативы!$L$130,"II",IF(I617&lt;=[2]Нормативы!$L$131,"III",IF(I617&lt;=[2]Нормативы!$L$132,"I юн",IF(I617&lt;=[2]Нормативы!$L$133,"II юн",IF(I617&lt;=[2]Нормативы!$L$134,"III юн","б/р")))))))))))</f>
        <v>I юн</v>
      </c>
    </row>
    <row r="618" spans="1:10" x14ac:dyDescent="0.3">
      <c r="A618" s="1086">
        <v>33</v>
      </c>
      <c r="B618" s="550" t="s">
        <v>35</v>
      </c>
      <c r="C618" s="550" t="s">
        <v>1864</v>
      </c>
      <c r="D618" s="551" t="s">
        <v>1817</v>
      </c>
      <c r="E618" s="1042">
        <v>40697</v>
      </c>
      <c r="F618" s="550" t="s">
        <v>1628</v>
      </c>
      <c r="G618" s="895"/>
      <c r="H618" s="550"/>
      <c r="I618" s="1025">
        <v>218.1</v>
      </c>
      <c r="J618" s="1085" t="str">
        <f>IF(ISBLANK(I618)," ",IF(ISTEXT(I618)," ",IF(I618&lt;=[2]Нормативы!$H$126,"КМС",IF(I618&lt;=[2]Нормативы!$H$127,"КМС",IF(I618&lt;=[2]Нормативы!$L$128,"КМС",IF(I618&lt;=[2]Нормативы!$L$129,"I",IF(I618&lt;=[2]Нормативы!$L$130,"II",IF(I618&lt;=[2]Нормативы!$L$131,"III",IF(I618&lt;=[2]Нормативы!$L$132,"I юн",IF(I618&lt;=[2]Нормативы!$L$133,"II юн",IF(I618&lt;=[2]Нормативы!$L$134,"III юн","б/р")))))))))))</f>
        <v>I юн</v>
      </c>
    </row>
    <row r="619" spans="1:10" x14ac:dyDescent="0.3">
      <c r="A619" s="1086">
        <v>34</v>
      </c>
      <c r="B619" s="550" t="s">
        <v>24</v>
      </c>
      <c r="C619" s="550" t="s">
        <v>1870</v>
      </c>
      <c r="D619" s="551" t="s">
        <v>1781</v>
      </c>
      <c r="E619" s="1042">
        <v>40551</v>
      </c>
      <c r="F619" s="550" t="s">
        <v>1628</v>
      </c>
      <c r="G619" s="895"/>
      <c r="H619" s="550"/>
      <c r="I619" s="1025">
        <v>218.34</v>
      </c>
      <c r="J619" s="1085" t="str">
        <f>IF(ISBLANK(I619)," ",IF(ISTEXT(I619)," ",IF(I619&lt;=[2]Нормативы!$H$126,"КМС",IF(I619&lt;=[2]Нормативы!$H$127,"КМС",IF(I619&lt;=[2]Нормативы!$L$128,"КМС",IF(I619&lt;=[2]Нормативы!$L$129,"I",IF(I619&lt;=[2]Нормативы!$L$130,"II",IF(I619&lt;=[2]Нормативы!$L$131,"III",IF(I619&lt;=[2]Нормативы!$L$132,"I юн",IF(I619&lt;=[2]Нормативы!$L$133,"II юн",IF(I619&lt;=[2]Нормативы!$L$134,"III юн","б/р")))))))))))</f>
        <v>I юн</v>
      </c>
    </row>
    <row r="620" spans="1:10" x14ac:dyDescent="0.3">
      <c r="A620" s="1086">
        <v>35</v>
      </c>
      <c r="B620" s="550" t="s">
        <v>24</v>
      </c>
      <c r="C620" s="550" t="s">
        <v>1876</v>
      </c>
      <c r="D620" s="551" t="s">
        <v>1733</v>
      </c>
      <c r="E620" s="1042">
        <v>40884</v>
      </c>
      <c r="F620" s="550" t="s">
        <v>1654</v>
      </c>
      <c r="G620" s="895"/>
      <c r="H620" s="550"/>
      <c r="I620" s="1025">
        <v>219.69</v>
      </c>
      <c r="J620" s="1085" t="str">
        <f>IF(ISBLANK(I620)," ",IF(ISTEXT(I620)," ",IF(I620&lt;=[2]Нормативы!$H$126,"КМС",IF(I620&lt;=[2]Нормативы!$H$127,"КМС",IF(I620&lt;=[2]Нормативы!$L$128,"КМС",IF(I620&lt;=[2]Нормативы!$L$129,"I",IF(I620&lt;=[2]Нормативы!$L$130,"II",IF(I620&lt;=[2]Нормативы!$L$131,"III",IF(I620&lt;=[2]Нормативы!$L$132,"I юн",IF(I620&lt;=[2]Нормативы!$L$133,"II юн",IF(I620&lt;=[2]Нормативы!$L$134,"III юн","б/р")))))))))))</f>
        <v>I юн</v>
      </c>
    </row>
    <row r="621" spans="1:10" x14ac:dyDescent="0.3">
      <c r="A621" s="1086">
        <v>36</v>
      </c>
      <c r="B621" s="550" t="s">
        <v>35</v>
      </c>
      <c r="C621" s="550" t="s">
        <v>1866</v>
      </c>
      <c r="D621" s="551" t="s">
        <v>1798</v>
      </c>
      <c r="E621" s="1042">
        <v>40835</v>
      </c>
      <c r="F621" s="550" t="s">
        <v>1628</v>
      </c>
      <c r="G621" s="895"/>
      <c r="H621" s="550"/>
      <c r="I621" s="1025">
        <v>220.26</v>
      </c>
      <c r="J621" s="1085" t="str">
        <f>IF(ISBLANK(I621)," ",IF(ISTEXT(I621)," ",IF(I621&lt;=[2]Нормативы!$H$126,"КМС",IF(I621&lt;=[2]Нормативы!$H$127,"КМС",IF(I621&lt;=[2]Нормативы!$L$128,"КМС",IF(I621&lt;=[2]Нормативы!$L$129,"I",IF(I621&lt;=[2]Нормативы!$L$130,"II",IF(I621&lt;=[2]Нормативы!$L$131,"III",IF(I621&lt;=[2]Нормативы!$L$132,"I юн",IF(I621&lt;=[2]Нормативы!$L$133,"II юн",IF(I621&lt;=[2]Нормативы!$L$134,"III юн","б/р")))))))))))</f>
        <v>I юн</v>
      </c>
    </row>
    <row r="622" spans="1:10" x14ac:dyDescent="0.3">
      <c r="A622" s="1086">
        <v>37</v>
      </c>
      <c r="B622" s="550" t="s">
        <v>20</v>
      </c>
      <c r="C622" s="550" t="s">
        <v>1857</v>
      </c>
      <c r="D622" s="551" t="s">
        <v>1733</v>
      </c>
      <c r="E622" s="1042">
        <v>40874</v>
      </c>
      <c r="F622" s="550" t="s">
        <v>1628</v>
      </c>
      <c r="G622" s="895"/>
      <c r="H622" s="550"/>
      <c r="I622" s="1025">
        <v>226.26</v>
      </c>
      <c r="J622" s="1085" t="str">
        <f>IF(ISBLANK(I622)," ",IF(ISTEXT(I622)," ",IF(I622&lt;=[2]Нормативы!$H$126,"КМС",IF(I622&lt;=[2]Нормативы!$H$127,"КМС",IF(I622&lt;=[2]Нормативы!$L$128,"КМС",IF(I622&lt;=[2]Нормативы!$L$129,"I",IF(I622&lt;=[2]Нормативы!$L$130,"II",IF(I622&lt;=[2]Нормативы!$L$131,"III",IF(I622&lt;=[2]Нормативы!$L$132,"I юн",IF(I622&lt;=[2]Нормативы!$L$133,"II юн",IF(I622&lt;=[2]Нормативы!$L$134,"III юн","б/р")))))))))))</f>
        <v>II юн</v>
      </c>
    </row>
    <row r="623" spans="1:10" x14ac:dyDescent="0.3">
      <c r="A623" s="1086">
        <v>38</v>
      </c>
      <c r="B623" s="550" t="s">
        <v>20</v>
      </c>
      <c r="C623" s="1047" t="s">
        <v>1861</v>
      </c>
      <c r="D623" s="551" t="s">
        <v>1862</v>
      </c>
      <c r="E623" s="1042">
        <v>40691</v>
      </c>
      <c r="F623" s="550" t="s">
        <v>1596</v>
      </c>
      <c r="G623" s="895"/>
      <c r="H623" s="550"/>
      <c r="I623" s="1025">
        <v>228.66</v>
      </c>
      <c r="J623" s="1085" t="str">
        <f>IF(ISBLANK(I623)," ",IF(ISTEXT(I623)," ",IF(I623&lt;=[2]Нормативы!$H$126,"КМС",IF(I623&lt;=[2]Нормативы!$H$127,"КМС",IF(I623&lt;=[2]Нормативы!$L$128,"КМС",IF(I623&lt;=[2]Нормативы!$L$129,"I",IF(I623&lt;=[2]Нормативы!$L$130,"II",IF(I623&lt;=[2]Нормативы!$L$131,"III",IF(I623&lt;=[2]Нормативы!$L$132,"I юн",IF(I623&lt;=[2]Нормативы!$L$133,"II юн",IF(I623&lt;=[2]Нормативы!$L$134,"III юн","б/р")))))))))))</f>
        <v>II юн</v>
      </c>
    </row>
    <row r="624" spans="1:10" x14ac:dyDescent="0.3">
      <c r="A624" s="1086">
        <v>39</v>
      </c>
      <c r="B624" s="550" t="s">
        <v>20</v>
      </c>
      <c r="C624" s="550" t="s">
        <v>1860</v>
      </c>
      <c r="D624" s="551" t="s">
        <v>1744</v>
      </c>
      <c r="E624" s="1042">
        <v>40668</v>
      </c>
      <c r="F624" s="550" t="s">
        <v>1628</v>
      </c>
      <c r="G624" s="895"/>
      <c r="H624" s="550"/>
      <c r="I624" s="1025">
        <v>236.82</v>
      </c>
      <c r="J624" s="1085" t="str">
        <f>IF(ISBLANK(I624)," ",IF(ISTEXT(I624)," ",IF(I624&lt;=[2]Нормативы!$H$126,"КМС",IF(I624&lt;=[2]Нормативы!$H$127,"КМС",IF(I624&lt;=[2]Нормативы!$L$128,"КМС",IF(I624&lt;=[2]Нормативы!$L$129,"I",IF(I624&lt;=[2]Нормативы!$L$130,"II",IF(I624&lt;=[2]Нормативы!$L$131,"III",IF(I624&lt;=[2]Нормативы!$L$132,"I юн",IF(I624&lt;=[2]Нормативы!$L$133,"II юн",IF(I624&lt;=[2]Нормативы!$L$134,"III юн","б/р")))))))))))</f>
        <v>II юн</v>
      </c>
    </row>
    <row r="625" spans="1:10" x14ac:dyDescent="0.3">
      <c r="A625" s="1086"/>
      <c r="B625" s="1003"/>
      <c r="C625" s="225"/>
      <c r="D625" s="18"/>
      <c r="E625" s="990"/>
      <c r="F625" s="991"/>
      <c r="G625" s="98"/>
      <c r="H625" s="989"/>
      <c r="I625" s="1025"/>
      <c r="J625" s="896"/>
    </row>
    <row r="626" spans="1:10" ht="15.6" x14ac:dyDescent="0.3">
      <c r="A626" s="1086"/>
      <c r="B626" s="374"/>
      <c r="C626" s="928" t="s">
        <v>1989</v>
      </c>
      <c r="D626" s="374"/>
      <c r="E626" s="374"/>
      <c r="F626" s="374"/>
      <c r="G626" s="374"/>
      <c r="H626" s="929"/>
      <c r="I626" s="1071"/>
      <c r="J626" s="906"/>
    </row>
    <row r="627" spans="1:10" x14ac:dyDescent="0.3">
      <c r="A627" s="1028"/>
      <c r="B627" s="361"/>
      <c r="C627" s="978"/>
      <c r="D627" s="364"/>
      <c r="E627" s="139"/>
      <c r="F627" s="364"/>
      <c r="G627" s="364"/>
      <c r="H627" s="979"/>
      <c r="I627" s="1077"/>
      <c r="J627" s="300"/>
    </row>
    <row r="628" spans="1:10" x14ac:dyDescent="0.3">
      <c r="A628" s="1086">
        <v>1</v>
      </c>
      <c r="B628" s="550" t="s">
        <v>6</v>
      </c>
      <c r="C628" s="551" t="s">
        <v>1914</v>
      </c>
      <c r="D628" s="890" t="s">
        <v>1664</v>
      </c>
      <c r="E628" s="1042">
        <v>41296</v>
      </c>
      <c r="F628" s="550" t="s">
        <v>1598</v>
      </c>
      <c r="G628" s="895"/>
      <c r="H628" s="550"/>
      <c r="I628" s="1025">
        <v>343.78</v>
      </c>
      <c r="J628" s="1085" t="str">
        <f>IF(ISBLANK(I628)," ",IF(ISTEXT(I628)," ",IF(I628&lt;=[2]Нормативы!$H$137,"КМС",IF(I628&lt;=[2]Нормативы!$H$138,"КМС",IF(I628&lt;=[2]Нормативы!$L$139,"КМС",IF(I628&lt;=[2]Нормативы!$L$140,"I",IF(I628&lt;=[2]Нормативы!$L$141,"II",IF(I628&lt;=[2]Нормативы!$L$142,"III",IF(I628&lt;=[2]Нормативы!$L$143,"I юн",IF(I628&lt;=[2]Нормативы!$L$144,"II юн",IF(I628&lt;=[2]Нормативы!$L$145,"III юн","б/р")))))))))))</f>
        <v>I</v>
      </c>
    </row>
    <row r="629" spans="1:10" x14ac:dyDescent="0.3">
      <c r="A629" s="1086">
        <v>2</v>
      </c>
      <c r="B629" s="550" t="s">
        <v>23</v>
      </c>
      <c r="C629" s="551" t="s">
        <v>1913</v>
      </c>
      <c r="D629" s="890" t="s">
        <v>1618</v>
      </c>
      <c r="E629" s="1042">
        <v>41626</v>
      </c>
      <c r="F629" s="550" t="s">
        <v>1598</v>
      </c>
      <c r="G629" s="895"/>
      <c r="H629" s="550"/>
      <c r="I629" s="1025">
        <v>350.5</v>
      </c>
      <c r="J629" s="1085" t="str">
        <f>IF(ISBLANK(I629)," ",IF(ISTEXT(I629)," ",IF(I629&lt;=[2]Нормативы!$H$137,"КМС",IF(I629&lt;=[2]Нормативы!$H$138,"КМС",IF(I629&lt;=[2]Нормативы!$L$139,"КМС",IF(I629&lt;=[2]Нормативы!$L$140,"I",IF(I629&lt;=[2]Нормативы!$L$141,"II",IF(I629&lt;=[2]Нормативы!$L$142,"III",IF(I629&lt;=[2]Нормативы!$L$143,"I юн",IF(I629&lt;=[2]Нормативы!$L$144,"II юн",IF(I629&lt;=[2]Нормативы!$L$145,"III юн","б/р")))))))))))</f>
        <v>I</v>
      </c>
    </row>
    <row r="630" spans="1:10" x14ac:dyDescent="0.3">
      <c r="A630" s="1086">
        <v>3</v>
      </c>
      <c r="B630" s="550" t="s">
        <v>23</v>
      </c>
      <c r="C630" s="551" t="s">
        <v>1685</v>
      </c>
      <c r="D630" s="890" t="s">
        <v>1668</v>
      </c>
      <c r="E630" s="1042">
        <v>40988</v>
      </c>
      <c r="F630" s="550" t="s">
        <v>1634</v>
      </c>
      <c r="G630" s="895"/>
      <c r="H630" s="550"/>
      <c r="I630" s="1025">
        <v>428.96</v>
      </c>
      <c r="J630" s="1085" t="str">
        <f>IF(ISBLANK(I630)," ",IF(ISTEXT(I630)," ",IF(I630&lt;=[2]Нормативы!$H$137,"КМС",IF(I630&lt;=[2]Нормативы!$H$138,"КМС",IF(I630&lt;=[2]Нормативы!$L$139,"КМС",IF(I630&lt;=[2]Нормативы!$L$140,"I",IF(I630&lt;=[2]Нормативы!$L$141,"II",IF(I630&lt;=[2]Нормативы!$L$142,"III",IF(I630&lt;=[2]Нормативы!$L$143,"I юн",IF(I630&lt;=[2]Нормативы!$L$144,"II юн",IF(I630&lt;=[2]Нормативы!$L$145,"III юн","б/р")))))))))))</f>
        <v>III</v>
      </c>
    </row>
    <row r="631" spans="1:10" x14ac:dyDescent="0.3">
      <c r="A631" s="1086"/>
      <c r="B631" s="953"/>
      <c r="C631" s="947"/>
      <c r="D631" s="359"/>
      <c r="E631" s="984"/>
      <c r="F631" s="947"/>
      <c r="G631" s="947"/>
      <c r="H631" s="983"/>
      <c r="I631" s="1078"/>
      <c r="J631" s="549"/>
    </row>
    <row r="632" spans="1:10" ht="15.6" x14ac:dyDescent="0.3">
      <c r="A632" s="1086"/>
      <c r="B632" s="374"/>
      <c r="C632" s="928" t="s">
        <v>1992</v>
      </c>
      <c r="D632" s="374"/>
      <c r="E632" s="374"/>
      <c r="F632" s="374"/>
      <c r="G632" s="374"/>
      <c r="H632" s="929"/>
      <c r="I632" s="1071"/>
      <c r="J632" s="906"/>
    </row>
    <row r="633" spans="1:10" x14ac:dyDescent="0.3">
      <c r="A633" s="1028"/>
      <c r="B633" s="361"/>
      <c r="C633" s="978"/>
      <c r="D633" s="364"/>
      <c r="E633" s="139"/>
      <c r="F633" s="364"/>
      <c r="G633" s="364"/>
      <c r="H633" s="979"/>
      <c r="I633" s="1077"/>
      <c r="J633" s="300"/>
    </row>
    <row r="634" spans="1:10" x14ac:dyDescent="0.3">
      <c r="A634" s="1086">
        <v>1</v>
      </c>
      <c r="B634" s="550" t="s">
        <v>23</v>
      </c>
      <c r="C634" s="551" t="s">
        <v>1916</v>
      </c>
      <c r="D634" s="551" t="s">
        <v>1595</v>
      </c>
      <c r="E634" s="1042">
        <v>40854</v>
      </c>
      <c r="F634" s="550" t="s">
        <v>1634</v>
      </c>
      <c r="G634" s="895"/>
      <c r="H634" s="550"/>
      <c r="I634" s="1025">
        <v>414.62</v>
      </c>
      <c r="J634" s="1085" t="str">
        <f>IF(ISBLANK(I634)," ",IF(ISTEXT(I634)," ",IF(I634&lt;=[2]Нормативы!$H$137,"КМС",IF(I634&lt;=[2]Нормативы!$H$138,"КМС",IF(I634&lt;=[2]Нормативы!$L$139,"КМС",IF(I634&lt;=[2]Нормативы!$L$140,"I",IF(I634&lt;=[2]Нормативы!$L$141,"II",IF(I634&lt;=[2]Нормативы!$L$142,"III",IF(I634&lt;=[2]Нормативы!$L$143,"I юн",IF(I634&lt;=[2]Нормативы!$L$144,"II юн",IF(I634&lt;=[2]Нормативы!$L$145,"III юн","б/р")))))))))))</f>
        <v>III</v>
      </c>
    </row>
    <row r="635" spans="1:10" x14ac:dyDescent="0.3">
      <c r="A635" s="1086">
        <v>2</v>
      </c>
      <c r="B635" s="550" t="s">
        <v>23</v>
      </c>
      <c r="C635" s="551" t="s">
        <v>1698</v>
      </c>
      <c r="D635" s="890" t="s">
        <v>1616</v>
      </c>
      <c r="E635" s="1042">
        <v>40816</v>
      </c>
      <c r="F635" s="550" t="s">
        <v>1634</v>
      </c>
      <c r="G635" s="895"/>
      <c r="H635" s="550"/>
      <c r="I635" s="1025">
        <v>415.76</v>
      </c>
      <c r="J635" s="1085" t="str">
        <f>IF(ISBLANK(I635)," ",IF(ISTEXT(I635)," ",IF(I635&lt;=[2]Нормативы!$H$137,"КМС",IF(I635&lt;=[2]Нормативы!$H$138,"КМС",IF(I635&lt;=[2]Нормативы!$L$139,"КМС",IF(I635&lt;=[2]Нормативы!$L$140,"I",IF(I635&lt;=[2]Нормативы!$L$141,"II",IF(I635&lt;=[2]Нормативы!$L$142,"III",IF(I635&lt;=[2]Нормативы!$L$143,"I юн",IF(I635&lt;=[2]Нормативы!$L$144,"II юн",IF(I635&lt;=[2]Нормативы!$L$145,"III юн","б/р")))))))))))</f>
        <v>III</v>
      </c>
    </row>
    <row r="636" spans="1:10" s="948" customFormat="1" x14ac:dyDescent="0.3">
      <c r="A636" s="1162">
        <v>3</v>
      </c>
      <c r="B636" s="550" t="s">
        <v>6</v>
      </c>
      <c r="C636" s="551" t="s">
        <v>1701</v>
      </c>
      <c r="D636" s="890" t="s">
        <v>1616</v>
      </c>
      <c r="E636" s="1042">
        <v>40392</v>
      </c>
      <c r="F636" s="550" t="s">
        <v>1634</v>
      </c>
      <c r="G636" s="895"/>
      <c r="H636" s="550"/>
      <c r="I636" s="1025">
        <v>441.19</v>
      </c>
      <c r="J636" s="1085" t="str">
        <f>IF(ISBLANK(I636)," ",IF(ISTEXT(I636)," ",IF(I636&lt;=[2]Нормативы!$H$137,"КМС",IF(I636&lt;=[2]Нормативы!$H$138,"КМС",IF(I636&lt;=[2]Нормативы!$L$139,"КМС",IF(I636&lt;=[2]Нормативы!$L$140,"I",IF(I636&lt;=[2]Нормативы!$L$141,"II",IF(I636&lt;=[2]Нормативы!$L$142,"III",IF(I636&lt;=[2]Нормативы!$L$143,"I юн",IF(I636&lt;=[2]Нормативы!$L$144,"II юн",IF(I636&lt;=[2]Нормативы!$L$145,"III юн","б/р")))))))))))</f>
        <v>I юн</v>
      </c>
    </row>
    <row r="637" spans="1:10" s="948" customFormat="1" x14ac:dyDescent="0.3">
      <c r="A637" s="1162"/>
      <c r="B637" s="550"/>
      <c r="C637" s="551"/>
      <c r="D637" s="890"/>
      <c r="E637" s="1042"/>
      <c r="F637" s="550"/>
      <c r="G637" s="895"/>
      <c r="H637" s="550"/>
      <c r="I637" s="1025"/>
      <c r="J637" s="1085"/>
    </row>
    <row r="638" spans="1:10" x14ac:dyDescent="0.3">
      <c r="A638" s="1162"/>
      <c r="B638" s="550"/>
      <c r="C638" s="551"/>
      <c r="D638" s="890"/>
      <c r="E638" s="1042"/>
      <c r="F638" s="550"/>
      <c r="G638" s="895"/>
      <c r="H638" s="550"/>
      <c r="I638" s="1025"/>
      <c r="J638" s="1085"/>
    </row>
    <row r="639" spans="1:10" x14ac:dyDescent="0.3">
      <c r="A639" s="1086"/>
      <c r="B639" s="550"/>
      <c r="C639" s="551"/>
      <c r="D639" s="890"/>
      <c r="E639" s="1042"/>
      <c r="F639" s="550"/>
      <c r="G639" s="895"/>
      <c r="H639" s="550"/>
      <c r="I639" s="1025"/>
      <c r="J639" s="1069"/>
    </row>
    <row r="640" spans="1:10" ht="15.6" x14ac:dyDescent="0.3">
      <c r="A640" s="1086"/>
      <c r="B640" s="374"/>
      <c r="C640" s="928" t="s">
        <v>1990</v>
      </c>
      <c r="D640" s="374"/>
      <c r="E640" s="374"/>
      <c r="F640" s="374"/>
      <c r="G640" s="374"/>
      <c r="H640" s="929"/>
      <c r="I640" s="1071"/>
      <c r="J640" s="906"/>
    </row>
    <row r="641" spans="1:10" x14ac:dyDescent="0.3">
      <c r="A641" s="1028"/>
      <c r="B641" s="550"/>
      <c r="C641" s="550"/>
      <c r="D641" s="551"/>
      <c r="E641" s="1042"/>
      <c r="F641" s="550"/>
      <c r="G641" s="895"/>
      <c r="H641" s="550"/>
      <c r="I641" s="1025"/>
      <c r="J641" s="549"/>
    </row>
    <row r="642" spans="1:10" x14ac:dyDescent="0.3">
      <c r="A642" s="1086">
        <v>1</v>
      </c>
      <c r="B642" s="24" t="s">
        <v>23</v>
      </c>
      <c r="C642" s="24" t="s">
        <v>1338</v>
      </c>
      <c r="D642" s="22" t="s">
        <v>1729</v>
      </c>
      <c r="E642" s="1043">
        <v>41319</v>
      </c>
      <c r="F642" s="24" t="s">
        <v>1598</v>
      </c>
      <c r="G642" s="895"/>
      <c r="H642" s="550"/>
      <c r="I642" s="1025">
        <v>357.98</v>
      </c>
      <c r="J642" s="1085" t="str">
        <f>IF(ISBLANK(I642)," ",IF(ISTEXT(I642)," ",IF(I642&lt;=[2]Нормативы!$H$148,"КМС",IF(I642&lt;=[2]Нормативы!$H$149,"КМС",IF(I642&lt;=[2]Нормативы!$L$150,"КМС",IF(I642&lt;=[2]Нормативы!$L$151,"I",IF(I642&lt;=[2]Нормативы!$L$152,"II",IF(I642&lt;=[2]Нормативы!$L$153,"III",IF(I642&lt;=[2]Нормативы!$L$154,"I юн",IF(I642&lt;=[2]Нормативы!$L$155,"II юн",IF(I642&lt;=[2]Нормативы!$L$156,"III юн","б/р")))))))))))</f>
        <v>III</v>
      </c>
    </row>
    <row r="643" spans="1:10" s="948" customFormat="1" x14ac:dyDescent="0.3">
      <c r="A643" s="1086">
        <v>2</v>
      </c>
      <c r="B643" s="24" t="s">
        <v>24</v>
      </c>
      <c r="C643" s="24" t="s">
        <v>1924</v>
      </c>
      <c r="D643" s="22" t="s">
        <v>1768</v>
      </c>
      <c r="E643" s="1043">
        <v>41521</v>
      </c>
      <c r="F643" s="24" t="s">
        <v>1598</v>
      </c>
      <c r="G643" s="895"/>
      <c r="H643" s="550"/>
      <c r="I643" s="1025">
        <v>420.25</v>
      </c>
      <c r="J643" s="1085" t="str">
        <f>IF(ISBLANK(I643)," ",IF(ISTEXT(I643)," ",IF(I643&lt;=[2]Нормативы!$H$148,"КМС",IF(I643&lt;=[2]Нормативы!$H$149,"КМС",IF(I643&lt;=[2]Нормативы!$L$150,"КМС",IF(I643&lt;=[2]Нормативы!$L$151,"I",IF(I643&lt;=[2]Нормативы!$L$152,"II",IF(I643&lt;=[2]Нормативы!$L$153,"III",IF(I643&lt;=[2]Нормативы!$L$154,"I юн",IF(I643&lt;=[2]Нормативы!$L$155,"II юн",IF(I643&lt;=[2]Нормативы!$L$156,"III юн","б/р")))))))))))</f>
        <v>I юн</v>
      </c>
    </row>
    <row r="644" spans="1:10" x14ac:dyDescent="0.3">
      <c r="A644" s="1086">
        <v>3</v>
      </c>
      <c r="B644" s="24" t="s">
        <v>35</v>
      </c>
      <c r="C644" s="24" t="s">
        <v>1843</v>
      </c>
      <c r="D644" s="22" t="s">
        <v>1844</v>
      </c>
      <c r="E644" s="1043">
        <v>41143</v>
      </c>
      <c r="F644" s="24" t="s">
        <v>1834</v>
      </c>
      <c r="G644" s="895"/>
      <c r="H644" s="550"/>
      <c r="I644" s="1025">
        <v>431.14</v>
      </c>
      <c r="J644" s="1085" t="str">
        <f>IF(ISBLANK(I644)," ",IF(ISTEXT(I644)," ",IF(I644&lt;=[2]Нормативы!$H$148,"КМС",IF(I644&lt;=[2]Нормативы!$H$149,"КМС",IF(I644&lt;=[2]Нормативы!$L$150,"КМС",IF(I644&lt;=[2]Нормативы!$L$151,"I",IF(I644&lt;=[2]Нормативы!$L$152,"II",IF(I644&lt;=[2]Нормативы!$L$153,"III",IF(I644&lt;=[2]Нормативы!$L$154,"I юн",IF(I644&lt;=[2]Нормативы!$L$155,"II юн",IF(I644&lt;=[2]Нормативы!$L$156,"III юн","б/р")))))))))))</f>
        <v>I юн</v>
      </c>
    </row>
    <row r="645" spans="1:10" x14ac:dyDescent="0.3">
      <c r="A645" s="1086"/>
      <c r="B645" s="550"/>
      <c r="C645" s="550"/>
      <c r="D645" s="551"/>
      <c r="E645" s="1042"/>
      <c r="F645" s="550"/>
      <c r="G645" s="895"/>
      <c r="H645" s="550"/>
      <c r="I645" s="1025"/>
      <c r="J645" s="888"/>
    </row>
    <row r="646" spans="1:10" ht="15.6" x14ac:dyDescent="0.3">
      <c r="A646" s="1086"/>
      <c r="B646" s="374"/>
      <c r="C646" s="928" t="s">
        <v>1991</v>
      </c>
      <c r="D646" s="374"/>
      <c r="E646" s="374"/>
      <c r="F646" s="374"/>
      <c r="G646" s="374"/>
      <c r="H646" s="929"/>
      <c r="I646" s="1071"/>
      <c r="J646" s="906"/>
    </row>
    <row r="647" spans="1:10" x14ac:dyDescent="0.3">
      <c r="A647" s="1028"/>
      <c r="B647" s="550"/>
      <c r="C647" s="550"/>
      <c r="D647" s="551"/>
      <c r="E647" s="1042"/>
      <c r="F647" s="550"/>
      <c r="G647" s="895"/>
      <c r="H647" s="550"/>
      <c r="I647" s="1025"/>
      <c r="J647" s="549"/>
    </row>
    <row r="648" spans="1:10" x14ac:dyDescent="0.3">
      <c r="A648" s="1086">
        <v>1</v>
      </c>
      <c r="B648" s="550" t="s">
        <v>23</v>
      </c>
      <c r="C648" s="550" t="s">
        <v>1891</v>
      </c>
      <c r="D648" s="551" t="s">
        <v>1737</v>
      </c>
      <c r="E648" s="1042">
        <v>40372</v>
      </c>
      <c r="F648" s="550" t="s">
        <v>460</v>
      </c>
      <c r="G648" s="359"/>
      <c r="H648" s="359"/>
      <c r="I648" s="1025">
        <v>348.32</v>
      </c>
      <c r="J648" s="1085" t="str">
        <f>IF(ISBLANK(I648)," ",IF(ISTEXT(I648)," ",IF(I648&lt;=[2]Нормативы!$H$148,"КМС",IF(I648&lt;=[2]Нормативы!$H$149,"КМС",IF(I648&lt;=[2]Нормативы!$L$150,"КМС",IF(I648&lt;=[2]Нормативы!$L$151,"I",IF(I648&lt;=[2]Нормативы!$L$152,"II",IF(I648&lt;=[2]Нормативы!$L$153,"III",IF(I648&lt;=[2]Нормативы!$L$154,"I юн",IF(I648&lt;=[2]Нормативы!$L$155,"II юн",IF(I648&lt;=[2]Нормативы!$L$156,"III юн","б/р")))))))))))</f>
        <v>II</v>
      </c>
    </row>
    <row r="649" spans="1:10" x14ac:dyDescent="0.3">
      <c r="A649" s="1086"/>
      <c r="B649" s="550"/>
      <c r="C649" s="550"/>
      <c r="D649" s="551"/>
      <c r="E649" s="1042"/>
      <c r="F649" s="550"/>
      <c r="G649" s="895"/>
      <c r="H649" s="550"/>
      <c r="I649" s="1025"/>
      <c r="J649" s="885"/>
    </row>
    <row r="650" spans="1:10" ht="15.6" x14ac:dyDescent="0.3">
      <c r="A650" s="1028"/>
      <c r="B650" s="374"/>
      <c r="C650" s="928" t="s">
        <v>2038</v>
      </c>
      <c r="D650" s="374"/>
      <c r="E650" s="374"/>
      <c r="F650" s="374"/>
      <c r="G650" s="374"/>
      <c r="H650" s="929"/>
      <c r="I650" s="888"/>
      <c r="J650" s="549"/>
    </row>
    <row r="651" spans="1:10" x14ac:dyDescent="0.3">
      <c r="A651" s="1163"/>
      <c r="B651" s="361"/>
      <c r="C651" s="978"/>
      <c r="D651" s="364"/>
      <c r="E651" s="139"/>
      <c r="F651" s="364"/>
      <c r="G651" s="364"/>
      <c r="H651" s="979"/>
      <c r="I651" s="300"/>
      <c r="J651" s="549"/>
    </row>
    <row r="652" spans="1:10" x14ac:dyDescent="0.3">
      <c r="A652" s="1086">
        <v>1</v>
      </c>
      <c r="B652" s="550" t="s">
        <v>6</v>
      </c>
      <c r="C652" s="551" t="s">
        <v>1914</v>
      </c>
      <c r="D652" s="890" t="s">
        <v>1664</v>
      </c>
      <c r="E652" s="1042">
        <v>41296</v>
      </c>
      <c r="F652" s="550" t="s">
        <v>1598</v>
      </c>
      <c r="G652" s="895"/>
      <c r="H652" s="550"/>
      <c r="I652" s="1025">
        <v>20.96</v>
      </c>
      <c r="J652" s="1085" t="str">
        <f>IF(ISBLANK(I652)," ",IF(ISTEXT(I652)," ",IF(I652&lt;=[4]Нормативы!$H$5,"КМС",IF(I652&lt;=[4]Нормативы!$H$6,"КМС",IF(I652&lt;=[4]Нормативы!$L$7,"КМС",IF(I652&lt;=[4]Нормативы!$L$8,"I",IF(I652&lt;=[4]Нормативы!$L$9,"II",IF(I652&lt;=[4]Нормативы!$L$10,"III",IF(I652&lt;=[4]Нормативы!$L$11,"I юн",IF(I652&lt;=[4]Нормативы!$L$12,"II юн",IF(I652&lt;=[4]Нормативы!$L$13,"III юн",IF(ISTEXT(I652)," ",IF(ISBLANK(I652)," ","б/р")))))))))))))</f>
        <v>II</v>
      </c>
    </row>
    <row r="653" spans="1:10" x14ac:dyDescent="0.3">
      <c r="A653" s="1086">
        <v>2</v>
      </c>
      <c r="B653" s="550" t="s">
        <v>34</v>
      </c>
      <c r="C653" s="551" t="s">
        <v>1673</v>
      </c>
      <c r="D653" s="890" t="s">
        <v>1674</v>
      </c>
      <c r="E653" s="1042">
        <v>41526</v>
      </c>
      <c r="F653" s="550" t="s">
        <v>1381</v>
      </c>
      <c r="G653" s="895"/>
      <c r="H653" s="550"/>
      <c r="I653" s="1025">
        <v>21.25</v>
      </c>
      <c r="J653" s="1085" t="str">
        <f>IF(ISBLANK(I653)," ",IF(ISTEXT(I653)," ",IF(I653&lt;=[4]Нормативы!$H$5,"КМС",IF(I653&lt;=[4]Нормативы!$H$6,"КМС",IF(I653&lt;=[4]Нормативы!$L$7,"КМС",IF(I653&lt;=[4]Нормативы!$L$8,"I",IF(I653&lt;=[4]Нормативы!$L$9,"II",IF(I653&lt;=[4]Нормативы!$L$10,"III",IF(I653&lt;=[4]Нормативы!$L$11,"I юн",IF(I653&lt;=[4]Нормативы!$L$12,"II юн",IF(I653&lt;=[4]Нормативы!$L$13,"III юн",IF(ISTEXT(I653)," ",IF(ISBLANK(I653)," ","б/р")))))))))))))</f>
        <v>II</v>
      </c>
    </row>
    <row r="654" spans="1:10" x14ac:dyDescent="0.3">
      <c r="A654" s="1086">
        <v>3</v>
      </c>
      <c r="B654" s="550" t="s">
        <v>6</v>
      </c>
      <c r="C654" s="551" t="s">
        <v>1686</v>
      </c>
      <c r="D654" s="890" t="s">
        <v>1687</v>
      </c>
      <c r="E654" s="1042">
        <v>41302</v>
      </c>
      <c r="F654" s="550" t="s">
        <v>1654</v>
      </c>
      <c r="G654" s="895"/>
      <c r="H654" s="550"/>
      <c r="I654" s="1025">
        <v>21.9</v>
      </c>
      <c r="J654" s="1085" t="str">
        <f>IF(ISBLANK(I654)," ",IF(ISTEXT(I654)," ",IF(I654&lt;=[4]Нормативы!$H$5,"КМС",IF(I654&lt;=[4]Нормативы!$H$6,"КМС",IF(I654&lt;=[4]Нормативы!$L$7,"КМС",IF(I654&lt;=[4]Нормативы!$L$8,"I",IF(I654&lt;=[4]Нормативы!$L$9,"II",IF(I654&lt;=[4]Нормативы!$L$10,"III",IF(I654&lt;=[4]Нормативы!$L$11,"I юн",IF(I654&lt;=[4]Нормативы!$L$12,"II юн",IF(I654&lt;=[4]Нормативы!$L$13,"III юн",IF(ISTEXT(I654)," ",IF(ISBLANK(I654)," ","б/р")))))))))))))</f>
        <v>II</v>
      </c>
    </row>
    <row r="655" spans="1:10" x14ac:dyDescent="0.3">
      <c r="A655" s="1086">
        <v>4</v>
      </c>
      <c r="B655" s="550" t="s">
        <v>23</v>
      </c>
      <c r="C655" s="551" t="s">
        <v>1913</v>
      </c>
      <c r="D655" s="890" t="s">
        <v>1618</v>
      </c>
      <c r="E655" s="1042">
        <v>41626</v>
      </c>
      <c r="F655" s="550" t="s">
        <v>1598</v>
      </c>
      <c r="G655" s="895"/>
      <c r="H655" s="550"/>
      <c r="I655" s="1025">
        <v>22.75</v>
      </c>
      <c r="J655" s="1085" t="str">
        <f>IF(ISBLANK(I655)," ",IF(ISTEXT(I655)," ",IF(I655&lt;=[4]Нормативы!$H$5,"КМС",IF(I655&lt;=[4]Нормативы!$H$6,"КМС",IF(I655&lt;=[4]Нормативы!$L$7,"КМС",IF(I655&lt;=[4]Нормативы!$L$8,"I",IF(I655&lt;=[4]Нормативы!$L$9,"II",IF(I655&lt;=[4]Нормативы!$L$10,"III",IF(I655&lt;=[4]Нормативы!$L$11,"I юн",IF(I655&lt;=[4]Нормативы!$L$12,"II юн",IF(I655&lt;=[4]Нормативы!$L$13,"III юн",IF(ISTEXT(I655)," ",IF(ISBLANK(I655)," ","б/р")))))))))))))</f>
        <v>III</v>
      </c>
    </row>
    <row r="656" spans="1:10" x14ac:dyDescent="0.3">
      <c r="A656" s="1086"/>
      <c r="B656" s="550"/>
      <c r="C656" s="551"/>
      <c r="D656" s="890"/>
      <c r="E656" s="1042"/>
      <c r="F656" s="550"/>
      <c r="G656" s="895"/>
      <c r="H656" s="550"/>
      <c r="I656" s="1025"/>
      <c r="J656" s="549"/>
    </row>
    <row r="657" spans="1:10" ht="15.6" x14ac:dyDescent="0.3">
      <c r="A657" s="1028"/>
      <c r="B657" s="374"/>
      <c r="C657" s="928" t="s">
        <v>2039</v>
      </c>
      <c r="D657" s="374"/>
      <c r="E657" s="374"/>
      <c r="F657" s="374"/>
      <c r="G657" s="374"/>
      <c r="H657" s="929"/>
      <c r="I657" s="1071"/>
      <c r="J657" s="549"/>
    </row>
    <row r="658" spans="1:10" ht="15.6" x14ac:dyDescent="0.3">
      <c r="A658" s="1028"/>
      <c r="B658" s="374"/>
      <c r="C658" s="928"/>
      <c r="D658" s="374"/>
      <c r="E658" s="374"/>
      <c r="F658" s="374"/>
      <c r="G658" s="374"/>
      <c r="H658" s="929"/>
      <c r="I658" s="1071"/>
      <c r="J658" s="549"/>
    </row>
    <row r="659" spans="1:10" x14ac:dyDescent="0.3">
      <c r="A659" s="1086">
        <v>1</v>
      </c>
      <c r="B659" s="550" t="s">
        <v>34</v>
      </c>
      <c r="C659" s="551" t="s">
        <v>1935</v>
      </c>
      <c r="D659" s="890" t="s">
        <v>1611</v>
      </c>
      <c r="E659" s="1042">
        <v>40673</v>
      </c>
      <c r="F659" s="550" t="s">
        <v>1598</v>
      </c>
      <c r="G659" s="895"/>
      <c r="H659" s="550"/>
      <c r="I659" s="1025">
        <v>21.57</v>
      </c>
      <c r="J659" s="1085" t="str">
        <f>IF(ISBLANK(I659)," ",IF(ISTEXT(I659)," ",IF(I659&lt;=[4]Нормативы!$H$5,"КМС",IF(I659&lt;=[4]Нормативы!$H$6,"КМС",IF(I659&lt;=[4]Нормативы!$L$7,"КМС",IF(I659&lt;=[4]Нормативы!$L$8,"I",IF(I659&lt;=[4]Нормативы!$L$9,"II",IF(I659&lt;=[4]Нормативы!$L$10,"III",IF(I659&lt;=[4]Нормативы!$L$11,"I юн",IF(I659&lt;=[4]Нормативы!$L$12,"II юн",IF(I659&lt;=[4]Нормативы!$L$13,"III юн",IF(ISTEXT(I659)," ",IF(ISBLANK(I659)," ","б/р")))))))))))))</f>
        <v>II</v>
      </c>
    </row>
    <row r="660" spans="1:10" x14ac:dyDescent="0.3">
      <c r="A660" s="1086">
        <v>2</v>
      </c>
      <c r="B660" s="550" t="s">
        <v>6</v>
      </c>
      <c r="C660" s="551" t="s">
        <v>1700</v>
      </c>
      <c r="D660" s="890" t="s">
        <v>1595</v>
      </c>
      <c r="E660" s="1042">
        <v>40021</v>
      </c>
      <c r="F660" s="550" t="s">
        <v>1381</v>
      </c>
      <c r="G660" s="895"/>
      <c r="H660" s="550"/>
      <c r="I660" s="1025">
        <v>21.87</v>
      </c>
      <c r="J660" s="1085" t="str">
        <f>IF(ISBLANK(I660)," ",IF(ISTEXT(I660)," ",IF(I660&lt;=[4]Нормативы!$H$5,"КМС",IF(I660&lt;=[4]Нормативы!$H$6,"КМС",IF(I660&lt;=[4]Нормативы!$L$7,"КМС",IF(I660&lt;=[4]Нормативы!$L$8,"I",IF(I660&lt;=[4]Нормативы!$L$9,"II",IF(I660&lt;=[4]Нормативы!$L$10,"III",IF(I660&lt;=[4]Нормативы!$L$11,"I юн",IF(I660&lt;=[4]Нормативы!$L$12,"II юн",IF(I660&lt;=[4]Нормативы!$L$13,"III юн",IF(ISTEXT(I660)," ",IF(ISBLANK(I660)," ","б/р")))))))))))))</f>
        <v>II</v>
      </c>
    </row>
    <row r="661" spans="1:10" x14ac:dyDescent="0.3">
      <c r="A661" s="1086">
        <v>3</v>
      </c>
      <c r="B661" s="550" t="s">
        <v>6</v>
      </c>
      <c r="C661" s="551" t="s">
        <v>1717</v>
      </c>
      <c r="D661" s="890" t="s">
        <v>1618</v>
      </c>
      <c r="E661" s="1042">
        <v>40297</v>
      </c>
      <c r="F661" s="550" t="s">
        <v>1452</v>
      </c>
      <c r="G661" s="895"/>
      <c r="H661" s="550"/>
      <c r="I661" s="1025">
        <v>22.1</v>
      </c>
      <c r="J661" s="1085" t="str">
        <f>IF(ISBLANK(I661)," ",IF(ISTEXT(I661)," ",IF(I661&lt;=[4]Нормативы!$H$5,"КМС",IF(I661&lt;=[4]Нормативы!$H$6,"КМС",IF(I661&lt;=[4]Нормативы!$L$7,"КМС",IF(I661&lt;=[4]Нормативы!$L$8,"I",IF(I661&lt;=[4]Нормативы!$L$9,"II",IF(I661&lt;=[4]Нормативы!$L$10,"III",IF(I661&lt;=[4]Нормативы!$L$11,"I юн",IF(I661&lt;=[4]Нормативы!$L$12,"II юн",IF(I661&lt;=[4]Нормативы!$L$13,"III юн",IF(ISTEXT(I661)," ",IF(ISBLANK(I661)," ","б/р")))))))))))))</f>
        <v>II</v>
      </c>
    </row>
    <row r="662" spans="1:10" x14ac:dyDescent="0.3">
      <c r="A662" s="1086">
        <v>4</v>
      </c>
      <c r="B662" s="550" t="s">
        <v>24</v>
      </c>
      <c r="C662" s="551" t="s">
        <v>1696</v>
      </c>
      <c r="D662" s="890" t="s">
        <v>1620</v>
      </c>
      <c r="E662" s="1042">
        <v>40849</v>
      </c>
      <c r="F662" s="550" t="s">
        <v>460</v>
      </c>
      <c r="G662" s="895"/>
      <c r="H662" s="550"/>
      <c r="I662" s="1025">
        <v>26.69</v>
      </c>
      <c r="J662" s="1085" t="str">
        <f>IF(ISBLANK(I662)," ",IF(ISTEXT(I662)," ",IF(I662&lt;=[4]Нормативы!$H$5,"КМС",IF(I662&lt;=[4]Нормативы!$H$6,"КМС",IF(I662&lt;=[4]Нормативы!$L$7,"КМС",IF(I662&lt;=[4]Нормативы!$L$8,"I",IF(I662&lt;=[4]Нормативы!$L$9,"II",IF(I662&lt;=[4]Нормативы!$L$10,"III",IF(I662&lt;=[4]Нормативы!$L$11,"I юн",IF(I662&lt;=[4]Нормативы!$L$12,"II юн",IF(I662&lt;=[4]Нормативы!$L$13,"III юн",IF(ISTEXT(I662)," ",IF(ISBLANK(I662)," ","б/р")))))))))))))</f>
        <v>I юн</v>
      </c>
    </row>
    <row r="663" spans="1:10" x14ac:dyDescent="0.3">
      <c r="A663" s="1086">
        <v>5</v>
      </c>
      <c r="B663" s="550" t="s">
        <v>24</v>
      </c>
      <c r="C663" s="551" t="s">
        <v>1403</v>
      </c>
      <c r="D663" s="890" t="s">
        <v>1695</v>
      </c>
      <c r="E663" s="1042">
        <v>40801</v>
      </c>
      <c r="F663" s="550" t="s">
        <v>1381</v>
      </c>
      <c r="G663" s="895"/>
      <c r="H663" s="550"/>
      <c r="I663" s="1025">
        <v>26.82</v>
      </c>
      <c r="J663" s="1085" t="str">
        <f>IF(ISBLANK(I663)," ",IF(ISTEXT(I663)," ",IF(I663&lt;=[4]Нормативы!$H$5,"КМС",IF(I663&lt;=[4]Нормативы!$H$6,"КМС",IF(I663&lt;=[4]Нормативы!$L$7,"КМС",IF(I663&lt;=[4]Нормативы!$L$8,"I",IF(I663&lt;=[4]Нормативы!$L$9,"II",IF(I663&lt;=[4]Нормативы!$L$10,"III",IF(I663&lt;=[4]Нормативы!$L$11,"I юн",IF(I663&lt;=[4]Нормативы!$L$12,"II юн",IF(I663&lt;=[4]Нормативы!$L$13,"III юн",IF(ISTEXT(I663)," ",IF(ISBLANK(I663)," ","б/р")))))))))))))</f>
        <v>II юн</v>
      </c>
    </row>
    <row r="664" spans="1:10" x14ac:dyDescent="0.3">
      <c r="A664" s="1086"/>
      <c r="B664" s="1066"/>
      <c r="C664" s="989"/>
      <c r="D664" s="361"/>
      <c r="E664" s="990"/>
      <c r="F664" s="991"/>
      <c r="G664" s="361"/>
      <c r="H664" s="991"/>
      <c r="I664" s="550"/>
      <c r="J664" s="549"/>
    </row>
    <row r="665" spans="1:10" ht="15.6" x14ac:dyDescent="0.3">
      <c r="A665" s="1028"/>
      <c r="B665" s="374"/>
      <c r="C665" s="928" t="s">
        <v>2042</v>
      </c>
      <c r="D665" s="374"/>
      <c r="E665" s="374"/>
      <c r="F665" s="374"/>
      <c r="G665" s="374"/>
      <c r="H665" s="929"/>
      <c r="I665" s="1025"/>
      <c r="J665" s="885"/>
    </row>
    <row r="666" spans="1:10" x14ac:dyDescent="0.3">
      <c r="A666" s="1161"/>
      <c r="B666" s="880"/>
      <c r="C666" s="880"/>
      <c r="D666" s="880"/>
      <c r="E666" s="880"/>
      <c r="F666" s="880"/>
      <c r="G666" s="880"/>
      <c r="H666" s="880"/>
      <c r="I666" s="1070"/>
      <c r="J666" s="885"/>
    </row>
    <row r="667" spans="1:10" x14ac:dyDescent="0.3">
      <c r="A667" s="1086">
        <v>1</v>
      </c>
      <c r="B667" s="550" t="s">
        <v>23</v>
      </c>
      <c r="C667" s="550" t="s">
        <v>1853</v>
      </c>
      <c r="D667" s="551" t="s">
        <v>1729</v>
      </c>
      <c r="E667" s="1042">
        <v>41127</v>
      </c>
      <c r="F667" s="550" t="s">
        <v>1654</v>
      </c>
      <c r="G667" s="895"/>
      <c r="H667" s="550"/>
      <c r="I667" s="1025">
        <v>18.87</v>
      </c>
      <c r="J667" s="1085" t="str">
        <f>IF(ISBLANK(I667)," ",IF(ISTEXT(I667)," ",IF(I667&lt;=[4]Нормативы!$H$16,"КМС",IF(I667&lt;=[4]Нормативы!$H$17,"КМС",IF(I667&lt;=[4]Нормативы!$L$18,"КМС",IF(I667&lt;=[4]Нормативы!$L$19,"I",IF(I667&lt;=[4]Нормативы!$L$20,"II",IF(I667&lt;=[4]Нормативы!$L$21,"III",IF(I667&lt;=[4]Нормативы!$L$22,"I юн",IF(I667&lt;=[4]Нормативы!$L$23,"II юн",IF(I667&lt;=[4]Нормативы!$L$24,"III юн","б/р")))))))))))</f>
        <v>II</v>
      </c>
    </row>
    <row r="668" spans="1:10" x14ac:dyDescent="0.3">
      <c r="A668" s="1086">
        <v>2</v>
      </c>
      <c r="B668" s="550" t="s">
        <v>6</v>
      </c>
      <c r="C668" s="550" t="s">
        <v>1855</v>
      </c>
      <c r="D668" s="551" t="s">
        <v>1856</v>
      </c>
      <c r="E668" s="1042">
        <v>41022</v>
      </c>
      <c r="F668" s="550" t="s">
        <v>1834</v>
      </c>
      <c r="G668" s="895"/>
      <c r="H668" s="550"/>
      <c r="I668" s="1025">
        <v>19.54</v>
      </c>
      <c r="J668" s="1085" t="str">
        <f>IF(ISBLANK(I668)," ",IF(ISTEXT(I668)," ",IF(I668&lt;=[4]Нормативы!$H$16,"КМС",IF(I668&lt;=[4]Нормативы!$H$17,"КМС",IF(I668&lt;=[4]Нормативы!$L$18,"КМС",IF(I668&lt;=[4]Нормативы!$L$19,"I",IF(I668&lt;=[4]Нормативы!$L$20,"II",IF(I668&lt;=[4]Нормативы!$L$21,"III",IF(I668&lt;=[4]Нормативы!$L$22,"I юн",IF(I668&lt;=[4]Нормативы!$L$23,"II юн",IF(I668&lt;=[4]Нормативы!$L$24,"III юн","б/р")))))))))))</f>
        <v>II</v>
      </c>
    </row>
    <row r="669" spans="1:10" x14ac:dyDescent="0.3">
      <c r="A669" s="1086">
        <v>3</v>
      </c>
      <c r="B669" s="550" t="s">
        <v>6</v>
      </c>
      <c r="C669" s="550" t="s">
        <v>1854</v>
      </c>
      <c r="D669" s="551" t="s">
        <v>1742</v>
      </c>
      <c r="E669" s="1042">
        <v>41038</v>
      </c>
      <c r="F669" s="550" t="s">
        <v>1450</v>
      </c>
      <c r="G669" s="895"/>
      <c r="H669" s="550"/>
      <c r="I669" s="1025">
        <v>20.010000000000002</v>
      </c>
      <c r="J669" s="1085" t="str">
        <f>IF(ISBLANK(I669)," ",IF(ISTEXT(I669)," ",IF(I669&lt;=[4]Нормативы!$H$16,"КМС",IF(I669&lt;=[4]Нормативы!$H$17,"КМС",IF(I669&lt;=[4]Нормативы!$L$18,"КМС",IF(I669&lt;=[4]Нормативы!$L$19,"I",IF(I669&lt;=[4]Нормативы!$L$20,"II",IF(I669&lt;=[4]Нормативы!$L$21,"III",IF(I669&lt;=[4]Нормативы!$L$22,"I юн",IF(I669&lt;=[4]Нормативы!$L$23,"II юн",IF(I669&lt;=[4]Нормативы!$L$24,"III юн","б/р")))))))))))</f>
        <v>III</v>
      </c>
    </row>
    <row r="670" spans="1:10" x14ac:dyDescent="0.3">
      <c r="A670" s="1086">
        <v>4</v>
      </c>
      <c r="B670" s="550" t="s">
        <v>23</v>
      </c>
      <c r="C670" s="550" t="s">
        <v>1850</v>
      </c>
      <c r="D670" s="551" t="s">
        <v>1851</v>
      </c>
      <c r="E670" s="1042">
        <v>40927</v>
      </c>
      <c r="F670" s="550" t="s">
        <v>1834</v>
      </c>
      <c r="G670" s="895"/>
      <c r="H670" s="550"/>
      <c r="I670" s="1025">
        <v>20.94</v>
      </c>
      <c r="J670" s="1085" t="str">
        <f>IF(ISBLANK(I670)," ",IF(ISTEXT(I670)," ",IF(I670&lt;=[4]Нормативы!$H$16,"КМС",IF(I670&lt;=[4]Нормативы!$H$17,"КМС",IF(I670&lt;=[4]Нормативы!$L$18,"КМС",IF(I670&lt;=[4]Нормативы!$L$19,"I",IF(I670&lt;=[4]Нормативы!$L$20,"II",IF(I670&lt;=[4]Нормативы!$L$21,"III",IF(I670&lt;=[4]Нормативы!$L$22,"I юн",IF(I670&lt;=[4]Нормативы!$L$23,"II юн",IF(I670&lt;=[4]Нормативы!$L$24,"III юн","б/р")))))))))))</f>
        <v>III</v>
      </c>
    </row>
    <row r="671" spans="1:10" x14ac:dyDescent="0.3">
      <c r="A671" s="1086">
        <v>5</v>
      </c>
      <c r="B671" s="550" t="s">
        <v>24</v>
      </c>
      <c r="C671" s="550" t="s">
        <v>1925</v>
      </c>
      <c r="D671" s="551" t="s">
        <v>1807</v>
      </c>
      <c r="E671" s="1042">
        <v>41066</v>
      </c>
      <c r="F671" s="550" t="s">
        <v>1598</v>
      </c>
      <c r="G671" s="895"/>
      <c r="H671" s="550"/>
      <c r="I671" s="1025">
        <v>22.94</v>
      </c>
      <c r="J671" s="1085" t="str">
        <f>IF(ISBLANK(I671)," ",IF(ISTEXT(I671)," ",IF(I671&lt;=[4]Нормативы!$H$16,"КМС",IF(I671&lt;=[4]Нормативы!$H$17,"КМС",IF(I671&lt;=[4]Нормативы!$L$18,"КМС",IF(I671&lt;=[4]Нормативы!$L$19,"I",IF(I671&lt;=[4]Нормативы!$L$20,"II",IF(I671&lt;=[4]Нормативы!$L$21,"III",IF(I671&lt;=[4]Нормативы!$L$22,"I юн",IF(I671&lt;=[4]Нормативы!$L$23,"II юн",IF(I671&lt;=[4]Нормативы!$L$24,"III юн","б/р")))))))))))</f>
        <v>I юн</v>
      </c>
    </row>
    <row r="672" spans="1:10" x14ac:dyDescent="0.3">
      <c r="A672" s="1086">
        <v>6</v>
      </c>
      <c r="B672" s="550" t="s">
        <v>24</v>
      </c>
      <c r="C672" s="550" t="s">
        <v>1924</v>
      </c>
      <c r="D672" s="551" t="s">
        <v>1768</v>
      </c>
      <c r="E672" s="1042">
        <v>41521</v>
      </c>
      <c r="F672" s="550" t="s">
        <v>1598</v>
      </c>
      <c r="G672" s="895"/>
      <c r="H672" s="550"/>
      <c r="I672" s="1025">
        <v>23.14</v>
      </c>
      <c r="J672" s="1085" t="str">
        <f>IF(ISBLANK(I672)," ",IF(ISTEXT(I672)," ",IF(I672&lt;=[4]Нормативы!$H$16,"КМС",IF(I672&lt;=[4]Нормативы!$H$17,"КМС",IF(I672&lt;=[4]Нормативы!$L$18,"КМС",IF(I672&lt;=[4]Нормативы!$L$19,"I",IF(I672&lt;=[4]Нормативы!$L$20,"II",IF(I672&lt;=[4]Нормативы!$L$21,"III",IF(I672&lt;=[4]Нормативы!$L$22,"I юн",IF(I672&lt;=[4]Нормативы!$L$23,"II юн",IF(I672&lt;=[4]Нормативы!$L$24,"III юн","б/р")))))))))))</f>
        <v>I юн</v>
      </c>
    </row>
    <row r="673" spans="1:10" x14ac:dyDescent="0.3">
      <c r="A673" s="1086">
        <v>7</v>
      </c>
      <c r="B673" s="550" t="s">
        <v>35</v>
      </c>
      <c r="C673" s="550" t="s">
        <v>1845</v>
      </c>
      <c r="D673" s="551" t="s">
        <v>1750</v>
      </c>
      <c r="E673" s="1042">
        <v>41305</v>
      </c>
      <c r="F673" s="550" t="s">
        <v>1598</v>
      </c>
      <c r="G673" s="895"/>
      <c r="H673" s="550"/>
      <c r="I673" s="1025">
        <v>23.45</v>
      </c>
      <c r="J673" s="1085" t="str">
        <f>IF(ISBLANK(I673)," ",IF(ISTEXT(I673)," ",IF(I673&lt;=[4]Нормативы!$H$16,"КМС",IF(I673&lt;=[4]Нормативы!$H$17,"КМС",IF(I673&lt;=[4]Нормативы!$L$18,"КМС",IF(I673&lt;=[4]Нормативы!$L$19,"I",IF(I673&lt;=[4]Нормативы!$L$20,"II",IF(I673&lt;=[4]Нормативы!$L$21,"III",IF(I673&lt;=[4]Нормативы!$L$22,"I юн",IF(I673&lt;=[4]Нормативы!$L$23,"II юн",IF(I673&lt;=[4]Нормативы!$L$24,"III юн","б/р")))))))))))</f>
        <v>I юн</v>
      </c>
    </row>
    <row r="674" spans="1:10" x14ac:dyDescent="0.3">
      <c r="A674" s="1086">
        <v>8</v>
      </c>
      <c r="B674" s="550" t="s">
        <v>35</v>
      </c>
      <c r="C674" s="550" t="s">
        <v>1843</v>
      </c>
      <c r="D674" s="551" t="s">
        <v>1844</v>
      </c>
      <c r="E674" s="1042">
        <v>41143</v>
      </c>
      <c r="F674" s="550" t="s">
        <v>1834</v>
      </c>
      <c r="G674" s="895"/>
      <c r="H674" s="550"/>
      <c r="I674" s="1025">
        <v>23.98</v>
      </c>
      <c r="J674" s="1085" t="str">
        <f>IF(ISBLANK(I674)," ",IF(ISTEXT(I674)," ",IF(I674&lt;=[4]Нормативы!$H$16,"КМС",IF(I674&lt;=[4]Нормативы!$H$17,"КМС",IF(I674&lt;=[4]Нормативы!$L$18,"КМС",IF(I674&lt;=[4]Нормативы!$L$19,"I",IF(I674&lt;=[4]Нормативы!$L$20,"II",IF(I674&lt;=[4]Нормативы!$L$21,"III",IF(I674&lt;=[4]Нормативы!$L$22,"I юн",IF(I674&lt;=[4]Нормативы!$L$23,"II юн",IF(I674&lt;=[4]Нормативы!$L$24,"III юн","б/р")))))))))))</f>
        <v>II юн</v>
      </c>
    </row>
    <row r="675" spans="1:10" x14ac:dyDescent="0.3">
      <c r="A675" s="1086">
        <v>9</v>
      </c>
      <c r="B675" s="550" t="s">
        <v>35</v>
      </c>
      <c r="C675" s="1079" t="s">
        <v>1358</v>
      </c>
      <c r="D675" s="1123" t="s">
        <v>1946</v>
      </c>
      <c r="E675" s="1080">
        <v>41059</v>
      </c>
      <c r="F675" s="550" t="s">
        <v>1450</v>
      </c>
      <c r="G675" s="880"/>
      <c r="H675" s="880"/>
      <c r="I675" s="1028">
        <v>24.63</v>
      </c>
      <c r="J675" s="1085" t="str">
        <f>IF(ISBLANK(I675)," ",IF(ISTEXT(I675)," ",IF(I675&lt;=[4]Нормативы!$H$16,"КМС",IF(I675&lt;=[4]Нормативы!$H$17,"КМС",IF(I675&lt;=[4]Нормативы!$L$18,"КМС",IF(I675&lt;=[4]Нормативы!$L$19,"I",IF(I675&lt;=[4]Нормативы!$L$20,"II",IF(I675&lt;=[4]Нормативы!$L$21,"III",IF(I675&lt;=[4]Нормативы!$L$22,"I юн",IF(I675&lt;=[4]Нормативы!$L$23,"II юн",IF(I675&lt;=[4]Нормативы!$L$24,"III юн","б/р")))))))))))</f>
        <v>II юн</v>
      </c>
    </row>
    <row r="676" spans="1:10" x14ac:dyDescent="0.3">
      <c r="A676" s="1086">
        <v>10</v>
      </c>
      <c r="B676" s="550" t="s">
        <v>35</v>
      </c>
      <c r="C676" s="550" t="s">
        <v>1828</v>
      </c>
      <c r="D676" s="551" t="s">
        <v>1750</v>
      </c>
      <c r="E676" s="1042">
        <v>41452</v>
      </c>
      <c r="F676" s="550" t="s">
        <v>1381</v>
      </c>
      <c r="G676" s="895"/>
      <c r="H676" s="550"/>
      <c r="I676" s="1025">
        <v>25.14</v>
      </c>
      <c r="J676" s="1085" t="str">
        <f>IF(ISBLANK(I676)," ",IF(ISTEXT(I676)," ",IF(I676&lt;=[4]Нормативы!$H$16,"КМС",IF(I676&lt;=[4]Нормативы!$H$17,"КМС",IF(I676&lt;=[4]Нормативы!$L$18,"КМС",IF(I676&lt;=[4]Нормативы!$L$19,"I",IF(I676&lt;=[4]Нормативы!$L$20,"II",IF(I676&lt;=[4]Нормативы!$L$21,"III",IF(I676&lt;=[4]Нормативы!$L$22,"I юн",IF(I676&lt;=[4]Нормативы!$L$23,"II юн",IF(I676&lt;=[4]Нормативы!$L$24,"III юн","б/р")))))))))))</f>
        <v>II юн</v>
      </c>
    </row>
    <row r="677" spans="1:10" x14ac:dyDescent="0.3">
      <c r="A677" s="1086">
        <v>11</v>
      </c>
      <c r="B677" s="550" t="s">
        <v>35</v>
      </c>
      <c r="C677" s="550" t="s">
        <v>1832</v>
      </c>
      <c r="D677" s="551" t="s">
        <v>1833</v>
      </c>
      <c r="E677" s="1042">
        <v>41103</v>
      </c>
      <c r="F677" s="550" t="s">
        <v>1834</v>
      </c>
      <c r="G677" s="895"/>
      <c r="H677" s="550"/>
      <c r="I677" s="1025">
        <v>25.75</v>
      </c>
      <c r="J677" s="1085" t="str">
        <f>IF(ISBLANK(I677)," ",IF(ISTEXT(I677)," ",IF(I677&lt;=[4]Нормативы!$H$16,"КМС",IF(I677&lt;=[4]Нормативы!$H$17,"КМС",IF(I677&lt;=[4]Нормативы!$L$18,"КМС",IF(I677&lt;=[4]Нормативы!$L$19,"I",IF(I677&lt;=[4]Нормативы!$L$20,"II",IF(I677&lt;=[4]Нормативы!$L$21,"III",IF(I677&lt;=[4]Нормативы!$L$22,"I юн",IF(I677&lt;=[4]Нормативы!$L$23,"II юн",IF(I677&lt;=[4]Нормативы!$L$24,"III юн","б/р")))))))))))</f>
        <v>II юн</v>
      </c>
    </row>
    <row r="678" spans="1:10" x14ac:dyDescent="0.3">
      <c r="A678" s="1086">
        <v>12</v>
      </c>
      <c r="B678" s="550" t="s">
        <v>35</v>
      </c>
      <c r="C678" s="550" t="s">
        <v>1841</v>
      </c>
      <c r="D678" s="551" t="s">
        <v>1735</v>
      </c>
      <c r="E678" s="1042">
        <v>41109</v>
      </c>
      <c r="F678" s="550" t="s">
        <v>1450</v>
      </c>
      <c r="G678" s="895"/>
      <c r="H678" s="550"/>
      <c r="I678" s="1025">
        <v>26.1</v>
      </c>
      <c r="J678" s="1085" t="str">
        <f>IF(ISBLANK(I678)," ",IF(ISTEXT(I678)," ",IF(I678&lt;=[4]Нормативы!$H$16,"КМС",IF(I678&lt;=[4]Нормативы!$H$17,"КМС",IF(I678&lt;=[4]Нормативы!$L$18,"КМС",IF(I678&lt;=[4]Нормативы!$L$19,"I",IF(I678&lt;=[4]Нормативы!$L$20,"II",IF(I678&lt;=[4]Нормативы!$L$21,"III",IF(I678&lt;=[4]Нормативы!$L$22,"I юн",IF(I678&lt;=[4]Нормативы!$L$23,"II юн",IF(I678&lt;=[4]Нормативы!$L$24,"III юн","б/р")))))))))))</f>
        <v>III юн</v>
      </c>
    </row>
    <row r="679" spans="1:10" x14ac:dyDescent="0.3">
      <c r="A679" s="1086">
        <v>13</v>
      </c>
      <c r="B679" s="550" t="s">
        <v>35</v>
      </c>
      <c r="C679" s="550" t="s">
        <v>1835</v>
      </c>
      <c r="D679" s="551" t="s">
        <v>1739</v>
      </c>
      <c r="E679" s="1042">
        <v>41375</v>
      </c>
      <c r="F679" s="550" t="s">
        <v>1834</v>
      </c>
      <c r="G679" s="895"/>
      <c r="H679" s="550"/>
      <c r="I679" s="1025">
        <v>26.18</v>
      </c>
      <c r="J679" s="1085" t="str">
        <f>IF(ISBLANK(I679)," ",IF(ISTEXT(I679)," ",IF(I679&lt;=[4]Нормативы!$H$16,"КМС",IF(I679&lt;=[4]Нормативы!$H$17,"КМС",IF(I679&lt;=[4]Нормативы!$L$18,"КМС",IF(I679&lt;=[4]Нормативы!$L$19,"I",IF(I679&lt;=[4]Нормативы!$L$20,"II",IF(I679&lt;=[4]Нормативы!$L$21,"III",IF(I679&lt;=[4]Нормативы!$L$22,"I юн",IF(I679&lt;=[4]Нормативы!$L$23,"II юн",IF(I679&lt;=[4]Нормативы!$L$24,"III юн","б/р")))))))))))</f>
        <v>III юн</v>
      </c>
    </row>
    <row r="680" spans="1:10" x14ac:dyDescent="0.3">
      <c r="A680" s="1086">
        <v>14</v>
      </c>
      <c r="B680" s="550" t="s">
        <v>35</v>
      </c>
      <c r="C680" s="550" t="s">
        <v>1829</v>
      </c>
      <c r="D680" s="551" t="s">
        <v>1830</v>
      </c>
      <c r="E680" s="1042">
        <v>41166</v>
      </c>
      <c r="F680" s="550" t="s">
        <v>1598</v>
      </c>
      <c r="G680" s="895"/>
      <c r="H680" s="550"/>
      <c r="I680" s="1025">
        <v>26.57</v>
      </c>
      <c r="J680" s="1085" t="str">
        <f>IF(ISBLANK(I680)," ",IF(ISTEXT(I680)," ",IF(I680&lt;=[4]Нормативы!$H$16,"КМС",IF(I680&lt;=[4]Нормативы!$H$17,"КМС",IF(I680&lt;=[4]Нормативы!$L$18,"КМС",IF(I680&lt;=[4]Нормативы!$L$19,"I",IF(I680&lt;=[4]Нормативы!$L$20,"II",IF(I680&lt;=[4]Нормативы!$L$21,"III",IF(I680&lt;=[4]Нормативы!$L$22,"I юн",IF(I680&lt;=[4]Нормативы!$L$23,"II юн",IF(I680&lt;=[4]Нормативы!$L$24,"III юн","б/р")))))))))))</f>
        <v>III юн</v>
      </c>
    </row>
    <row r="681" spans="1:10" x14ac:dyDescent="0.3">
      <c r="A681" s="1086"/>
      <c r="B681" s="550"/>
      <c r="C681" s="550"/>
      <c r="D681" s="551"/>
      <c r="E681" s="1042"/>
      <c r="F681" s="550"/>
      <c r="G681" s="895"/>
      <c r="H681" s="550"/>
      <c r="I681" s="885"/>
      <c r="J681" s="885"/>
    </row>
    <row r="682" spans="1:10" ht="15.6" x14ac:dyDescent="0.3">
      <c r="A682" s="1028"/>
      <c r="B682" s="374"/>
      <c r="C682" s="928" t="s">
        <v>2043</v>
      </c>
      <c r="D682" s="374"/>
      <c r="E682" s="374"/>
      <c r="F682" s="374"/>
      <c r="G682" s="374"/>
      <c r="H682" s="929"/>
      <c r="I682" s="1044"/>
      <c r="J682" s="885"/>
    </row>
    <row r="683" spans="1:10" x14ac:dyDescent="0.3">
      <c r="A683" s="1086"/>
      <c r="B683" s="891"/>
      <c r="C683" s="551"/>
      <c r="D683" s="880"/>
      <c r="E683" s="963"/>
      <c r="F683" s="550"/>
      <c r="G683" s="550"/>
      <c r="H683" s="1120"/>
      <c r="I683" s="885"/>
      <c r="J683" s="878"/>
    </row>
    <row r="684" spans="1:10" x14ac:dyDescent="0.3">
      <c r="A684" s="1086">
        <v>1</v>
      </c>
      <c r="B684" s="550" t="s">
        <v>34</v>
      </c>
      <c r="C684" s="550" t="s">
        <v>1904</v>
      </c>
      <c r="D684" s="551" t="s">
        <v>1723</v>
      </c>
      <c r="E684" s="1042" t="s">
        <v>1905</v>
      </c>
      <c r="F684" s="550" t="s">
        <v>460</v>
      </c>
      <c r="G684" s="895"/>
      <c r="H684" s="550"/>
      <c r="I684" s="1025">
        <v>17.82</v>
      </c>
      <c r="J684" s="1085" t="str">
        <f>IF(ISBLANK(I684)," ",IF(ISTEXT(I684)," ",IF(I684&lt;=[4]Нормативы!$H$16,"КМС",IF(I684&lt;=[4]Нормативы!$H$17,"КМС",IF(I684&lt;=[4]Нормативы!$L$18,"КМС",IF(I684&lt;=[4]Нормативы!$L$19,"I",IF(I684&lt;=[4]Нормативы!$L$20,"II",IF(I684&lt;=[4]Нормативы!$L$21,"III",IF(I684&lt;=[4]Нормативы!$L$22,"I юн",IF(I684&lt;=[4]Нормативы!$L$23,"II юн",IF(I684&lt;=[4]Нормативы!$L$24,"III юн","б/р")))))))))))</f>
        <v>I</v>
      </c>
    </row>
    <row r="685" spans="1:10" x14ac:dyDescent="0.3">
      <c r="A685" s="1086">
        <v>2</v>
      </c>
      <c r="B685" s="878" t="s">
        <v>34</v>
      </c>
      <c r="C685" s="878" t="s">
        <v>1932</v>
      </c>
      <c r="D685" s="878" t="s">
        <v>1768</v>
      </c>
      <c r="E685" s="1055">
        <v>39876</v>
      </c>
      <c r="F685" s="878" t="s">
        <v>1250</v>
      </c>
      <c r="G685" s="878"/>
      <c r="H685" s="878"/>
      <c r="I685" s="1025">
        <v>18.13</v>
      </c>
      <c r="J685" s="1085" t="str">
        <f>IF(ISBLANK(I685)," ",IF(ISTEXT(I685)," ",IF(I685&lt;=[4]Нормативы!$H$16,"КМС",IF(I685&lt;=[4]Нормативы!$H$17,"КМС",IF(I685&lt;=[4]Нормативы!$L$18,"КМС",IF(I685&lt;=[4]Нормативы!$L$19,"I",IF(I685&lt;=[4]Нормативы!$L$20,"II",IF(I685&lt;=[4]Нормативы!$L$21,"III",IF(I685&lt;=[4]Нормативы!$L$22,"I юн",IF(I685&lt;=[4]Нормативы!$L$23,"II юн",IF(I685&lt;=[4]Нормативы!$L$24,"III юн","б/р")))))))))))</f>
        <v>I</v>
      </c>
    </row>
    <row r="686" spans="1:10" x14ac:dyDescent="0.3">
      <c r="A686" s="1086">
        <v>3</v>
      </c>
      <c r="B686" s="550" t="s">
        <v>6</v>
      </c>
      <c r="C686" s="550" t="s">
        <v>1894</v>
      </c>
      <c r="D686" s="551" t="s">
        <v>1792</v>
      </c>
      <c r="E686" s="1042">
        <v>39806</v>
      </c>
      <c r="F686" s="550" t="s">
        <v>1654</v>
      </c>
      <c r="G686" s="895"/>
      <c r="H686" s="550"/>
      <c r="I686" s="1025">
        <v>19.2</v>
      </c>
      <c r="J686" s="1085" t="str">
        <f>IF(ISBLANK(I686)," ",IF(ISTEXT(I686)," ",IF(I686&lt;=[4]Нормативы!$H$16,"КМС",IF(I686&lt;=[4]Нормативы!$H$17,"КМС",IF(I686&lt;=[4]Нормативы!$L$18,"КМС",IF(I686&lt;=[4]Нормативы!$L$19,"I",IF(I686&lt;=[4]Нормативы!$L$20,"II",IF(I686&lt;=[4]Нормативы!$L$21,"III",IF(I686&lt;=[4]Нормативы!$L$22,"I юн",IF(I686&lt;=[4]Нормативы!$L$23,"II юн",IF(I686&lt;=[4]Нормативы!$L$24,"III юн","б/р")))))))))))</f>
        <v>II</v>
      </c>
    </row>
    <row r="687" spans="1:10" x14ac:dyDescent="0.3">
      <c r="A687" s="1086">
        <v>4</v>
      </c>
      <c r="B687" s="550" t="s">
        <v>6</v>
      </c>
      <c r="C687" s="550" t="s">
        <v>1530</v>
      </c>
      <c r="D687" s="551" t="s">
        <v>1883</v>
      </c>
      <c r="E687" s="1042">
        <v>40395</v>
      </c>
      <c r="F687" s="550" t="s">
        <v>1598</v>
      </c>
      <c r="G687" s="895"/>
      <c r="H687" s="550"/>
      <c r="I687" s="1025">
        <v>19.88</v>
      </c>
      <c r="J687" s="1085" t="str">
        <f>IF(ISBLANK(I687)," ",IF(ISTEXT(I687)," ",IF(I687&lt;=[4]Нормативы!$H$16,"КМС",IF(I687&lt;=[4]Нормативы!$H$17,"КМС",IF(I687&lt;=[4]Нормативы!$L$18,"КМС",IF(I687&lt;=[4]Нормативы!$L$19,"I",IF(I687&lt;=[4]Нормативы!$L$20,"II",IF(I687&lt;=[4]Нормативы!$L$21,"III",IF(I687&lt;=[4]Нормативы!$L$22,"I юн",IF(I687&lt;=[4]Нормативы!$L$23,"II юн",IF(I687&lt;=[4]Нормативы!$L$24,"III юн","б/р")))))))))))</f>
        <v>II</v>
      </c>
    </row>
    <row r="688" spans="1:10" x14ac:dyDescent="0.3">
      <c r="A688" s="1086"/>
      <c r="B688" s="880"/>
      <c r="C688" s="880"/>
      <c r="D688" s="880"/>
      <c r="E688" s="880"/>
      <c r="F688" s="880"/>
      <c r="G688" s="880"/>
      <c r="H688" s="880"/>
      <c r="I688" s="300"/>
      <c r="J688" s="885"/>
    </row>
    <row r="689" spans="1:10" ht="15.6" x14ac:dyDescent="0.3">
      <c r="A689" s="1028"/>
      <c r="B689" s="374"/>
      <c r="C689" s="928" t="s">
        <v>2046</v>
      </c>
      <c r="D689" s="374"/>
      <c r="E689" s="374"/>
      <c r="F689" s="374"/>
      <c r="G689" s="374"/>
      <c r="H689" s="929"/>
      <c r="I689" s="1158"/>
      <c r="J689" s="878"/>
    </row>
    <row r="690" spans="1:10" x14ac:dyDescent="0.3">
      <c r="A690" s="1086"/>
      <c r="B690" s="891"/>
      <c r="C690" s="550"/>
      <c r="D690" s="880"/>
      <c r="E690" s="963"/>
      <c r="F690" s="550"/>
      <c r="G690" s="550"/>
      <c r="H690" s="1120"/>
      <c r="I690" s="1025"/>
      <c r="J690" s="903"/>
    </row>
    <row r="691" spans="1:10" x14ac:dyDescent="0.3">
      <c r="A691" s="1086">
        <v>1</v>
      </c>
      <c r="B691" s="550" t="s">
        <v>6</v>
      </c>
      <c r="C691" s="551" t="s">
        <v>1690</v>
      </c>
      <c r="D691" s="551" t="s">
        <v>1636</v>
      </c>
      <c r="E691" s="1042">
        <v>41010</v>
      </c>
      <c r="F691" s="550" t="s">
        <v>1596</v>
      </c>
      <c r="G691" s="895"/>
      <c r="H691" s="550"/>
      <c r="I691" s="1025">
        <v>52.87</v>
      </c>
      <c r="J691" s="1085" t="str">
        <f>IF(ISBLANK(I691)," ",IF(ISTEXT(I691)," ",IF(I691&lt;=[4]Нормативы!$H$71,"КМС",IF(I691&lt;=[4]Нормативы!$H$72,"КМС",IF(I691&lt;=[4]Нормативы!$L$73,"КМС",IF(I691&lt;=[4]Нормативы!$L$74,"I",IF(I691&lt;=[4]Нормативы!$L$75,"II",IF(I691&lt;=[4]Нормативы!$L$76,"III",IF(I691&lt;=[4]Нормативы!$L$77,"I юн",IF(I691&lt;=[4]Нормативы!$L$78,"II юн",IF(I691&lt;=[4]Нормативы!$L$79,"III юн","б/р")))))))))))</f>
        <v>КМС</v>
      </c>
    </row>
    <row r="692" spans="1:10" x14ac:dyDescent="0.3">
      <c r="A692" s="1028">
        <v>2</v>
      </c>
      <c r="B692" s="550" t="s">
        <v>6</v>
      </c>
      <c r="C692" s="551" t="s">
        <v>1688</v>
      </c>
      <c r="D692" s="890" t="s">
        <v>1689</v>
      </c>
      <c r="E692" s="1042">
        <v>40997</v>
      </c>
      <c r="F692" s="550" t="s">
        <v>1596</v>
      </c>
      <c r="G692" s="895"/>
      <c r="H692" s="550"/>
      <c r="I692" s="1025">
        <v>53.59</v>
      </c>
      <c r="J692" s="1085" t="str">
        <f>IF(ISBLANK(I692)," ",IF(ISTEXT(I692)," ",IF(I692&lt;=[4]Нормативы!$H$71,"КМС",IF(I692&lt;=[4]Нормативы!$H$72,"КМС",IF(I692&lt;=[4]Нормативы!$L$73,"КМС",IF(I692&lt;=[4]Нормативы!$L$74,"I",IF(I692&lt;=[4]Нормативы!$L$75,"II",IF(I692&lt;=[4]Нормативы!$L$76,"III",IF(I692&lt;=[4]Нормативы!$L$77,"I юн",IF(I692&lt;=[4]Нормативы!$L$78,"II юн",IF(I692&lt;=[4]Нормативы!$L$79,"III юн","б/р")))))))))))</f>
        <v>I</v>
      </c>
    </row>
    <row r="693" spans="1:10" x14ac:dyDescent="0.3">
      <c r="A693" s="1086">
        <v>3</v>
      </c>
      <c r="B693" s="550" t="s">
        <v>6</v>
      </c>
      <c r="C693" s="551" t="s">
        <v>1691</v>
      </c>
      <c r="D693" s="889" t="s">
        <v>1616</v>
      </c>
      <c r="E693" s="1042">
        <v>41165</v>
      </c>
      <c r="F693" s="550" t="s">
        <v>1596</v>
      </c>
      <c r="G693" s="895"/>
      <c r="H693" s="550"/>
      <c r="I693" s="1025">
        <v>54.01</v>
      </c>
      <c r="J693" s="1085" t="str">
        <f>IF(ISBLANK(I693)," ",IF(ISTEXT(I693)," ",IF(I693&lt;=[4]Нормативы!$H$71,"КМС",IF(I693&lt;=[4]Нормативы!$H$72,"КМС",IF(I693&lt;=[4]Нормативы!$L$73,"КМС",IF(I693&lt;=[4]Нормативы!$L$74,"I",IF(I693&lt;=[4]Нормативы!$L$75,"II",IF(I693&lt;=[4]Нормативы!$L$76,"III",IF(I693&lt;=[4]Нормативы!$L$77,"I юн",IF(I693&lt;=[4]Нормативы!$L$78,"II юн",IF(I693&lt;=[4]Нормативы!$L$79,"III юн","б/р")))))))))))</f>
        <v>I</v>
      </c>
    </row>
    <row r="694" spans="1:10" x14ac:dyDescent="0.3">
      <c r="A694" s="1028">
        <v>4</v>
      </c>
      <c r="B694" s="550" t="s">
        <v>6</v>
      </c>
      <c r="C694" s="551" t="s">
        <v>1686</v>
      </c>
      <c r="D694" s="890" t="s">
        <v>1687</v>
      </c>
      <c r="E694" s="1042">
        <v>41302</v>
      </c>
      <c r="F694" s="550" t="s">
        <v>1654</v>
      </c>
      <c r="G694" s="895"/>
      <c r="H694" s="550"/>
      <c r="I694" s="1025">
        <v>56.24</v>
      </c>
      <c r="J694" s="1085" t="str">
        <f>IF(ISBLANK(I694)," ",IF(ISTEXT(I694)," ",IF(I694&lt;=[4]Нормативы!$H$71,"КМС",IF(I694&lt;=[4]Нормативы!$H$72,"КМС",IF(I694&lt;=[4]Нормативы!$L$73,"КМС",IF(I694&lt;=[4]Нормативы!$L$74,"I",IF(I694&lt;=[4]Нормативы!$L$75,"II",IF(I694&lt;=[4]Нормативы!$L$76,"III",IF(I694&lt;=[4]Нормативы!$L$77,"I юн",IF(I694&lt;=[4]Нормативы!$L$78,"II юн",IF(I694&lt;=[4]Нормативы!$L$79,"III юн","б/р")))))))))))</f>
        <v>I</v>
      </c>
    </row>
    <row r="695" spans="1:10" x14ac:dyDescent="0.3">
      <c r="A695" s="1086">
        <v>5</v>
      </c>
      <c r="B695" s="550" t="s">
        <v>23</v>
      </c>
      <c r="C695" s="24" t="s">
        <v>1682</v>
      </c>
      <c r="D695" s="890" t="s">
        <v>1613</v>
      </c>
      <c r="E695" s="1043">
        <v>41449</v>
      </c>
      <c r="F695" s="550" t="s">
        <v>1430</v>
      </c>
      <c r="G695" s="895"/>
      <c r="H695" s="550"/>
      <c r="I695" s="1075">
        <v>58.57</v>
      </c>
      <c r="J695" s="1085" t="str">
        <f>IF(ISBLANK(I695)," ",IF(ISTEXT(I695)," ",IF(I695&lt;=[4]Нормативы!$H$71,"КМС",IF(I695&lt;=[4]Нормативы!$H$72,"КМС",IF(I695&lt;=[4]Нормативы!$L$73,"КМС",IF(I695&lt;=[4]Нормативы!$L$74,"I",IF(I695&lt;=[4]Нормативы!$L$75,"II",IF(I695&lt;=[4]Нормативы!$L$76,"III",IF(I695&lt;=[4]Нормативы!$L$77,"I юн",IF(I695&lt;=[4]Нормативы!$L$78,"II юн",IF(I695&lt;=[4]Нормативы!$L$79,"III юн","б/р")))))))))))</f>
        <v>II</v>
      </c>
    </row>
    <row r="696" spans="1:10" x14ac:dyDescent="0.3">
      <c r="A696" s="1028">
        <v>6</v>
      </c>
      <c r="B696" s="550" t="s">
        <v>23</v>
      </c>
      <c r="C696" s="551" t="s">
        <v>1328</v>
      </c>
      <c r="D696" s="890" t="s">
        <v>1684</v>
      </c>
      <c r="E696" s="1042">
        <v>41346</v>
      </c>
      <c r="F696" s="550" t="s">
        <v>1598</v>
      </c>
      <c r="G696" s="895"/>
      <c r="H696" s="550"/>
      <c r="I696" s="1025">
        <v>59.31</v>
      </c>
      <c r="J696" s="1085" t="str">
        <f>IF(ISBLANK(I696)," ",IF(ISTEXT(I696)," ",IF(I696&lt;=[4]Нормативы!$H$71,"КМС",IF(I696&lt;=[4]Нормативы!$H$72,"КМС",IF(I696&lt;=[4]Нормативы!$L$73,"КМС",IF(I696&lt;=[4]Нормативы!$L$74,"I",IF(I696&lt;=[4]Нормативы!$L$75,"II",IF(I696&lt;=[4]Нормативы!$L$76,"III",IF(I696&lt;=[4]Нормативы!$L$77,"I юн",IF(I696&lt;=[4]Нормативы!$L$78,"II юн",IF(I696&lt;=[4]Нормативы!$L$79,"III юн","б/р")))))))))))</f>
        <v>II</v>
      </c>
    </row>
    <row r="697" spans="1:10" x14ac:dyDescent="0.3">
      <c r="A697" s="1086">
        <v>7</v>
      </c>
      <c r="B697" s="550" t="s">
        <v>23</v>
      </c>
      <c r="C697" s="551" t="s">
        <v>1683</v>
      </c>
      <c r="D697" s="890" t="s">
        <v>1613</v>
      </c>
      <c r="E697" s="1042">
        <v>41302</v>
      </c>
      <c r="F697" s="550" t="s">
        <v>1634</v>
      </c>
      <c r="G697" s="895"/>
      <c r="H697" s="550"/>
      <c r="I697" s="1025">
        <v>59.57</v>
      </c>
      <c r="J697" s="1085" t="str">
        <f>IF(ISBLANK(I697)," ",IF(ISTEXT(I697)," ",IF(I697&lt;=[4]Нормативы!$H$71,"КМС",IF(I697&lt;=[4]Нормативы!$H$72,"КМС",IF(I697&lt;=[4]Нормативы!$L$73,"КМС",IF(I697&lt;=[4]Нормативы!$L$74,"I",IF(I697&lt;=[4]Нормативы!$L$75,"II",IF(I697&lt;=[4]Нормативы!$L$76,"III",IF(I697&lt;=[4]Нормативы!$L$77,"I юн",IF(I697&lt;=[4]Нормативы!$L$78,"II юн",IF(I697&lt;=[4]Нормативы!$L$79,"III юн","б/р")))))))))))</f>
        <v>II</v>
      </c>
    </row>
    <row r="698" spans="1:10" x14ac:dyDescent="0.3">
      <c r="A698" s="1028">
        <v>8</v>
      </c>
      <c r="B698" s="550" t="s">
        <v>23</v>
      </c>
      <c r="C698" s="551" t="s">
        <v>1681</v>
      </c>
      <c r="D698" s="890" t="s">
        <v>1630</v>
      </c>
      <c r="E698" s="1042">
        <v>41186</v>
      </c>
      <c r="F698" s="550" t="s">
        <v>1381</v>
      </c>
      <c r="G698" s="895"/>
      <c r="H698" s="550"/>
      <c r="I698" s="1025">
        <v>101.33</v>
      </c>
      <c r="J698" s="1085" t="str">
        <f>IF(ISBLANK(I698)," ",IF(ISTEXT(I698)," ",IF(I698&lt;=[4]Нормативы!$H$71,"КМС",IF(I698&lt;=[4]Нормативы!$H$72,"КМС",IF(I698&lt;=[4]Нормативы!$L$73,"КМС",IF(I698&lt;=[4]Нормативы!$L$74,"I",IF(I698&lt;=[4]Нормативы!$L$75,"II",IF(I698&lt;=[4]Нормативы!$L$76,"III",IF(I698&lt;=[4]Нормативы!$L$77,"I юн",IF(I698&lt;=[4]Нормативы!$L$78,"II юн",IF(I698&lt;=[4]Нормативы!$L$79,"III юн","б/р")))))))))))</f>
        <v>II</v>
      </c>
    </row>
    <row r="699" spans="1:10" x14ac:dyDescent="0.3">
      <c r="A699" s="1086">
        <v>9</v>
      </c>
      <c r="B699" s="550" t="s">
        <v>24</v>
      </c>
      <c r="C699" s="24" t="s">
        <v>1678</v>
      </c>
      <c r="D699" s="890" t="s">
        <v>1611</v>
      </c>
      <c r="E699" s="1043">
        <v>41307</v>
      </c>
      <c r="F699" s="550" t="s">
        <v>1430</v>
      </c>
      <c r="G699" s="895"/>
      <c r="H699" s="550"/>
      <c r="I699" s="1075">
        <v>104.26</v>
      </c>
      <c r="J699" s="1085" t="str">
        <f>IF(ISBLANK(I699)," ",IF(ISTEXT(I699)," ",IF(I699&lt;=[4]Нормативы!$H$71,"КМС",IF(I699&lt;=[4]Нормативы!$H$72,"КМС",IF(I699&lt;=[4]Нормативы!$L$73,"КМС",IF(I699&lt;=[4]Нормативы!$L$74,"I",IF(I699&lt;=[4]Нормативы!$L$75,"II",IF(I699&lt;=[4]Нормативы!$L$76,"III",IF(I699&lt;=[4]Нормативы!$L$77,"I юн",IF(I699&lt;=[4]Нормативы!$L$78,"II юн",IF(I699&lt;=[4]Нормативы!$L$79,"III юн","б/р")))))))))))</f>
        <v>III</v>
      </c>
    </row>
    <row r="700" spans="1:10" x14ac:dyDescent="0.3">
      <c r="A700" s="1028">
        <v>10</v>
      </c>
      <c r="B700" s="550" t="s">
        <v>24</v>
      </c>
      <c r="C700" s="551" t="s">
        <v>1677</v>
      </c>
      <c r="D700" s="890" t="s">
        <v>1620</v>
      </c>
      <c r="E700" s="1042">
        <v>41306</v>
      </c>
      <c r="F700" s="550" t="s">
        <v>1628</v>
      </c>
      <c r="G700" s="895"/>
      <c r="H700" s="550"/>
      <c r="I700" s="1025">
        <v>104.31</v>
      </c>
      <c r="J700" s="1085" t="str">
        <f>IF(ISBLANK(I700)," ",IF(ISTEXT(I700)," ",IF(I700&lt;=[4]Нормативы!$H$71,"КМС",IF(I700&lt;=[4]Нормативы!$H$72,"КМС",IF(I700&lt;=[4]Нормативы!$L$73,"КМС",IF(I700&lt;=[4]Нормативы!$L$74,"I",IF(I700&lt;=[4]Нормативы!$L$75,"II",IF(I700&lt;=[4]Нормативы!$L$76,"III",IF(I700&lt;=[4]Нормативы!$L$77,"I юн",IF(I700&lt;=[4]Нормативы!$L$78,"II юн",IF(I700&lt;=[4]Нормативы!$L$79,"III юн","б/р")))))))))))</f>
        <v>III</v>
      </c>
    </row>
    <row r="701" spans="1:10" x14ac:dyDescent="0.3">
      <c r="A701" s="1086">
        <v>11</v>
      </c>
      <c r="B701" s="550" t="s">
        <v>24</v>
      </c>
      <c r="C701" s="551" t="s">
        <v>1669</v>
      </c>
      <c r="D701" s="890" t="s">
        <v>1595</v>
      </c>
      <c r="E701" s="1042">
        <v>41576</v>
      </c>
      <c r="F701" s="550" t="s">
        <v>460</v>
      </c>
      <c r="G701" s="895"/>
      <c r="H701" s="550"/>
      <c r="I701" s="1025">
        <v>107.21</v>
      </c>
      <c r="J701" s="1085" t="str">
        <f>IF(ISBLANK(I701)," ",IF(ISTEXT(I701)," ",IF(I701&lt;=[4]Нормативы!$H$71,"КМС",IF(I701&lt;=[4]Нормативы!$H$72,"КМС",IF(I701&lt;=[4]Нормативы!$L$73,"КМС",IF(I701&lt;=[4]Нормативы!$L$74,"I",IF(I701&lt;=[4]Нормативы!$L$75,"II",IF(I701&lt;=[4]Нормативы!$L$76,"III",IF(I701&lt;=[4]Нормативы!$L$77,"I юн",IF(I701&lt;=[4]Нормативы!$L$78,"II юн",IF(I701&lt;=[4]Нормативы!$L$79,"III юн","б/р")))))))))))</f>
        <v>I юн</v>
      </c>
    </row>
    <row r="702" spans="1:10" x14ac:dyDescent="0.3">
      <c r="A702" s="1028">
        <v>12</v>
      </c>
      <c r="B702" s="550" t="s">
        <v>24</v>
      </c>
      <c r="C702" s="551" t="s">
        <v>1667</v>
      </c>
      <c r="D702" s="890" t="s">
        <v>1668</v>
      </c>
      <c r="E702" s="1042">
        <v>41136</v>
      </c>
      <c r="F702" s="550" t="s">
        <v>1628</v>
      </c>
      <c r="G702" s="895"/>
      <c r="H702" s="550"/>
      <c r="I702" s="1025">
        <v>109.5</v>
      </c>
      <c r="J702" s="1085" t="str">
        <f>IF(ISBLANK(I702)," ",IF(ISTEXT(I702)," ",IF(I702&lt;=[4]Нормативы!$H$71,"КМС",IF(I702&lt;=[4]Нормативы!$H$72,"КМС",IF(I702&lt;=[4]Нормативы!$L$73,"КМС",IF(I702&lt;=[4]Нормативы!$L$74,"I",IF(I702&lt;=[4]Нормативы!$L$75,"II",IF(I702&lt;=[4]Нормативы!$L$76,"III",IF(I702&lt;=[4]Нормативы!$L$77,"I юн",IF(I702&lt;=[4]Нормативы!$L$78,"II юн",IF(I702&lt;=[4]Нормативы!$L$79,"III юн","б/р")))))))))))</f>
        <v>I юн</v>
      </c>
    </row>
    <row r="703" spans="1:10" x14ac:dyDescent="0.3">
      <c r="A703" s="1086">
        <v>13</v>
      </c>
      <c r="B703" s="550" t="s">
        <v>24</v>
      </c>
      <c r="C703" s="551" t="s">
        <v>1665</v>
      </c>
      <c r="D703" s="890" t="s">
        <v>1603</v>
      </c>
      <c r="E703" s="1042">
        <v>41039</v>
      </c>
      <c r="F703" s="550" t="s">
        <v>1628</v>
      </c>
      <c r="G703" s="895"/>
      <c r="H703" s="550"/>
      <c r="I703" s="1025">
        <v>109.77</v>
      </c>
      <c r="J703" s="1085" t="str">
        <f>IF(ISBLANK(I703)," ",IF(ISTEXT(I703)," ",IF(I703&lt;=[4]Нормативы!$H$71,"КМС",IF(I703&lt;=[4]Нормативы!$H$72,"КМС",IF(I703&lt;=[4]Нормативы!$L$73,"КМС",IF(I703&lt;=[4]Нормативы!$L$74,"I",IF(I703&lt;=[4]Нормативы!$L$75,"II",IF(I703&lt;=[4]Нормативы!$L$76,"III",IF(I703&lt;=[4]Нормативы!$L$77,"I юн",IF(I703&lt;=[4]Нормативы!$L$78,"II юн",IF(I703&lt;=[4]Нормативы!$L$79,"III юн","б/р")))))))))))</f>
        <v>I юн</v>
      </c>
    </row>
    <row r="704" spans="1:10" x14ac:dyDescent="0.3">
      <c r="A704" s="1028">
        <v>14</v>
      </c>
      <c r="B704" s="24" t="s">
        <v>35</v>
      </c>
      <c r="C704" s="551" t="s">
        <v>1663</v>
      </c>
      <c r="D704" s="890" t="s">
        <v>1664</v>
      </c>
      <c r="E704" s="1042">
        <v>41074</v>
      </c>
      <c r="F704" s="550" t="s">
        <v>1596</v>
      </c>
      <c r="G704" s="895"/>
      <c r="H704" s="550"/>
      <c r="I704" s="1025">
        <v>111.5</v>
      </c>
      <c r="J704" s="1085" t="str">
        <f>IF(ISBLANK(I704)," ",IF(ISTEXT(I704)," ",IF(I704&lt;=[4]Нормативы!$H$71,"КМС",IF(I704&lt;=[4]Нормативы!$H$72,"КМС",IF(I704&lt;=[4]Нормативы!$L$73,"КМС",IF(I704&lt;=[4]Нормативы!$L$74,"I",IF(I704&lt;=[4]Нормативы!$L$75,"II",IF(I704&lt;=[4]Нормативы!$L$76,"III",IF(I704&lt;=[4]Нормативы!$L$77,"I юн",IF(I704&lt;=[4]Нормативы!$L$78,"II юн",IF(I704&lt;=[4]Нормативы!$L$79,"III юн","б/р")))))))))))</f>
        <v>I юн</v>
      </c>
    </row>
    <row r="705" spans="1:10" x14ac:dyDescent="0.3">
      <c r="A705" s="1086">
        <v>15</v>
      </c>
      <c r="B705" s="550" t="s">
        <v>20</v>
      </c>
      <c r="C705" s="551" t="s">
        <v>2060</v>
      </c>
      <c r="D705" s="890" t="s">
        <v>1680</v>
      </c>
      <c r="E705" s="1042">
        <v>41542</v>
      </c>
      <c r="F705" s="550" t="s">
        <v>1450</v>
      </c>
      <c r="G705" s="895"/>
      <c r="H705" s="550"/>
      <c r="I705" s="1025">
        <v>112.35</v>
      </c>
      <c r="J705" s="1085" t="str">
        <f>IF(ISBLANK(I705)," ",IF(ISTEXT(I705)," ",IF(I705&lt;=[4]Нормативы!$H$71,"КМС",IF(I705&lt;=[4]Нормативы!$H$72,"КМС",IF(I705&lt;=[4]Нормативы!$L$73,"КМС",IF(I705&lt;=[4]Нормативы!$L$74,"I",IF(I705&lt;=[4]Нормативы!$L$75,"II",IF(I705&lt;=[4]Нормативы!$L$76,"III",IF(I705&lt;=[4]Нормативы!$L$77,"I юн",IF(I705&lt;=[4]Нормативы!$L$78,"II юн",IF(I705&lt;=[4]Нормативы!$L$79,"III юн","б/р")))))))))))</f>
        <v>I юн</v>
      </c>
    </row>
    <row r="706" spans="1:10" x14ac:dyDescent="0.3">
      <c r="A706" s="1086"/>
      <c r="B706" s="550"/>
      <c r="C706" s="551"/>
      <c r="D706" s="890"/>
      <c r="E706" s="1042"/>
      <c r="F706" s="550"/>
      <c r="G706" s="895"/>
      <c r="H706" s="550"/>
      <c r="I706" s="1025"/>
      <c r="J706" s="878"/>
    </row>
    <row r="707" spans="1:10" ht="15.6" x14ac:dyDescent="0.3">
      <c r="A707" s="1028"/>
      <c r="B707" s="374"/>
      <c r="C707" s="928" t="s">
        <v>2063</v>
      </c>
      <c r="D707" s="374"/>
      <c r="E707" s="374"/>
      <c r="F707" s="374"/>
      <c r="G707" s="374"/>
      <c r="H707" s="929"/>
      <c r="I707" s="1025"/>
      <c r="J707" s="878"/>
    </row>
    <row r="708" spans="1:10" x14ac:dyDescent="0.3">
      <c r="A708" s="1086"/>
      <c r="B708" s="1006"/>
      <c r="C708" s="349"/>
      <c r="D708" s="361"/>
      <c r="E708" s="899"/>
      <c r="F708" s="361"/>
      <c r="G708" s="361"/>
      <c r="H708" s="954"/>
      <c r="I708" s="550"/>
      <c r="J708" s="878"/>
    </row>
    <row r="709" spans="1:10" x14ac:dyDescent="0.3">
      <c r="A709" s="1086">
        <v>1</v>
      </c>
      <c r="B709" s="550" t="s">
        <v>34</v>
      </c>
      <c r="C709" s="551" t="s">
        <v>1475</v>
      </c>
      <c r="D709" s="890" t="s">
        <v>1664</v>
      </c>
      <c r="E709" s="1042">
        <v>39801</v>
      </c>
      <c r="F709" s="550" t="s">
        <v>1450</v>
      </c>
      <c r="G709" s="895"/>
      <c r="H709" s="550"/>
      <c r="I709" s="1025">
        <v>52.4</v>
      </c>
      <c r="J709" s="1085" t="str">
        <f>IF(ISBLANK(I709)," ",IF(ISTEXT(I709)," ",IF(I709&lt;=[4]Нормативы!$H$71,"КМС",IF(I709&lt;=[4]Нормативы!$H$72,"КМС",IF(I709&lt;=[4]Нормативы!$L$73,"КМС",IF(I709&lt;=[4]Нормативы!$L$74,"I",IF(I709&lt;=[4]Нормативы!$L$75,"II",IF(I709&lt;=[4]Нормативы!$L$76,"III",IF(I709&lt;=[4]Нормативы!$L$77,"I юн",IF(I709&lt;=[4]Нормативы!$L$78,"II юн",IF(I709&lt;=[4]Нормативы!$L$79,"III юн","б/р")))))))))))</f>
        <v>КМС</v>
      </c>
    </row>
    <row r="710" spans="1:10" x14ac:dyDescent="0.3">
      <c r="A710" s="1028">
        <v>2</v>
      </c>
      <c r="B710" s="550" t="s">
        <v>6</v>
      </c>
      <c r="C710" s="551" t="s">
        <v>1717</v>
      </c>
      <c r="D710" s="890" t="s">
        <v>1618</v>
      </c>
      <c r="E710" s="1042">
        <v>40297</v>
      </c>
      <c r="F710" s="550" t="s">
        <v>1452</v>
      </c>
      <c r="G710" s="895"/>
      <c r="H710" s="550"/>
      <c r="I710" s="1025">
        <v>53.76</v>
      </c>
      <c r="J710" s="1085" t="str">
        <f>IF(ISBLANK(I710)," ",IF(ISTEXT(I710)," ",IF(I710&lt;=[4]Нормативы!$H$71,"КМС",IF(I710&lt;=[4]Нормативы!$H$72,"КМС",IF(I710&lt;=[4]Нормативы!$L$73,"КМС",IF(I710&lt;=[4]Нормативы!$L$74,"I",IF(I710&lt;=[4]Нормативы!$L$75,"II",IF(I710&lt;=[4]Нормативы!$L$76,"III",IF(I710&lt;=[4]Нормативы!$L$77,"I юн",IF(I710&lt;=[4]Нормативы!$L$78,"II юн",IF(I710&lt;=[4]Нормативы!$L$79,"III юн","б/р")))))))))))</f>
        <v>I</v>
      </c>
    </row>
    <row r="711" spans="1:10" x14ac:dyDescent="0.3">
      <c r="A711" s="1086">
        <v>3</v>
      </c>
      <c r="B711" s="550" t="s">
        <v>6</v>
      </c>
      <c r="C711" s="551" t="s">
        <v>1713</v>
      </c>
      <c r="D711" s="890" t="s">
        <v>1595</v>
      </c>
      <c r="E711" s="1042">
        <v>39738</v>
      </c>
      <c r="F711" s="550" t="s">
        <v>1450</v>
      </c>
      <c r="G711" s="895"/>
      <c r="H711" s="550"/>
      <c r="I711" s="1025">
        <v>54.19</v>
      </c>
      <c r="J711" s="1085" t="str">
        <f>IF(ISBLANK(I711)," ",IF(ISTEXT(I711)," ",IF(I711&lt;=[4]Нормативы!$H$71,"КМС",IF(I711&lt;=[4]Нормативы!$H$72,"КМС",IF(I711&lt;=[4]Нормативы!$L$73,"КМС",IF(I711&lt;=[4]Нормативы!$L$74,"I",IF(I711&lt;=[4]Нормативы!$L$75,"II",IF(I711&lt;=[4]Нормативы!$L$76,"III",IF(I711&lt;=[4]Нормативы!$L$77,"I юн",IF(I711&lt;=[4]Нормативы!$L$78,"II юн",IF(I711&lt;=[4]Нормативы!$L$79,"III юн","б/р")))))))))))</f>
        <v>I</v>
      </c>
    </row>
    <row r="712" spans="1:10" x14ac:dyDescent="0.3">
      <c r="A712" s="1028">
        <v>4</v>
      </c>
      <c r="B712" s="550" t="s">
        <v>1702</v>
      </c>
      <c r="C712" s="551" t="s">
        <v>1714</v>
      </c>
      <c r="D712" s="890" t="s">
        <v>1715</v>
      </c>
      <c r="E712" s="1046" t="s">
        <v>1716</v>
      </c>
      <c r="F712" s="550" t="s">
        <v>460</v>
      </c>
      <c r="G712" s="895"/>
      <c r="H712" s="550"/>
      <c r="I712" s="1075">
        <v>54.58</v>
      </c>
      <c r="J712" s="1085" t="str">
        <f>IF(ISBLANK(I712)," ",IF(ISTEXT(I712)," ",IF(I712&lt;=[4]Нормативы!$H$71,"КМС",IF(I712&lt;=[4]Нормативы!$H$72,"КМС",IF(I712&lt;=[4]Нормативы!$L$73,"КМС",IF(I712&lt;=[4]Нормативы!$L$74,"I",IF(I712&lt;=[4]Нормативы!$L$75,"II",IF(I712&lt;=[4]Нормативы!$L$76,"III",IF(I712&lt;=[4]Нормативы!$L$77,"I юн",IF(I712&lt;=[4]Нормативы!$L$78,"II юн",IF(I712&lt;=[4]Нормативы!$L$79,"III юн","б/р")))))))))))</f>
        <v>I</v>
      </c>
    </row>
    <row r="713" spans="1:10" x14ac:dyDescent="0.3">
      <c r="A713" s="1086">
        <v>5</v>
      </c>
      <c r="B713" s="550" t="s">
        <v>23</v>
      </c>
      <c r="C713" s="551" t="s">
        <v>1698</v>
      </c>
      <c r="D713" s="890" t="s">
        <v>1616</v>
      </c>
      <c r="E713" s="1042">
        <v>40816</v>
      </c>
      <c r="F713" s="550" t="s">
        <v>1634</v>
      </c>
      <c r="G713" s="895"/>
      <c r="H713" s="550"/>
      <c r="I713" s="1025">
        <v>55.81</v>
      </c>
      <c r="J713" s="1085" t="str">
        <f>IF(ISBLANK(I713)," ",IF(ISTEXT(I713)," ",IF(I713&lt;=[4]Нормативы!$H$71,"КМС",IF(I713&lt;=[4]Нормативы!$H$72,"КМС",IF(I713&lt;=[4]Нормативы!$L$73,"КМС",IF(I713&lt;=[4]Нормативы!$L$74,"I",IF(I713&lt;=[4]Нормативы!$L$75,"II",IF(I713&lt;=[4]Нормативы!$L$76,"III",IF(I713&lt;=[4]Нормативы!$L$77,"I юн",IF(I713&lt;=[4]Нормативы!$L$78,"II юн",IF(I713&lt;=[4]Нормативы!$L$79,"III юн","б/р")))))))))))</f>
        <v>I</v>
      </c>
    </row>
    <row r="714" spans="1:10" x14ac:dyDescent="0.3">
      <c r="A714" s="1028">
        <v>6</v>
      </c>
      <c r="B714" s="550" t="s">
        <v>6</v>
      </c>
      <c r="C714" s="551" t="s">
        <v>1701</v>
      </c>
      <c r="D714" s="890" t="s">
        <v>1616</v>
      </c>
      <c r="E714" s="1042">
        <v>40392</v>
      </c>
      <c r="F714" s="550" t="s">
        <v>1634</v>
      </c>
      <c r="G714" s="895"/>
      <c r="H714" s="550"/>
      <c r="I714" s="1025">
        <v>56.69</v>
      </c>
      <c r="J714" s="1085" t="str">
        <f>IF(ISBLANK(I714)," ",IF(ISTEXT(I714)," ",IF(I714&lt;=[4]Нормативы!$H$71,"КМС",IF(I714&lt;=[4]Нормативы!$H$72,"КМС",IF(I714&lt;=[4]Нормативы!$L$73,"КМС",IF(I714&lt;=[4]Нормативы!$L$74,"I",IF(I714&lt;=[4]Нормативы!$L$75,"II",IF(I714&lt;=[4]Нормативы!$L$76,"III",IF(I714&lt;=[4]Нормативы!$L$77,"I юн",IF(I714&lt;=[4]Нормативы!$L$78,"II юн",IF(I714&lt;=[4]Нормативы!$L$79,"III юн","б/р")))))))))))</f>
        <v>I</v>
      </c>
    </row>
    <row r="715" spans="1:10" x14ac:dyDescent="0.3">
      <c r="A715" s="1086">
        <v>7</v>
      </c>
      <c r="B715" s="550" t="s">
        <v>23</v>
      </c>
      <c r="C715" s="551" t="s">
        <v>1916</v>
      </c>
      <c r="D715" s="890" t="s">
        <v>1595</v>
      </c>
      <c r="E715" s="1042">
        <v>40854</v>
      </c>
      <c r="F715" s="550" t="s">
        <v>1634</v>
      </c>
      <c r="G715" s="895"/>
      <c r="H715" s="550"/>
      <c r="I715" s="1075">
        <v>57.81</v>
      </c>
      <c r="J715" s="1085" t="str">
        <f>IF(ISBLANK(I715)," ",IF(ISTEXT(I715)," ",IF(I715&lt;=[4]Нормативы!$H$71,"КМС",IF(I715&lt;=[4]Нормативы!$H$72,"КМС",IF(I715&lt;=[4]Нормативы!$L$73,"КМС",IF(I715&lt;=[4]Нормативы!$L$74,"I",IF(I715&lt;=[4]Нормативы!$L$75,"II",IF(I715&lt;=[4]Нормативы!$L$76,"III",IF(I715&lt;=[4]Нормативы!$L$77,"I юн",IF(I715&lt;=[4]Нормативы!$L$78,"II юн",IF(I715&lt;=[4]Нормативы!$L$79,"III юн","б/р")))))))))))</f>
        <v>II</v>
      </c>
    </row>
    <row r="716" spans="1:10" x14ac:dyDescent="0.3">
      <c r="A716" s="1028">
        <v>8</v>
      </c>
      <c r="B716" s="550" t="s">
        <v>23</v>
      </c>
      <c r="C716" s="551" t="s">
        <v>1708</v>
      </c>
      <c r="D716" s="890" t="s">
        <v>1642</v>
      </c>
      <c r="E716" s="1042">
        <v>40868</v>
      </c>
      <c r="F716" s="550" t="s">
        <v>1628</v>
      </c>
      <c r="G716" s="895"/>
      <c r="H716" s="550"/>
      <c r="I716" s="1025">
        <v>58.31</v>
      </c>
      <c r="J716" s="1085" t="str">
        <f>IF(ISBLANK(I716)," ",IF(ISTEXT(I716)," ",IF(I716&lt;=[4]Нормативы!$H$71,"КМС",IF(I716&lt;=[4]Нормативы!$H$72,"КМС",IF(I716&lt;=[4]Нормативы!$L$73,"КМС",IF(I716&lt;=[4]Нормативы!$L$74,"I",IF(I716&lt;=[4]Нормативы!$L$75,"II",IF(I716&lt;=[4]Нормативы!$L$76,"III",IF(I716&lt;=[4]Нормативы!$L$77,"I юн",IF(I716&lt;=[4]Нормативы!$L$78,"II юн",IF(I716&lt;=[4]Нормативы!$L$79,"III юн","б/р")))))))))))</f>
        <v>II</v>
      </c>
    </row>
    <row r="717" spans="1:10" x14ac:dyDescent="0.3">
      <c r="A717" s="1086">
        <v>9</v>
      </c>
      <c r="B717" s="550" t="s">
        <v>23</v>
      </c>
      <c r="C717" s="551" t="s">
        <v>1465</v>
      </c>
      <c r="D717" s="890" t="s">
        <v>1595</v>
      </c>
      <c r="E717" s="1042">
        <v>40266</v>
      </c>
      <c r="F717" s="550" t="s">
        <v>1596</v>
      </c>
      <c r="G717" s="895"/>
      <c r="H717" s="550"/>
      <c r="I717" s="1025">
        <v>58.6</v>
      </c>
      <c r="J717" s="1085" t="str">
        <f>IF(ISBLANK(I717)," ",IF(ISTEXT(I717)," ",IF(I717&lt;=[4]Нормативы!$H$71,"КМС",IF(I717&lt;=[4]Нормативы!$H$72,"КМС",IF(I717&lt;=[4]Нормативы!$L$73,"КМС",IF(I717&lt;=[4]Нормативы!$L$74,"I",IF(I717&lt;=[4]Нормативы!$L$75,"II",IF(I717&lt;=[4]Нормативы!$L$76,"III",IF(I717&lt;=[4]Нормативы!$L$77,"I юн",IF(I717&lt;=[4]Нормативы!$L$78,"II юн",IF(I717&lt;=[4]Нормативы!$L$79,"III юн","б/р")))))))))))</f>
        <v>II</v>
      </c>
    </row>
    <row r="718" spans="1:10" x14ac:dyDescent="0.3">
      <c r="A718" s="1028">
        <v>10</v>
      </c>
      <c r="B718" s="550" t="s">
        <v>23</v>
      </c>
      <c r="C718" s="551" t="s">
        <v>1699</v>
      </c>
      <c r="D718" s="890" t="s">
        <v>1642</v>
      </c>
      <c r="E718" s="1042">
        <v>39956</v>
      </c>
      <c r="F718" s="550" t="s">
        <v>1654</v>
      </c>
      <c r="G718" s="895"/>
      <c r="H718" s="550"/>
      <c r="I718" s="1025">
        <v>58.65</v>
      </c>
      <c r="J718" s="1085" t="str">
        <f>IF(ISBLANK(I718)," ",IF(ISTEXT(I718)," ",IF(I718&lt;=[4]Нормативы!$H$71,"КМС",IF(I718&lt;=[4]Нормативы!$H$72,"КМС",IF(I718&lt;=[4]Нормативы!$L$73,"КМС",IF(I718&lt;=[4]Нормативы!$L$74,"I",IF(I718&lt;=[4]Нормативы!$L$75,"II",IF(I718&lt;=[4]Нормативы!$L$76,"III",IF(I718&lt;=[4]Нормативы!$L$77,"I юн",IF(I718&lt;=[4]Нормативы!$L$78,"II юн",IF(I718&lt;=[4]Нормативы!$L$79,"III юн","б/р")))))))))))</f>
        <v>II</v>
      </c>
    </row>
    <row r="719" spans="1:10" x14ac:dyDescent="0.3">
      <c r="A719" s="1086">
        <v>11</v>
      </c>
      <c r="B719" s="550" t="s">
        <v>23</v>
      </c>
      <c r="C719" s="551" t="s">
        <v>1705</v>
      </c>
      <c r="D719" s="890" t="s">
        <v>1613</v>
      </c>
      <c r="E719" s="1042">
        <v>40523</v>
      </c>
      <c r="F719" s="550" t="s">
        <v>1596</v>
      </c>
      <c r="G719" s="895"/>
      <c r="H719" s="550"/>
      <c r="I719" s="1025">
        <v>100.33</v>
      </c>
      <c r="J719" s="1085" t="str">
        <f>IF(ISBLANK(I719)," ",IF(ISTEXT(I719)," ",IF(I719&lt;=[4]Нормативы!$H$71,"КМС",IF(I719&lt;=[4]Нормативы!$H$72,"КМС",IF(I719&lt;=[4]Нормативы!$L$73,"КМС",IF(I719&lt;=[4]Нормативы!$L$74,"I",IF(I719&lt;=[4]Нормативы!$L$75,"II",IF(I719&lt;=[4]Нормативы!$L$76,"III",IF(I719&lt;=[4]Нормативы!$L$77,"I юн",IF(I719&lt;=[4]Нормативы!$L$78,"II юн",IF(I719&lt;=[4]Нормативы!$L$79,"III юн","б/р")))))))))))</f>
        <v>II</v>
      </c>
    </row>
    <row r="720" spans="1:10" x14ac:dyDescent="0.3">
      <c r="A720" s="1028">
        <v>12</v>
      </c>
      <c r="B720" s="550" t="s">
        <v>23</v>
      </c>
      <c r="C720" s="551" t="s">
        <v>1697</v>
      </c>
      <c r="D720" s="890" t="s">
        <v>1618</v>
      </c>
      <c r="E720" s="1042">
        <v>40845</v>
      </c>
      <c r="F720" s="550" t="s">
        <v>1596</v>
      </c>
      <c r="G720" s="895"/>
      <c r="H720" s="550"/>
      <c r="I720" s="1025">
        <v>101.2</v>
      </c>
      <c r="J720" s="1085" t="str">
        <f>IF(ISBLANK(I720)," ",IF(ISTEXT(I720)," ",IF(I720&lt;=[4]Нормативы!$H$71,"КМС",IF(I720&lt;=[4]Нормативы!$H$72,"КМС",IF(I720&lt;=[4]Нормативы!$L$73,"КМС",IF(I720&lt;=[4]Нормативы!$L$74,"I",IF(I720&lt;=[4]Нормативы!$L$75,"II",IF(I720&lt;=[4]Нормативы!$L$76,"III",IF(I720&lt;=[4]Нормативы!$L$77,"I юн",IF(I720&lt;=[4]Нормативы!$L$78,"II юн",IF(I720&lt;=[4]Нормативы!$L$79,"III юн","б/р")))))))))))</f>
        <v>II</v>
      </c>
    </row>
    <row r="721" spans="1:10" x14ac:dyDescent="0.3">
      <c r="A721" s="1086">
        <v>13</v>
      </c>
      <c r="B721" s="550" t="s">
        <v>24</v>
      </c>
      <c r="C721" s="551" t="s">
        <v>1694</v>
      </c>
      <c r="D721" s="890" t="s">
        <v>1611</v>
      </c>
      <c r="E721" s="1042">
        <v>40738</v>
      </c>
      <c r="F721" s="550" t="s">
        <v>1450</v>
      </c>
      <c r="G721" s="895"/>
      <c r="H721" s="550"/>
      <c r="I721" s="1025">
        <v>102.26</v>
      </c>
      <c r="J721" s="1085" t="str">
        <f>IF(ISBLANK(I721)," ",IF(ISTEXT(I721)," ",IF(I721&lt;=[4]Нормативы!$H$71,"КМС",IF(I721&lt;=[4]Нормативы!$H$72,"КМС",IF(I721&lt;=[4]Нормативы!$L$73,"КМС",IF(I721&lt;=[4]Нормативы!$L$74,"I",IF(I721&lt;=[4]Нормативы!$L$75,"II",IF(I721&lt;=[4]Нормативы!$L$76,"III",IF(I721&lt;=[4]Нормативы!$L$77,"I юн",IF(I721&lt;=[4]Нормативы!$L$78,"II юн",IF(I721&lt;=[4]Нормативы!$L$79,"III юн","б/р")))))))))))</f>
        <v>III</v>
      </c>
    </row>
    <row r="722" spans="1:10" x14ac:dyDescent="0.3">
      <c r="A722" s="1028">
        <v>14</v>
      </c>
      <c r="B722" s="550" t="s">
        <v>24</v>
      </c>
      <c r="C722" s="551" t="s">
        <v>1403</v>
      </c>
      <c r="D722" s="890" t="s">
        <v>1695</v>
      </c>
      <c r="E722" s="1042">
        <v>40801</v>
      </c>
      <c r="F722" s="550" t="s">
        <v>1381</v>
      </c>
      <c r="G722" s="895"/>
      <c r="H722" s="550"/>
      <c r="I722" s="1025">
        <v>107.01</v>
      </c>
      <c r="J722" s="1085" t="str">
        <f>IF(ISBLANK(I722)," ",IF(ISTEXT(I722)," ",IF(I722&lt;=[4]Нормативы!$H$71,"КМС",IF(I722&lt;=[4]Нормативы!$H$72,"КМС",IF(I722&lt;=[4]Нормативы!$L$73,"КМС",IF(I722&lt;=[4]Нормативы!$L$74,"I",IF(I722&lt;=[4]Нормативы!$L$75,"II",IF(I722&lt;=[4]Нормативы!$L$76,"III",IF(I722&lt;=[4]Нормативы!$L$77,"I юн",IF(I722&lt;=[4]Нормативы!$L$78,"II юн",IF(I722&lt;=[4]Нормативы!$L$79,"III юн","б/р")))))))))))</f>
        <v>III</v>
      </c>
    </row>
    <row r="723" spans="1:10" x14ac:dyDescent="0.3">
      <c r="A723" s="1086">
        <v>15</v>
      </c>
      <c r="B723" s="550" t="s">
        <v>24</v>
      </c>
      <c r="C723" s="551" t="s">
        <v>1693</v>
      </c>
      <c r="D723" s="890" t="s">
        <v>1674</v>
      </c>
      <c r="E723" s="1042">
        <v>40693</v>
      </c>
      <c r="F723" s="550" t="s">
        <v>1452</v>
      </c>
      <c r="G723" s="895"/>
      <c r="H723" s="550"/>
      <c r="I723" s="1025">
        <v>107.55</v>
      </c>
      <c r="J723" s="1085" t="str">
        <f>IF(ISBLANK(I723)," ",IF(ISTEXT(I723)," ",IF(I723&lt;=[4]Нормативы!$H$71,"КМС",IF(I723&lt;=[4]Нормативы!$H$72,"КМС",IF(I723&lt;=[4]Нормативы!$L$73,"КМС",IF(I723&lt;=[4]Нормативы!$L$74,"I",IF(I723&lt;=[4]Нормативы!$L$75,"II",IF(I723&lt;=[4]Нормативы!$L$76,"III",IF(I723&lt;=[4]Нормативы!$L$77,"I юн",IF(I723&lt;=[4]Нормативы!$L$78,"II юн",IF(I723&lt;=[4]Нормативы!$L$79,"III юн","б/р")))))))))))</f>
        <v>I юн</v>
      </c>
    </row>
    <row r="724" spans="1:10" x14ac:dyDescent="0.3">
      <c r="A724" s="1028">
        <v>16</v>
      </c>
      <c r="B724" s="24" t="s">
        <v>35</v>
      </c>
      <c r="C724" s="551" t="s">
        <v>1692</v>
      </c>
      <c r="D724" s="890" t="s">
        <v>1609</v>
      </c>
      <c r="E724" s="1042">
        <v>40684</v>
      </c>
      <c r="F724" s="550" t="s">
        <v>1596</v>
      </c>
      <c r="G724" s="895"/>
      <c r="H724" s="550"/>
      <c r="I724" s="1025">
        <v>109.07</v>
      </c>
      <c r="J724" s="1085" t="str">
        <f>IF(ISBLANK(I724)," ",IF(ISTEXT(I724)," ",IF(I724&lt;=[4]Нормативы!$H$71,"КМС",IF(I724&lt;=[4]Нормативы!$H$72,"КМС",IF(I724&lt;=[4]Нормативы!$L$73,"КМС",IF(I724&lt;=[4]Нормативы!$L$74,"I",IF(I724&lt;=[4]Нормативы!$L$75,"II",IF(I724&lt;=[4]Нормативы!$L$76,"III",IF(I724&lt;=[4]Нормативы!$L$77,"I юн",IF(I724&lt;=[4]Нормативы!$L$78,"II юн",IF(I724&lt;=[4]Нормативы!$L$79,"III юн","б/р")))))))))))</f>
        <v>I юн</v>
      </c>
    </row>
    <row r="725" spans="1:10" x14ac:dyDescent="0.3">
      <c r="A725" s="1086"/>
      <c r="B725" s="550"/>
      <c r="C725" s="551"/>
      <c r="D725" s="890"/>
      <c r="E725" s="1042"/>
      <c r="F725" s="550"/>
      <c r="G725" s="895"/>
      <c r="H725" s="550"/>
      <c r="I725" s="1025"/>
      <c r="J725" s="300"/>
    </row>
    <row r="726" spans="1:10" ht="15.6" x14ac:dyDescent="0.3">
      <c r="A726" s="1028"/>
      <c r="B726" s="374"/>
      <c r="C726" s="928" t="s">
        <v>2049</v>
      </c>
      <c r="D726" s="374"/>
      <c r="E726" s="374"/>
      <c r="F726" s="374"/>
      <c r="G726" s="374"/>
      <c r="H726" s="929"/>
      <c r="I726" s="1070"/>
      <c r="J726" s="300"/>
    </row>
    <row r="727" spans="1:10" x14ac:dyDescent="0.3">
      <c r="A727" s="1086"/>
      <c r="B727" s="1003"/>
      <c r="C727" s="225"/>
      <c r="D727" s="18"/>
      <c r="E727" s="914"/>
      <c r="F727" s="991"/>
      <c r="G727" s="880"/>
      <c r="H727" s="361"/>
      <c r="I727" s="1074"/>
      <c r="J727" s="300"/>
    </row>
    <row r="728" spans="1:10" x14ac:dyDescent="0.3">
      <c r="A728" s="1086">
        <v>1</v>
      </c>
      <c r="B728" s="550" t="s">
        <v>6</v>
      </c>
      <c r="C728" s="550" t="s">
        <v>1855</v>
      </c>
      <c r="D728" s="551" t="s">
        <v>1856</v>
      </c>
      <c r="E728" s="1042">
        <v>41022</v>
      </c>
      <c r="F728" s="550" t="s">
        <v>1834</v>
      </c>
      <c r="G728" s="895"/>
      <c r="H728" s="880"/>
      <c r="I728" s="1025">
        <v>49.01</v>
      </c>
      <c r="J728" s="1085" t="str">
        <f>IF(ISBLANK(I728)," ",IF(ISTEXT(I728)," ",IF(I728&lt;=[4]Нормативы!$H$82,"КМС",IF(I728&lt;=[4]Нормативы!$H$83,"КМС",IF(I728&lt;=[4]Нормативы!$L$84,"КМС",IF(I728&lt;=[4]Нормативы!$L$85,"I",IF(I728&lt;=[4]Нормативы!$L$86,"II",IF(I728&lt;=[4]Нормативы!$L$87,"III",IF(I728&lt;=[4]Нормативы!$L$88,"I юн",IF(I728&lt;=[4]Нормативы!$L$89,"II юн",IF(I728&lt;=[4]Нормативы!$L$90,"III юн","б/р")))))))))))</f>
        <v>I</v>
      </c>
    </row>
    <row r="729" spans="1:10" x14ac:dyDescent="0.3">
      <c r="A729" s="1086">
        <v>2</v>
      </c>
      <c r="B729" s="550" t="s">
        <v>23</v>
      </c>
      <c r="C729" s="550" t="s">
        <v>1850</v>
      </c>
      <c r="D729" s="551" t="s">
        <v>1851</v>
      </c>
      <c r="E729" s="1042">
        <v>40927</v>
      </c>
      <c r="F729" s="550" t="s">
        <v>1834</v>
      </c>
      <c r="G729" s="895"/>
      <c r="H729" s="880"/>
      <c r="I729" s="1025">
        <v>52.13</v>
      </c>
      <c r="J729" s="1085" t="str">
        <f>IF(ISBLANK(I729)," ",IF(ISTEXT(I729)," ",IF(I729&lt;=[4]Нормативы!$H$82,"КМС",IF(I729&lt;=[4]Нормативы!$H$83,"КМС",IF(I729&lt;=[4]Нормативы!$L$84,"КМС",IF(I729&lt;=[4]Нормативы!$L$85,"I",IF(I729&lt;=[4]Нормативы!$L$86,"II",IF(I729&lt;=[4]Нормативы!$L$87,"III",IF(I729&lt;=[4]Нормативы!$L$88,"I юн",IF(I729&lt;=[4]Нормативы!$L$89,"II юн",IF(I729&lt;=[4]Нормативы!$L$90,"III юн","б/р")))))))))))</f>
        <v>II</v>
      </c>
    </row>
    <row r="730" spans="1:10" x14ac:dyDescent="0.3">
      <c r="A730" s="1086">
        <v>3</v>
      </c>
      <c r="B730" s="550" t="s">
        <v>23</v>
      </c>
      <c r="C730" s="550" t="s">
        <v>1365</v>
      </c>
      <c r="D730" s="551" t="s">
        <v>1940</v>
      </c>
      <c r="E730" s="1042">
        <v>41204</v>
      </c>
      <c r="F730" s="550" t="s">
        <v>1450</v>
      </c>
      <c r="G730" s="895"/>
      <c r="H730" s="880"/>
      <c r="I730" s="1025">
        <v>54.11</v>
      </c>
      <c r="J730" s="1085" t="str">
        <f>IF(ISBLANK(I730)," ",IF(ISTEXT(I730)," ",IF(I730&lt;=[4]Нормативы!$H$82,"КМС",IF(I730&lt;=[4]Нормативы!$H$83,"КМС",IF(I730&lt;=[4]Нормативы!$L$84,"КМС",IF(I730&lt;=[4]Нормативы!$L$85,"I",IF(I730&lt;=[4]Нормативы!$L$86,"II",IF(I730&lt;=[4]Нормативы!$L$87,"III",IF(I730&lt;=[4]Нормативы!$L$88,"I юн",IF(I730&lt;=[4]Нормативы!$L$89,"II юн",IF(I730&lt;=[4]Нормативы!$L$90,"III юн","б/р")))))))))))</f>
        <v>II</v>
      </c>
    </row>
    <row r="731" spans="1:10" x14ac:dyDescent="0.3">
      <c r="A731" s="1086">
        <v>4</v>
      </c>
      <c r="B731" s="550" t="s">
        <v>24</v>
      </c>
      <c r="C731" s="24" t="s">
        <v>1847</v>
      </c>
      <c r="D731" s="890" t="s">
        <v>1757</v>
      </c>
      <c r="E731" s="1043">
        <v>41331</v>
      </c>
      <c r="F731" s="550" t="s">
        <v>1430</v>
      </c>
      <c r="G731" s="895"/>
      <c r="H731" s="880"/>
      <c r="I731" s="1075">
        <v>54.38</v>
      </c>
      <c r="J731" s="1085" t="str">
        <f>IF(ISBLANK(I731)," ",IF(ISTEXT(I731)," ",IF(I731&lt;=[4]Нормативы!$H$82,"КМС",IF(I731&lt;=[4]Нормативы!$H$83,"КМС",IF(I731&lt;=[4]Нормативы!$L$84,"КМС",IF(I731&lt;=[4]Нормативы!$L$85,"I",IF(I731&lt;=[4]Нормативы!$L$86,"II",IF(I731&lt;=[4]Нормативы!$L$87,"III",IF(I731&lt;=[4]Нормативы!$L$88,"I юн",IF(I731&lt;=[4]Нормативы!$L$89,"II юн",IF(I731&lt;=[4]Нормативы!$L$90,"III юн","б/р")))))))))))</f>
        <v>II</v>
      </c>
    </row>
    <row r="732" spans="1:10" x14ac:dyDescent="0.3">
      <c r="A732" s="1086">
        <v>5</v>
      </c>
      <c r="B732" s="550" t="s">
        <v>24</v>
      </c>
      <c r="C732" s="1048" t="s">
        <v>1848</v>
      </c>
      <c r="D732" s="890" t="s">
        <v>1789</v>
      </c>
      <c r="E732" s="1049">
        <v>41517</v>
      </c>
      <c r="F732" s="550" t="s">
        <v>1430</v>
      </c>
      <c r="G732" s="895"/>
      <c r="H732" s="880"/>
      <c r="I732" s="1075">
        <v>55.57</v>
      </c>
      <c r="J732" s="1085" t="str">
        <f>IF(ISBLANK(I732)," ",IF(ISTEXT(I732)," ",IF(I732&lt;=[4]Нормативы!$H$82,"КМС",IF(I732&lt;=[4]Нормативы!$H$83,"КМС",IF(I732&lt;=[4]Нормативы!$L$84,"КМС",IF(I732&lt;=[4]Нормативы!$L$85,"I",IF(I732&lt;=[4]Нормативы!$L$86,"II",IF(I732&lt;=[4]Нормативы!$L$87,"III",IF(I732&lt;=[4]Нормативы!$L$88,"I юн",IF(I732&lt;=[4]Нормативы!$L$89,"II юн",IF(I732&lt;=[4]Нормативы!$L$90,"III юн","б/р")))))))))))</f>
        <v>III</v>
      </c>
    </row>
    <row r="733" spans="1:10" x14ac:dyDescent="0.3">
      <c r="A733" s="1086">
        <v>6</v>
      </c>
      <c r="B733" s="24" t="s">
        <v>35</v>
      </c>
      <c r="C733" s="24" t="s">
        <v>1846</v>
      </c>
      <c r="D733" s="890" t="s">
        <v>1807</v>
      </c>
      <c r="E733" s="1043">
        <v>41197</v>
      </c>
      <c r="F733" s="550" t="s">
        <v>1430</v>
      </c>
      <c r="G733" s="895"/>
      <c r="H733" s="880"/>
      <c r="I733" s="1075">
        <v>56.94</v>
      </c>
      <c r="J733" s="1085" t="str">
        <f>IF(ISBLANK(I733)," ",IF(ISTEXT(I733)," ",IF(I733&lt;=[4]Нормативы!$H$82,"КМС",IF(I733&lt;=[4]Нормативы!$H$83,"КМС",IF(I733&lt;=[4]Нормативы!$L$84,"КМС",IF(I733&lt;=[4]Нормативы!$L$85,"I",IF(I733&lt;=[4]Нормативы!$L$86,"II",IF(I733&lt;=[4]Нормативы!$L$87,"III",IF(I733&lt;=[4]Нормативы!$L$88,"I юн",IF(I733&lt;=[4]Нормативы!$L$89,"II юн",IF(I733&lt;=[4]Нормативы!$L$90,"III юн","б/р")))))))))))</f>
        <v>III</v>
      </c>
    </row>
    <row r="734" spans="1:10" x14ac:dyDescent="0.3">
      <c r="A734" s="1086">
        <v>7</v>
      </c>
      <c r="B734" s="550" t="s">
        <v>35</v>
      </c>
      <c r="C734" s="550" t="s">
        <v>1842</v>
      </c>
      <c r="D734" s="551" t="s">
        <v>1733</v>
      </c>
      <c r="E734" s="1042">
        <v>41363</v>
      </c>
      <c r="F734" s="550" t="s">
        <v>1381</v>
      </c>
      <c r="G734" s="895"/>
      <c r="H734" s="880"/>
      <c r="I734" s="1025">
        <v>58.3</v>
      </c>
      <c r="J734" s="1085" t="str">
        <f>IF(ISBLANK(I734)," ",IF(ISTEXT(I734)," ",IF(I734&lt;=[4]Нормативы!$H$82,"КМС",IF(I734&lt;=[4]Нормативы!$H$83,"КМС",IF(I734&lt;=[4]Нормативы!$L$84,"КМС",IF(I734&lt;=[4]Нормативы!$L$85,"I",IF(I734&lt;=[4]Нормативы!$L$86,"II",IF(I734&lt;=[4]Нормативы!$L$87,"III",IF(I734&lt;=[4]Нормативы!$L$88,"I юн",IF(I734&lt;=[4]Нормативы!$L$89,"II юн",IF(I734&lt;=[4]Нормативы!$L$90,"III юн","б/р")))))))))))</f>
        <v>III</v>
      </c>
    </row>
    <row r="735" spans="1:10" x14ac:dyDescent="0.3">
      <c r="A735" s="1086">
        <v>8</v>
      </c>
      <c r="B735" s="550" t="s">
        <v>35</v>
      </c>
      <c r="C735" s="550" t="s">
        <v>1501</v>
      </c>
      <c r="D735" s="551" t="s">
        <v>1725</v>
      </c>
      <c r="E735" s="1042">
        <v>41584</v>
      </c>
      <c r="F735" s="550" t="s">
        <v>1450</v>
      </c>
      <c r="G735" s="895"/>
      <c r="H735" s="880"/>
      <c r="I735" s="1025">
        <v>58.9</v>
      </c>
      <c r="J735" s="1085" t="str">
        <f>IF(ISBLANK(I735)," ",IF(ISTEXT(I735)," ",IF(I735&lt;=[4]Нормативы!$H$82,"КМС",IF(I735&lt;=[4]Нормативы!$H$83,"КМС",IF(I735&lt;=[4]Нормативы!$L$84,"КМС",IF(I735&lt;=[4]Нормативы!$L$85,"I",IF(I735&lt;=[4]Нормативы!$L$86,"II",IF(I735&lt;=[4]Нормативы!$L$87,"III",IF(I735&lt;=[4]Нормативы!$L$88,"I юн",IF(I735&lt;=[4]Нормативы!$L$89,"II юн",IF(I735&lt;=[4]Нормативы!$L$90,"III юн","б/р")))))))))))</f>
        <v>III</v>
      </c>
    </row>
    <row r="736" spans="1:10" x14ac:dyDescent="0.3">
      <c r="A736" s="1086">
        <v>9</v>
      </c>
      <c r="B736" s="550" t="s">
        <v>35</v>
      </c>
      <c r="C736" s="550" t="s">
        <v>1829</v>
      </c>
      <c r="D736" s="551" t="s">
        <v>1830</v>
      </c>
      <c r="E736" s="1042">
        <v>41166</v>
      </c>
      <c r="F736" s="550" t="s">
        <v>1598</v>
      </c>
      <c r="G736" s="895"/>
      <c r="H736" s="880"/>
      <c r="I736" s="1025">
        <v>59.59</v>
      </c>
      <c r="J736" s="1085" t="str">
        <f>IF(ISBLANK(I736)," ",IF(ISTEXT(I736)," ",IF(I736&lt;=[4]Нормативы!$H$82,"КМС",IF(I736&lt;=[4]Нормативы!$H$83,"КМС",IF(I736&lt;=[4]Нормативы!$L$84,"КМС",IF(I736&lt;=[4]Нормативы!$L$85,"I",IF(I736&lt;=[4]Нормативы!$L$86,"II",IF(I736&lt;=[4]Нормативы!$L$87,"III",IF(I736&lt;=[4]Нормативы!$L$88,"I юн",IF(I736&lt;=[4]Нормативы!$L$89,"II юн",IF(I736&lt;=[4]Нормативы!$L$90,"III юн","б/р")))))))))))</f>
        <v>III</v>
      </c>
    </row>
    <row r="737" spans="1:10" x14ac:dyDescent="0.3">
      <c r="A737" s="1086">
        <v>10</v>
      </c>
      <c r="B737" s="550" t="s">
        <v>35</v>
      </c>
      <c r="C737" s="1079" t="s">
        <v>1358</v>
      </c>
      <c r="D737" s="1123" t="s">
        <v>1946</v>
      </c>
      <c r="E737" s="1080">
        <v>41059</v>
      </c>
      <c r="F737" s="550" t="s">
        <v>1450</v>
      </c>
      <c r="G737" s="550"/>
      <c r="H737" s="1120"/>
      <c r="I737" s="1025">
        <v>59.67</v>
      </c>
      <c r="J737" s="1085" t="str">
        <f>IF(ISBLANK(I737)," ",IF(ISTEXT(I737)," ",IF(I737&lt;=[4]Нормативы!$H$82,"КМС",IF(I737&lt;=[4]Нормативы!$H$83,"КМС",IF(I737&lt;=[4]Нормативы!$L$84,"КМС",IF(I737&lt;=[4]Нормативы!$L$85,"I",IF(I737&lt;=[4]Нормативы!$L$86,"II",IF(I737&lt;=[4]Нормативы!$L$87,"III",IF(I737&lt;=[4]Нормативы!$L$88,"I юн",IF(I737&lt;=[4]Нормативы!$L$89,"II юн",IF(I737&lt;=[4]Нормативы!$L$90,"III юн","б/р")))))))))))</f>
        <v>III</v>
      </c>
    </row>
    <row r="738" spans="1:10" x14ac:dyDescent="0.3">
      <c r="A738" s="1086">
        <v>11</v>
      </c>
      <c r="B738" s="550" t="s">
        <v>35</v>
      </c>
      <c r="C738" s="550" t="s">
        <v>1838</v>
      </c>
      <c r="D738" s="551" t="s">
        <v>1760</v>
      </c>
      <c r="E738" s="1042">
        <v>41478</v>
      </c>
      <c r="F738" s="550" t="s">
        <v>1452</v>
      </c>
      <c r="G738" s="895"/>
      <c r="H738" s="880"/>
      <c r="I738" s="1025">
        <v>100.07</v>
      </c>
      <c r="J738" s="1085" t="str">
        <f>IF(ISBLANK(I738)," ",IF(ISTEXT(I738)," ",IF(I738&lt;=[4]Нормативы!$H$82,"КМС",IF(I738&lt;=[4]Нормативы!$H$83,"КМС",IF(I738&lt;=[4]Нормативы!$L$84,"КМС",IF(I738&lt;=[4]Нормативы!$L$85,"I",IF(I738&lt;=[4]Нормативы!$L$86,"II",IF(I738&lt;=[4]Нормативы!$L$87,"III",IF(I738&lt;=[4]Нормативы!$L$88,"I юн",IF(I738&lt;=[4]Нормативы!$L$89,"II юн",IF(I738&lt;=[4]Нормативы!$L$90,"III юн","б/р")))))))))))</f>
        <v>I юн</v>
      </c>
    </row>
    <row r="739" spans="1:10" x14ac:dyDescent="0.3">
      <c r="A739" s="1086">
        <v>12</v>
      </c>
      <c r="B739" s="550" t="s">
        <v>35</v>
      </c>
      <c r="C739" s="550" t="s">
        <v>1841</v>
      </c>
      <c r="D739" s="551" t="s">
        <v>1735</v>
      </c>
      <c r="E739" s="1042">
        <v>41109</v>
      </c>
      <c r="F739" s="550" t="s">
        <v>1450</v>
      </c>
      <c r="G739" s="895"/>
      <c r="H739" s="880"/>
      <c r="I739" s="1025">
        <v>100.59</v>
      </c>
      <c r="J739" s="1085" t="str">
        <f>IF(ISBLANK(I739)," ",IF(ISTEXT(I739)," ",IF(I739&lt;=[4]Нормативы!$H$82,"КМС",IF(I739&lt;=[4]Нормативы!$H$83,"КМС",IF(I739&lt;=[4]Нормативы!$L$84,"КМС",IF(I739&lt;=[4]Нормативы!$L$85,"I",IF(I739&lt;=[4]Нормативы!$L$86,"II",IF(I739&lt;=[4]Нормативы!$L$87,"III",IF(I739&lt;=[4]Нормативы!$L$88,"I юн",IF(I739&lt;=[4]Нормативы!$L$89,"II юн",IF(I739&lt;=[4]Нормативы!$L$90,"III юн","б/р")))))))))))</f>
        <v>I юн</v>
      </c>
    </row>
    <row r="740" spans="1:10" x14ac:dyDescent="0.3">
      <c r="A740" s="1086">
        <v>13</v>
      </c>
      <c r="B740" s="550" t="s">
        <v>35</v>
      </c>
      <c r="C740" s="550" t="s">
        <v>1827</v>
      </c>
      <c r="D740" s="551" t="s">
        <v>1737</v>
      </c>
      <c r="E740" s="1042">
        <v>41462</v>
      </c>
      <c r="F740" s="550" t="s">
        <v>1634</v>
      </c>
      <c r="G740" s="895"/>
      <c r="H740" s="880"/>
      <c r="I740" s="1025">
        <v>101.24</v>
      </c>
      <c r="J740" s="1085" t="str">
        <f>IF(ISBLANK(I740)," ",IF(ISTEXT(I740)," ",IF(I740&lt;=[4]Нормативы!$H$82,"КМС",IF(I740&lt;=[4]Нормативы!$H$83,"КМС",IF(I740&lt;=[4]Нормативы!$L$84,"КМС",IF(I740&lt;=[4]Нормативы!$L$85,"I",IF(I740&lt;=[4]Нормативы!$L$86,"II",IF(I740&lt;=[4]Нормативы!$L$87,"III",IF(I740&lt;=[4]Нормативы!$L$88,"I юн",IF(I740&lt;=[4]Нормативы!$L$89,"II юн",IF(I740&lt;=[4]Нормативы!$L$90,"III юн","б/р")))))))))))</f>
        <v>I юн</v>
      </c>
    </row>
    <row r="741" spans="1:10" x14ac:dyDescent="0.3">
      <c r="A741" s="1086">
        <v>14</v>
      </c>
      <c r="B741" s="550" t="s">
        <v>35</v>
      </c>
      <c r="C741" s="551" t="s">
        <v>1578</v>
      </c>
      <c r="D741" s="551" t="s">
        <v>1729</v>
      </c>
      <c r="E741" s="1042">
        <v>41539</v>
      </c>
      <c r="F741" s="550" t="s">
        <v>1596</v>
      </c>
      <c r="G741" s="895"/>
      <c r="H741" s="880"/>
      <c r="I741" s="1025">
        <v>101.5</v>
      </c>
      <c r="J741" s="1085" t="str">
        <f>IF(ISBLANK(I741)," ",IF(ISTEXT(I741)," ",IF(I741&lt;=[4]Нормативы!$H$82,"КМС",IF(I741&lt;=[4]Нормативы!$H$83,"КМС",IF(I741&lt;=[4]Нормативы!$L$84,"КМС",IF(I741&lt;=[4]Нормативы!$L$85,"I",IF(I741&lt;=[4]Нормативы!$L$86,"II",IF(I741&lt;=[4]Нормативы!$L$87,"III",IF(I741&lt;=[4]Нормативы!$L$88,"I юн",IF(I741&lt;=[4]Нормативы!$L$89,"II юн",IF(I741&lt;=[4]Нормативы!$L$90,"III юн","б/р")))))))))))</f>
        <v>I юн</v>
      </c>
    </row>
    <row r="742" spans="1:10" x14ac:dyDescent="0.3">
      <c r="A742" s="1086">
        <v>15</v>
      </c>
      <c r="B742" s="550" t="s">
        <v>35</v>
      </c>
      <c r="C742" s="550" t="s">
        <v>1823</v>
      </c>
      <c r="D742" s="551" t="s">
        <v>1792</v>
      </c>
      <c r="E742" s="1042">
        <v>41062</v>
      </c>
      <c r="F742" s="550" t="s">
        <v>1654</v>
      </c>
      <c r="G742" s="895"/>
      <c r="H742" s="880"/>
      <c r="I742" s="1025">
        <v>101.57</v>
      </c>
      <c r="J742" s="1085" t="str">
        <f>IF(ISBLANK(I742)," ",IF(ISTEXT(I742)," ",IF(I742&lt;=[4]Нормативы!$H$82,"КМС",IF(I742&lt;=[4]Нормативы!$H$83,"КМС",IF(I742&lt;=[4]Нормативы!$L$84,"КМС",IF(I742&lt;=[4]Нормативы!$L$85,"I",IF(I742&lt;=[4]Нормативы!$L$86,"II",IF(I742&lt;=[4]Нормативы!$L$87,"III",IF(I742&lt;=[4]Нормативы!$L$88,"I юн",IF(I742&lt;=[4]Нормативы!$L$89,"II юн",IF(I742&lt;=[4]Нормативы!$L$90,"III юн","б/р")))))))))))</f>
        <v>I юн</v>
      </c>
    </row>
    <row r="743" spans="1:10" x14ac:dyDescent="0.3">
      <c r="A743" s="1086">
        <v>16</v>
      </c>
      <c r="B743" s="550" t="s">
        <v>35</v>
      </c>
      <c r="C743" s="1047" t="s">
        <v>1837</v>
      </c>
      <c r="D743" s="551" t="s">
        <v>1744</v>
      </c>
      <c r="E743" s="1042">
        <v>41473</v>
      </c>
      <c r="F743" s="550" t="s">
        <v>1596</v>
      </c>
      <c r="G743" s="895"/>
      <c r="H743" s="880"/>
      <c r="I743" s="1025">
        <v>101.65</v>
      </c>
      <c r="J743" s="1085" t="str">
        <f>IF(ISBLANK(I743)," ",IF(ISTEXT(I743)," ",IF(I743&lt;=[4]Нормативы!$H$82,"КМС",IF(I743&lt;=[4]Нормативы!$H$83,"КМС",IF(I743&lt;=[4]Нормативы!$L$84,"КМС",IF(I743&lt;=[4]Нормативы!$L$85,"I",IF(I743&lt;=[4]Нормативы!$L$86,"II",IF(I743&lt;=[4]Нормативы!$L$87,"III",IF(I743&lt;=[4]Нормативы!$L$88,"I юн",IF(I743&lt;=[4]Нормативы!$L$89,"II юн",IF(I743&lt;=[4]Нормативы!$L$90,"III юн","б/р")))))))))))</f>
        <v>I юн</v>
      </c>
    </row>
    <row r="744" spans="1:10" x14ac:dyDescent="0.3">
      <c r="A744" s="1086">
        <v>17</v>
      </c>
      <c r="B744" s="550" t="s">
        <v>35</v>
      </c>
      <c r="C744" s="550" t="s">
        <v>1826</v>
      </c>
      <c r="D744" s="551" t="s">
        <v>1735</v>
      </c>
      <c r="E744" s="1042">
        <v>41139</v>
      </c>
      <c r="F744" s="550" t="s">
        <v>1628</v>
      </c>
      <c r="G744" s="895"/>
      <c r="H744" s="880"/>
      <c r="I744" s="1025">
        <v>102.01</v>
      </c>
      <c r="J744" s="1085" t="str">
        <f>IF(ISBLANK(I744)," ",IF(ISTEXT(I744)," ",IF(I744&lt;=[4]Нормативы!$H$82,"КМС",IF(I744&lt;=[4]Нормативы!$H$83,"КМС",IF(I744&lt;=[4]Нормативы!$L$84,"КМС",IF(I744&lt;=[4]Нормативы!$L$85,"I",IF(I744&lt;=[4]Нормативы!$L$86,"II",IF(I744&lt;=[4]Нормативы!$L$87,"III",IF(I744&lt;=[4]Нормативы!$L$88,"I юн",IF(I744&lt;=[4]Нормативы!$L$89,"II юн",IF(I744&lt;=[4]Нормативы!$L$90,"III юн","б/р")))))))))))</f>
        <v>I юн</v>
      </c>
    </row>
    <row r="745" spans="1:10" x14ac:dyDescent="0.3">
      <c r="A745" s="1086">
        <v>18</v>
      </c>
      <c r="B745" s="550" t="s">
        <v>35</v>
      </c>
      <c r="C745" s="550" t="s">
        <v>1825</v>
      </c>
      <c r="D745" s="551" t="s">
        <v>1752</v>
      </c>
      <c r="E745" s="1042">
        <v>41113</v>
      </c>
      <c r="F745" s="550" t="s">
        <v>1634</v>
      </c>
      <c r="G745" s="895"/>
      <c r="H745" s="880"/>
      <c r="I745" s="1025">
        <v>102.19</v>
      </c>
      <c r="J745" s="1085" t="str">
        <f>IF(ISBLANK(I745)," ",IF(ISTEXT(I745)," ",IF(I745&lt;=[4]Нормативы!$H$82,"КМС",IF(I745&lt;=[4]Нормативы!$H$83,"КМС",IF(I745&lt;=[4]Нормативы!$L$84,"КМС",IF(I745&lt;=[4]Нормативы!$L$85,"I",IF(I745&lt;=[4]Нормативы!$L$86,"II",IF(I745&lt;=[4]Нормативы!$L$87,"III",IF(I745&lt;=[4]Нормативы!$L$88,"I юн",IF(I745&lt;=[4]Нормативы!$L$89,"II юн",IF(I745&lt;=[4]Нормативы!$L$90,"III юн","б/р")))))))))))</f>
        <v>I юн</v>
      </c>
    </row>
    <row r="746" spans="1:10" x14ac:dyDescent="0.3">
      <c r="A746" s="1086">
        <v>19</v>
      </c>
      <c r="B746" s="550" t="s">
        <v>20</v>
      </c>
      <c r="C746" s="550" t="s">
        <v>1836</v>
      </c>
      <c r="D746" s="551" t="s">
        <v>1755</v>
      </c>
      <c r="E746" s="1042">
        <v>41258</v>
      </c>
      <c r="F746" s="550" t="s">
        <v>1452</v>
      </c>
      <c r="G746" s="895"/>
      <c r="H746" s="880"/>
      <c r="I746" s="1025">
        <v>102.7</v>
      </c>
      <c r="J746" s="1085" t="str">
        <f>IF(ISBLANK(I746)," ",IF(ISTEXT(I746)," ",IF(I746&lt;=[4]Нормативы!$H$82,"КМС",IF(I746&lt;=[4]Нормативы!$H$83,"КМС",IF(I746&lt;=[4]Нормативы!$L$84,"КМС",IF(I746&lt;=[4]Нормативы!$L$85,"I",IF(I746&lt;=[4]Нормативы!$L$86,"II",IF(I746&lt;=[4]Нормативы!$L$87,"III",IF(I746&lt;=[4]Нормативы!$L$88,"I юн",IF(I746&lt;=[4]Нормативы!$L$89,"II юн",IF(I746&lt;=[4]Нормативы!$L$90,"III юн","б/р")))))))))))</f>
        <v>I юн</v>
      </c>
    </row>
    <row r="747" spans="1:10" x14ac:dyDescent="0.3">
      <c r="A747" s="1086">
        <v>20</v>
      </c>
      <c r="B747" s="550" t="s">
        <v>35</v>
      </c>
      <c r="C747" s="1047" t="s">
        <v>1514</v>
      </c>
      <c r="D747" s="551" t="s">
        <v>1764</v>
      </c>
      <c r="E747" s="1042">
        <v>40970</v>
      </c>
      <c r="F747" s="550" t="s">
        <v>1596</v>
      </c>
      <c r="G747" s="895"/>
      <c r="H747" s="880"/>
      <c r="I747" s="1025">
        <v>102.94</v>
      </c>
      <c r="J747" s="1085" t="str">
        <f>IF(ISBLANK(I747)," ",IF(ISTEXT(I747)," ",IF(I747&lt;=[4]Нормативы!$H$82,"КМС",IF(I747&lt;=[4]Нормативы!$H$83,"КМС",IF(I747&lt;=[4]Нормативы!$L$84,"КМС",IF(I747&lt;=[4]Нормативы!$L$85,"I",IF(I747&lt;=[4]Нормативы!$L$86,"II",IF(I747&lt;=[4]Нормативы!$L$87,"III",IF(I747&lt;=[4]Нормативы!$L$88,"I юн",IF(I747&lt;=[4]Нормативы!$L$89,"II юн",IF(I747&lt;=[4]Нормативы!$L$90,"III юн","б/р")))))))))))</f>
        <v>I юн</v>
      </c>
    </row>
    <row r="748" spans="1:10" x14ac:dyDescent="0.3">
      <c r="A748" s="1086">
        <v>21</v>
      </c>
      <c r="B748" s="550" t="s">
        <v>35</v>
      </c>
      <c r="C748" s="550" t="s">
        <v>1824</v>
      </c>
      <c r="D748" s="551" t="s">
        <v>1725</v>
      </c>
      <c r="E748" s="1042">
        <v>41200</v>
      </c>
      <c r="F748" s="550" t="s">
        <v>1634</v>
      </c>
      <c r="G748" s="895"/>
      <c r="H748" s="880"/>
      <c r="I748" s="1025">
        <v>103.13</v>
      </c>
      <c r="J748" s="1085" t="str">
        <f>IF(ISBLANK(I748)," ",IF(ISTEXT(I748)," ",IF(I748&lt;=[4]Нормативы!$H$82,"КМС",IF(I748&lt;=[4]Нормативы!$H$83,"КМС",IF(I748&lt;=[4]Нормативы!$L$84,"КМС",IF(I748&lt;=[4]Нормативы!$L$85,"I",IF(I748&lt;=[4]Нормативы!$L$86,"II",IF(I748&lt;=[4]Нормативы!$L$87,"III",IF(I748&lt;=[4]Нормативы!$L$88,"I юн",IF(I748&lt;=[4]Нормативы!$L$89,"II юн",IF(I748&lt;=[4]Нормативы!$L$90,"III юн","б/р")))))))))))</f>
        <v>I юн</v>
      </c>
    </row>
    <row r="749" spans="1:10" x14ac:dyDescent="0.3">
      <c r="A749" s="1086">
        <v>22</v>
      </c>
      <c r="B749" s="550" t="s">
        <v>35</v>
      </c>
      <c r="C749" s="550" t="s">
        <v>1828</v>
      </c>
      <c r="D749" s="551" t="s">
        <v>1750</v>
      </c>
      <c r="E749" s="1042">
        <v>41452</v>
      </c>
      <c r="F749" s="550" t="s">
        <v>1381</v>
      </c>
      <c r="G749" s="895"/>
      <c r="H749" s="880"/>
      <c r="I749" s="1025">
        <v>103.58</v>
      </c>
      <c r="J749" s="1085" t="str">
        <f>IF(ISBLANK(I749)," ",IF(ISTEXT(I749)," ",IF(I749&lt;=[4]Нормативы!$H$82,"КМС",IF(I749&lt;=[4]Нормативы!$H$83,"КМС",IF(I749&lt;=[4]Нормативы!$L$84,"КМС",IF(I749&lt;=[4]Нормативы!$L$85,"I",IF(I749&lt;=[4]Нормативы!$L$86,"II",IF(I749&lt;=[4]Нормативы!$L$87,"III",IF(I749&lt;=[4]Нормативы!$L$88,"I юн",IF(I749&lt;=[4]Нормативы!$L$89,"II юн",IF(I749&lt;=[4]Нормативы!$L$90,"III юн","б/р")))))))))))</f>
        <v>I юн</v>
      </c>
    </row>
    <row r="750" spans="1:10" x14ac:dyDescent="0.3">
      <c r="A750" s="1086">
        <v>23</v>
      </c>
      <c r="B750" s="550" t="s">
        <v>35</v>
      </c>
      <c r="C750" s="550" t="s">
        <v>1835</v>
      </c>
      <c r="D750" s="551" t="s">
        <v>1739</v>
      </c>
      <c r="E750" s="1042">
        <v>41375</v>
      </c>
      <c r="F750" s="550" t="s">
        <v>1834</v>
      </c>
      <c r="G750" s="895"/>
      <c r="H750" s="880"/>
      <c r="I750" s="1025">
        <v>104.87</v>
      </c>
      <c r="J750" s="1085" t="str">
        <f>IF(ISBLANK(I750)," ",IF(ISTEXT(I750)," ",IF(I750&lt;=[4]Нормативы!$H$82,"КМС",IF(I750&lt;=[4]Нормативы!$H$83,"КМС",IF(I750&lt;=[4]Нормативы!$L$84,"КМС",IF(I750&lt;=[4]Нормативы!$L$85,"I",IF(I750&lt;=[4]Нормативы!$L$86,"II",IF(I750&lt;=[4]Нормативы!$L$87,"III",IF(I750&lt;=[4]Нормативы!$L$88,"I юн",IF(I750&lt;=[4]Нормативы!$L$89,"II юн",IF(I750&lt;=[4]Нормативы!$L$90,"III юн","б/р")))))))))))</f>
        <v>I юн</v>
      </c>
    </row>
    <row r="751" spans="1:10" x14ac:dyDescent="0.3">
      <c r="A751" s="1086">
        <v>24</v>
      </c>
      <c r="B751" s="550" t="s">
        <v>20</v>
      </c>
      <c r="C751" s="550" t="s">
        <v>1814</v>
      </c>
      <c r="D751" s="551" t="s">
        <v>1760</v>
      </c>
      <c r="E751" s="1042">
        <v>41457</v>
      </c>
      <c r="F751" s="550" t="s">
        <v>1628</v>
      </c>
      <c r="G751" s="895"/>
      <c r="H751" s="880"/>
      <c r="I751" s="1025">
        <v>105.33</v>
      </c>
      <c r="J751" s="1085" t="str">
        <f>IF(ISBLANK(I751)," ",IF(ISTEXT(I751)," ",IF(I751&lt;=[4]Нормативы!$H$82,"КМС",IF(I751&lt;=[4]Нормативы!$H$83,"КМС",IF(I751&lt;=[4]Нормативы!$L$84,"КМС",IF(I751&lt;=[4]Нормативы!$L$85,"I",IF(I751&lt;=[4]Нормативы!$L$86,"II",IF(I751&lt;=[4]Нормативы!$L$87,"III",IF(I751&lt;=[4]Нормативы!$L$88,"I юн",IF(I751&lt;=[4]Нормативы!$L$89,"II юн",IF(I751&lt;=[4]Нормативы!$L$90,"III юн","б/р")))))))))))</f>
        <v>II юн</v>
      </c>
    </row>
    <row r="752" spans="1:10" x14ac:dyDescent="0.3">
      <c r="A752" s="1086">
        <v>25</v>
      </c>
      <c r="B752" s="550" t="s">
        <v>20</v>
      </c>
      <c r="C752" s="551" t="s">
        <v>1821</v>
      </c>
      <c r="D752" s="551" t="s">
        <v>1735</v>
      </c>
      <c r="E752" s="1042">
        <v>41210</v>
      </c>
      <c r="F752" s="550" t="s">
        <v>1596</v>
      </c>
      <c r="G752" s="895"/>
      <c r="H752" s="880"/>
      <c r="I752" s="1025">
        <v>105.82</v>
      </c>
      <c r="J752" s="1085" t="str">
        <f>IF(ISBLANK(I752)," ",IF(ISTEXT(I752)," ",IF(I752&lt;=[4]Нормативы!$H$82,"КМС",IF(I752&lt;=[4]Нормативы!$H$83,"КМС",IF(I752&lt;=[4]Нормативы!$L$84,"КМС",IF(I752&lt;=[4]Нормативы!$L$85,"I",IF(I752&lt;=[4]Нормативы!$L$86,"II",IF(I752&lt;=[4]Нормативы!$L$87,"III",IF(I752&lt;=[4]Нормативы!$L$88,"I юн",IF(I752&lt;=[4]Нормативы!$L$89,"II юн",IF(I752&lt;=[4]Нормативы!$L$90,"III юн","б/р")))))))))))</f>
        <v>II юн</v>
      </c>
    </row>
    <row r="753" spans="1:10" x14ac:dyDescent="0.3">
      <c r="A753" s="1086">
        <v>26</v>
      </c>
      <c r="B753" s="550" t="s">
        <v>20</v>
      </c>
      <c r="C753" s="1047" t="s">
        <v>1808</v>
      </c>
      <c r="D753" s="551" t="s">
        <v>1768</v>
      </c>
      <c r="E753" s="1042">
        <v>41114</v>
      </c>
      <c r="F753" s="24" t="s">
        <v>1596</v>
      </c>
      <c r="G753" s="895"/>
      <c r="H753" s="880"/>
      <c r="I753" s="1025">
        <v>106.28</v>
      </c>
      <c r="J753" s="1085" t="str">
        <f>IF(ISBLANK(I753)," ",IF(ISTEXT(I753)," ",IF(I753&lt;=[4]Нормативы!$H$82,"КМС",IF(I753&lt;=[4]Нормативы!$H$83,"КМС",IF(I753&lt;=[4]Нормативы!$L$84,"КМС",IF(I753&lt;=[4]Нормативы!$L$85,"I",IF(I753&lt;=[4]Нормативы!$L$86,"II",IF(I753&lt;=[4]Нормативы!$L$87,"III",IF(I753&lt;=[4]Нормативы!$L$88,"I юн",IF(I753&lt;=[4]Нормативы!$L$89,"II юн",IF(I753&lt;=[4]Нормативы!$L$90,"III юн","б/р")))))))))))</f>
        <v>II юн</v>
      </c>
    </row>
    <row r="754" spans="1:10" x14ac:dyDescent="0.3">
      <c r="A754" s="1086">
        <v>27</v>
      </c>
      <c r="B754" s="550" t="s">
        <v>20</v>
      </c>
      <c r="C754" s="550" t="s">
        <v>1816</v>
      </c>
      <c r="D754" s="551" t="s">
        <v>1817</v>
      </c>
      <c r="E754" s="1042">
        <v>41335</v>
      </c>
      <c r="F754" s="550" t="s">
        <v>1628</v>
      </c>
      <c r="G754" s="895"/>
      <c r="H754" s="880"/>
      <c r="I754" s="1025">
        <v>106.85</v>
      </c>
      <c r="J754" s="1085" t="str">
        <f>IF(ISBLANK(I754)," ",IF(ISTEXT(I754)," ",IF(I754&lt;=[4]Нормативы!$H$82,"КМС",IF(I754&lt;=[4]Нормативы!$H$83,"КМС",IF(I754&lt;=[4]Нормативы!$L$84,"КМС",IF(I754&lt;=[4]Нормативы!$L$85,"I",IF(I754&lt;=[4]Нормативы!$L$86,"II",IF(I754&lt;=[4]Нормативы!$L$87,"III",IF(I754&lt;=[4]Нормативы!$L$88,"I юн",IF(I754&lt;=[4]Нормативы!$L$89,"II юн",IF(I754&lt;=[4]Нормативы!$L$90,"III юн","б/р")))))))))))</f>
        <v>II юн</v>
      </c>
    </row>
    <row r="755" spans="1:10" x14ac:dyDescent="0.3">
      <c r="A755" s="1086">
        <v>28</v>
      </c>
      <c r="B755" s="550" t="s">
        <v>35</v>
      </c>
      <c r="C755" s="551" t="s">
        <v>1831</v>
      </c>
      <c r="D755" s="551" t="s">
        <v>1729</v>
      </c>
      <c r="E755" s="1042">
        <v>41130</v>
      </c>
      <c r="F755" s="550" t="s">
        <v>1596</v>
      </c>
      <c r="G755" s="895"/>
      <c r="H755" s="880"/>
      <c r="I755" s="1025">
        <v>107.32</v>
      </c>
      <c r="J755" s="1085" t="str">
        <f>IF(ISBLANK(I755)," ",IF(ISTEXT(I755)," ",IF(I755&lt;=[4]Нормативы!$H$82,"КМС",IF(I755&lt;=[4]Нормативы!$H$83,"КМС",IF(I755&lt;=[4]Нормативы!$L$84,"КМС",IF(I755&lt;=[4]Нормативы!$L$85,"I",IF(I755&lt;=[4]Нормативы!$L$86,"II",IF(I755&lt;=[4]Нормативы!$L$87,"III",IF(I755&lt;=[4]Нормативы!$L$88,"I юн",IF(I755&lt;=[4]Нормативы!$L$89,"II юн",IF(I755&lt;=[4]Нормативы!$L$90,"III юн","б/р")))))))))))</f>
        <v>II юн</v>
      </c>
    </row>
    <row r="756" spans="1:10" x14ac:dyDescent="0.3">
      <c r="A756" s="1086">
        <v>29</v>
      </c>
      <c r="B756" s="550" t="s">
        <v>35</v>
      </c>
      <c r="C756" s="1047" t="s">
        <v>1822</v>
      </c>
      <c r="D756" s="551" t="s">
        <v>1739</v>
      </c>
      <c r="E756" s="1042">
        <v>41415</v>
      </c>
      <c r="F756" s="550" t="s">
        <v>1596</v>
      </c>
      <c r="G756" s="895"/>
      <c r="H756" s="880"/>
      <c r="I756" s="1025">
        <v>107.9</v>
      </c>
      <c r="J756" s="1085" t="str">
        <f>IF(ISBLANK(I756)," ",IF(ISTEXT(I756)," ",IF(I756&lt;=[4]Нормативы!$H$82,"КМС",IF(I756&lt;=[4]Нормативы!$H$83,"КМС",IF(I756&lt;=[4]Нормативы!$L$84,"КМС",IF(I756&lt;=[4]Нормативы!$L$85,"I",IF(I756&lt;=[4]Нормативы!$L$86,"II",IF(I756&lt;=[4]Нормативы!$L$87,"III",IF(I756&lt;=[4]Нормативы!$L$88,"I юн",IF(I756&lt;=[4]Нормативы!$L$89,"II юн",IF(I756&lt;=[4]Нормативы!$L$90,"III юн","б/р")))))))))))</f>
        <v>II юн</v>
      </c>
    </row>
    <row r="757" spans="1:10" x14ac:dyDescent="0.3">
      <c r="A757" s="1086">
        <v>30</v>
      </c>
      <c r="B757" s="550" t="s">
        <v>1811</v>
      </c>
      <c r="C757" s="550" t="s">
        <v>1812</v>
      </c>
      <c r="D757" s="551" t="s">
        <v>1778</v>
      </c>
      <c r="E757" s="1042">
        <v>41178</v>
      </c>
      <c r="F757" s="550" t="s">
        <v>460</v>
      </c>
      <c r="G757" s="895"/>
      <c r="H757" s="880"/>
      <c r="I757" s="1025">
        <v>107.94</v>
      </c>
      <c r="J757" s="1085" t="str">
        <f>IF(ISBLANK(I757)," ",IF(ISTEXT(I757)," ",IF(I757&lt;=[4]Нормативы!$H$82,"КМС",IF(I757&lt;=[4]Нормативы!$H$83,"КМС",IF(I757&lt;=[4]Нормативы!$L$84,"КМС",IF(I757&lt;=[4]Нормативы!$L$85,"I",IF(I757&lt;=[4]Нормативы!$L$86,"II",IF(I757&lt;=[4]Нормативы!$L$87,"III",IF(I757&lt;=[4]Нормативы!$L$88,"I юн",IF(I757&lt;=[4]Нормативы!$L$89,"II юн",IF(I757&lt;=[4]Нормативы!$L$90,"III юн","б/р")))))))))))</f>
        <v>II юн</v>
      </c>
    </row>
    <row r="758" spans="1:10" x14ac:dyDescent="0.3">
      <c r="A758" s="1086">
        <v>31</v>
      </c>
      <c r="B758" s="550" t="s">
        <v>20</v>
      </c>
      <c r="C758" s="551" t="s">
        <v>1818</v>
      </c>
      <c r="D758" s="551" t="s">
        <v>1789</v>
      </c>
      <c r="E758" s="1042">
        <v>41553</v>
      </c>
      <c r="F758" s="550" t="s">
        <v>1596</v>
      </c>
      <c r="G758" s="895"/>
      <c r="H758" s="880"/>
      <c r="I758" s="1025">
        <v>108.26</v>
      </c>
      <c r="J758" s="1085" t="str">
        <f>IF(ISBLANK(I758)," ",IF(ISTEXT(I758)," ",IF(I758&lt;=[4]Нормативы!$H$82,"КМС",IF(I758&lt;=[4]Нормативы!$H$83,"КМС",IF(I758&lt;=[4]Нормативы!$L$84,"КМС",IF(I758&lt;=[4]Нормативы!$L$85,"I",IF(I758&lt;=[4]Нормативы!$L$86,"II",IF(I758&lt;=[4]Нормативы!$L$87,"III",IF(I758&lt;=[4]Нормативы!$L$88,"I юн",IF(I758&lt;=[4]Нормативы!$L$89,"II юн",IF(I758&lt;=[4]Нормативы!$L$90,"III юн","б/р")))))))))))</f>
        <v>II юн</v>
      </c>
    </row>
    <row r="759" spans="1:10" x14ac:dyDescent="0.3">
      <c r="A759" s="1086">
        <v>32</v>
      </c>
      <c r="B759" s="550" t="s">
        <v>35</v>
      </c>
      <c r="C759" s="550" t="s">
        <v>1832</v>
      </c>
      <c r="D759" s="551" t="s">
        <v>1833</v>
      </c>
      <c r="E759" s="1042">
        <v>41103</v>
      </c>
      <c r="F759" s="550" t="s">
        <v>1834</v>
      </c>
      <c r="G759" s="895"/>
      <c r="H759" s="880"/>
      <c r="I759" s="1025">
        <v>108.5</v>
      </c>
      <c r="J759" s="1085" t="str">
        <f>IF(ISBLANK(I759)," ",IF(ISTEXT(I759)," ",IF(I759&lt;=[4]Нормативы!$H$82,"КМС",IF(I759&lt;=[4]Нормативы!$H$83,"КМС",IF(I759&lt;=[4]Нормативы!$L$84,"КМС",IF(I759&lt;=[4]Нормативы!$L$85,"I",IF(I759&lt;=[4]Нормативы!$L$86,"II",IF(I759&lt;=[4]Нормативы!$L$87,"III",IF(I759&lt;=[4]Нормативы!$L$88,"I юн",IF(I759&lt;=[4]Нормативы!$L$89,"II юн",IF(I759&lt;=[4]Нормативы!$L$90,"III юн","б/р")))))))))))</f>
        <v>II юн</v>
      </c>
    </row>
    <row r="760" spans="1:10" x14ac:dyDescent="0.3">
      <c r="A760" s="1086">
        <v>33</v>
      </c>
      <c r="B760" s="550" t="s">
        <v>20</v>
      </c>
      <c r="C760" s="551" t="s">
        <v>1819</v>
      </c>
      <c r="D760" s="551" t="s">
        <v>1768</v>
      </c>
      <c r="E760" s="1042">
        <v>41088</v>
      </c>
      <c r="F760" s="550" t="s">
        <v>1596</v>
      </c>
      <c r="G760" s="895"/>
      <c r="H760" s="880"/>
      <c r="I760" s="1025">
        <v>108.64</v>
      </c>
      <c r="J760" s="1085" t="str">
        <f>IF(ISBLANK(I760)," ",IF(ISTEXT(I760)," ",IF(I760&lt;=[4]Нормативы!$H$82,"КМС",IF(I760&lt;=[4]Нормативы!$H$83,"КМС",IF(I760&lt;=[4]Нормативы!$L$84,"КМС",IF(I760&lt;=[4]Нормативы!$L$85,"I",IF(I760&lt;=[4]Нормативы!$L$86,"II",IF(I760&lt;=[4]Нормативы!$L$87,"III",IF(I760&lt;=[4]Нормативы!$L$88,"I юн",IF(I760&lt;=[4]Нормативы!$L$89,"II юн",IF(I760&lt;=[4]Нормативы!$L$90,"III юн","б/р")))))))))))</f>
        <v>II юн</v>
      </c>
    </row>
    <row r="761" spans="1:10" x14ac:dyDescent="0.3">
      <c r="A761" s="1086">
        <v>34</v>
      </c>
      <c r="B761" s="550" t="s">
        <v>21</v>
      </c>
      <c r="C761" s="550" t="s">
        <v>1805</v>
      </c>
      <c r="D761" s="551" t="s">
        <v>1729</v>
      </c>
      <c r="E761" s="1042">
        <v>41562</v>
      </c>
      <c r="F761" s="550" t="s">
        <v>1628</v>
      </c>
      <c r="G761" s="895"/>
      <c r="H761" s="880"/>
      <c r="I761" s="1025">
        <v>109.32</v>
      </c>
      <c r="J761" s="1085" t="str">
        <f>IF(ISBLANK(I761)," ",IF(ISTEXT(I761)," ",IF(I761&lt;=[4]Нормативы!$H$82,"КМС",IF(I761&lt;=[4]Нормативы!$H$83,"КМС",IF(I761&lt;=[4]Нормативы!$L$84,"КМС",IF(I761&lt;=[4]Нормативы!$L$85,"I",IF(I761&lt;=[4]Нормативы!$L$86,"II",IF(I761&lt;=[4]Нормативы!$L$87,"III",IF(I761&lt;=[4]Нормативы!$L$88,"I юн",IF(I761&lt;=[4]Нормативы!$L$89,"II юн",IF(I761&lt;=[4]Нормативы!$L$90,"III юн","б/р")))))))))))</f>
        <v>II юн</v>
      </c>
    </row>
    <row r="762" spans="1:10" x14ac:dyDescent="0.3">
      <c r="A762" s="1086">
        <v>35</v>
      </c>
      <c r="B762" s="550" t="s">
        <v>20</v>
      </c>
      <c r="C762" s="550" t="s">
        <v>1810</v>
      </c>
      <c r="D762" s="551" t="s">
        <v>1768</v>
      </c>
      <c r="E762" s="1042">
        <v>41626</v>
      </c>
      <c r="F762" s="550" t="s">
        <v>1634</v>
      </c>
      <c r="G762" s="895"/>
      <c r="H762" s="880"/>
      <c r="I762" s="1025">
        <v>109.79</v>
      </c>
      <c r="J762" s="1085" t="str">
        <f>IF(ISBLANK(I762)," ",IF(ISTEXT(I762)," ",IF(I762&lt;=[4]Нормативы!$H$82,"КМС",IF(I762&lt;=[4]Нормативы!$H$83,"КМС",IF(I762&lt;=[4]Нормативы!$L$84,"КМС",IF(I762&lt;=[4]Нормативы!$L$85,"I",IF(I762&lt;=[4]Нормативы!$L$86,"II",IF(I762&lt;=[4]Нормативы!$L$87,"III",IF(I762&lt;=[4]Нормативы!$L$88,"I юн",IF(I762&lt;=[4]Нормативы!$L$89,"II юн",IF(I762&lt;=[4]Нормативы!$L$90,"III юн","б/р")))))))))))</f>
        <v>II юн</v>
      </c>
    </row>
    <row r="763" spans="1:10" x14ac:dyDescent="0.3">
      <c r="A763" s="1086">
        <v>36</v>
      </c>
      <c r="B763" s="550" t="s">
        <v>21</v>
      </c>
      <c r="C763" s="551" t="s">
        <v>1577</v>
      </c>
      <c r="D763" s="551" t="s">
        <v>1809</v>
      </c>
      <c r="E763" s="1042">
        <v>41463</v>
      </c>
      <c r="F763" s="550" t="s">
        <v>1596</v>
      </c>
      <c r="G763" s="895"/>
      <c r="H763" s="880"/>
      <c r="I763" s="1025">
        <v>110.57</v>
      </c>
      <c r="J763" s="1085" t="str">
        <f>IF(ISBLANK(I763)," ",IF(ISTEXT(I763)," ",IF(I763&lt;=[4]Нормативы!$H$82,"КМС",IF(I763&lt;=[4]Нормативы!$H$83,"КМС",IF(I763&lt;=[4]Нормативы!$L$84,"КМС",IF(I763&lt;=[4]Нормативы!$L$85,"I",IF(I763&lt;=[4]Нормативы!$L$86,"II",IF(I763&lt;=[4]Нормативы!$L$87,"III",IF(I763&lt;=[4]Нормативы!$L$88,"I юн",IF(I763&lt;=[4]Нормативы!$L$89,"II юн",IF(I763&lt;=[4]Нормативы!$L$90,"III юн","б/р")))))))))))</f>
        <v>II юн</v>
      </c>
    </row>
    <row r="764" spans="1:10" x14ac:dyDescent="0.3">
      <c r="A764" s="1086">
        <v>37</v>
      </c>
      <c r="B764" s="550" t="s">
        <v>20</v>
      </c>
      <c r="C764" s="551" t="s">
        <v>1806</v>
      </c>
      <c r="D764" s="551" t="s">
        <v>1807</v>
      </c>
      <c r="E764" s="1042">
        <v>41552</v>
      </c>
      <c r="F764" s="550" t="s">
        <v>1596</v>
      </c>
      <c r="G764" s="895"/>
      <c r="H764" s="880"/>
      <c r="I764" s="1025">
        <v>111.05</v>
      </c>
      <c r="J764" s="1085" t="str">
        <f>IF(ISBLANK(I764)," ",IF(ISTEXT(I764)," ",IF(I764&lt;=[4]Нормативы!$H$82,"КМС",IF(I764&lt;=[4]Нормативы!$H$83,"КМС",IF(I764&lt;=[4]Нормативы!$L$84,"КМС",IF(I764&lt;=[4]Нормативы!$L$85,"I",IF(I764&lt;=[4]Нормативы!$L$86,"II",IF(I764&lt;=[4]Нормативы!$L$87,"III",IF(I764&lt;=[4]Нормативы!$L$88,"I юн",IF(I764&lt;=[4]Нормативы!$L$89,"II юн",IF(I764&lt;=[4]Нормативы!$L$90,"III юн","б/р")))))))))))</f>
        <v>II юн</v>
      </c>
    </row>
    <row r="765" spans="1:10" x14ac:dyDescent="0.3">
      <c r="A765" s="1086">
        <v>38</v>
      </c>
      <c r="B765" s="550" t="s">
        <v>21</v>
      </c>
      <c r="C765" s="550" t="s">
        <v>1802</v>
      </c>
      <c r="D765" s="551" t="s">
        <v>1729</v>
      </c>
      <c r="E765" s="1042">
        <v>41327</v>
      </c>
      <c r="F765" s="550" t="s">
        <v>1654</v>
      </c>
      <c r="G765" s="895"/>
      <c r="H765" s="880"/>
      <c r="I765" s="1025">
        <v>112.39</v>
      </c>
      <c r="J765" s="1085" t="str">
        <f>IF(ISBLANK(I765)," ",IF(ISTEXT(I765)," ",IF(I765&lt;=[4]Нормативы!$H$82,"КМС",IF(I765&lt;=[4]Нормативы!$H$83,"КМС",IF(I765&lt;=[4]Нормативы!$L$84,"КМС",IF(I765&lt;=[4]Нормативы!$L$85,"I",IF(I765&lt;=[4]Нормативы!$L$86,"II",IF(I765&lt;=[4]Нормативы!$L$87,"III",IF(I765&lt;=[4]Нормативы!$L$88,"I юн",IF(I765&lt;=[4]Нормативы!$L$89,"II юн",IF(I765&lt;=[4]Нормативы!$L$90,"III юн","б/р")))))))))))</f>
        <v>III юн</v>
      </c>
    </row>
    <row r="766" spans="1:10" x14ac:dyDescent="0.3">
      <c r="A766" s="1086">
        <v>39</v>
      </c>
      <c r="B766" s="550" t="s">
        <v>21</v>
      </c>
      <c r="C766" s="550" t="s">
        <v>1803</v>
      </c>
      <c r="D766" s="551" t="s">
        <v>1744</v>
      </c>
      <c r="E766" s="1042">
        <v>41405</v>
      </c>
      <c r="F766" s="550" t="s">
        <v>1740</v>
      </c>
      <c r="G766" s="895"/>
      <c r="H766" s="550"/>
      <c r="I766" s="1025">
        <v>116.51</v>
      </c>
      <c r="J766" s="1085" t="str">
        <f>IF(ISBLANK(I766)," ",IF(ISTEXT(I766)," ",IF(I766&lt;=[4]Нормативы!$H$82,"КМС",IF(I766&lt;=[4]Нормативы!$H$83,"КМС",IF(I766&lt;=[4]Нормативы!$L$84,"КМС",IF(I766&lt;=[4]Нормативы!$L$85,"I",IF(I766&lt;=[4]Нормативы!$L$86,"II",IF(I766&lt;=[4]Нормативы!$L$87,"III",IF(I766&lt;=[4]Нормативы!$L$88,"I юн",IF(I766&lt;=[4]Нормативы!$L$89,"II юн",IF(I766&lt;=[4]Нормативы!$L$90,"III юн","б/р")))))))))))</f>
        <v>III юн</v>
      </c>
    </row>
    <row r="767" spans="1:10" x14ac:dyDescent="0.3">
      <c r="A767" s="1086"/>
      <c r="B767" s="550"/>
      <c r="C767" s="1048"/>
      <c r="D767" s="890"/>
      <c r="E767" s="1049"/>
      <c r="F767" s="550"/>
      <c r="G767" s="895"/>
      <c r="H767" s="880"/>
      <c r="I767" s="1075"/>
      <c r="J767" s="300"/>
    </row>
    <row r="768" spans="1:10" ht="15.6" x14ac:dyDescent="0.3">
      <c r="A768" s="1028"/>
      <c r="B768" s="1067"/>
      <c r="C768" s="928" t="s">
        <v>2067</v>
      </c>
      <c r="D768" s="374"/>
      <c r="E768" s="374"/>
      <c r="F768" s="374"/>
      <c r="G768" s="374"/>
      <c r="H768" s="880"/>
      <c r="I768" s="1159"/>
      <c r="J768" s="300"/>
    </row>
    <row r="769" spans="1:10" x14ac:dyDescent="0.3">
      <c r="A769" s="1163"/>
      <c r="B769" s="361"/>
      <c r="C769" s="978"/>
      <c r="D769" s="364"/>
      <c r="E769" s="139"/>
      <c r="F769" s="364"/>
      <c r="G769" s="364"/>
      <c r="H769" s="880"/>
      <c r="I769" s="1160"/>
      <c r="J769" s="300"/>
    </row>
    <row r="770" spans="1:10" x14ac:dyDescent="0.3">
      <c r="A770" s="1086">
        <v>1</v>
      </c>
      <c r="B770" s="878" t="s">
        <v>34</v>
      </c>
      <c r="C770" s="878" t="s">
        <v>1932</v>
      </c>
      <c r="D770" s="878" t="s">
        <v>1768</v>
      </c>
      <c r="E770" s="1055">
        <v>39876</v>
      </c>
      <c r="F770" s="878" t="s">
        <v>1250</v>
      </c>
      <c r="G770" s="550"/>
      <c r="H770" s="982"/>
      <c r="I770" s="1025">
        <v>45.7</v>
      </c>
      <c r="J770" s="1085" t="str">
        <f>IF(ISBLANK(I770)," ",IF(ISTEXT(I770)," ",IF(I770&lt;=[4]Нормативы!$H$82,"КМС",IF(I770&lt;=[4]Нормативы!$H$83,"КМС",IF(I770&lt;=[4]Нормативы!$L$84,"КМС",IF(I770&lt;=[4]Нормативы!$L$85,"I",IF(I770&lt;=[4]Нормативы!$L$86,"II",IF(I770&lt;=[4]Нормативы!$L$87,"III",IF(I770&lt;=[4]Нормативы!$L$88,"I юн",IF(I770&lt;=[4]Нормативы!$L$89,"II юн",IF(I770&lt;=[4]Нормативы!$L$90,"III юн","б/р")))))))))))</f>
        <v>КМС</v>
      </c>
    </row>
    <row r="771" spans="1:10" x14ac:dyDescent="0.3">
      <c r="A771" s="1086">
        <v>2</v>
      </c>
      <c r="B771" s="550" t="s">
        <v>34</v>
      </c>
      <c r="C771" s="550" t="s">
        <v>1904</v>
      </c>
      <c r="D771" s="551" t="s">
        <v>1723</v>
      </c>
      <c r="E771" s="1042" t="s">
        <v>1905</v>
      </c>
      <c r="F771" s="550" t="s">
        <v>460</v>
      </c>
      <c r="G771" s="895"/>
      <c r="H771" s="550"/>
      <c r="I771" s="1025">
        <v>45.7</v>
      </c>
      <c r="J771" s="1085" t="str">
        <f>IF(ISBLANK(I771)," ",IF(ISTEXT(I771)," ",IF(I771&lt;=[4]Нормативы!$H$82,"КМС",IF(I771&lt;=[4]Нормативы!$H$83,"КМС",IF(I771&lt;=[4]Нормативы!$L$84,"КМС",IF(I771&lt;=[4]Нормативы!$L$85,"I",IF(I771&lt;=[4]Нормативы!$L$86,"II",IF(I771&lt;=[4]Нормативы!$L$87,"III",IF(I771&lt;=[4]Нормативы!$L$88,"I юн",IF(I771&lt;=[4]Нормативы!$L$89,"II юн",IF(I771&lt;=[4]Нормативы!$L$90,"III юн","б/р")))))))))))</f>
        <v>КМС</v>
      </c>
    </row>
    <row r="772" spans="1:10" x14ac:dyDescent="0.3">
      <c r="A772" s="1086">
        <v>3</v>
      </c>
      <c r="B772" s="550" t="s">
        <v>6</v>
      </c>
      <c r="C772" s="550" t="s">
        <v>1890</v>
      </c>
      <c r="D772" s="551" t="s">
        <v>1766</v>
      </c>
      <c r="E772" s="1042">
        <v>40226</v>
      </c>
      <c r="F772" s="550" t="s">
        <v>1628</v>
      </c>
      <c r="G772" s="895"/>
      <c r="H772" s="550"/>
      <c r="I772" s="1025">
        <v>46.96</v>
      </c>
      <c r="J772" s="1085" t="str">
        <f>IF(ISBLANK(I772)," ",IF(ISTEXT(I772)," ",IF(I772&lt;=[4]Нормативы!$H$82,"КМС",IF(I772&lt;=[4]Нормативы!$H$83,"КМС",IF(I772&lt;=[4]Нормативы!$L$84,"КМС",IF(I772&lt;=[4]Нормативы!$L$85,"I",IF(I772&lt;=[4]Нормативы!$L$86,"II",IF(I772&lt;=[4]Нормативы!$L$87,"III",IF(I772&lt;=[4]Нормативы!$L$88,"I юн",IF(I772&lt;=[4]Нормативы!$L$89,"II юн",IF(I772&lt;=[4]Нормативы!$L$90,"III юн","б/р")))))))))))</f>
        <v>I</v>
      </c>
    </row>
    <row r="773" spans="1:10" x14ac:dyDescent="0.3">
      <c r="A773" s="1086">
        <v>4</v>
      </c>
      <c r="B773" s="550" t="s">
        <v>6</v>
      </c>
      <c r="C773" s="550" t="s">
        <v>1931</v>
      </c>
      <c r="D773" s="551" t="s">
        <v>1755</v>
      </c>
      <c r="E773" s="1042">
        <v>40215</v>
      </c>
      <c r="F773" s="550" t="s">
        <v>1381</v>
      </c>
      <c r="G773" s="895"/>
      <c r="H773" s="550"/>
      <c r="I773" s="1025">
        <v>47.26</v>
      </c>
      <c r="J773" s="1085" t="str">
        <f>IF(ISBLANK(I773)," ",IF(ISTEXT(I773)," ",IF(I773&lt;=[4]Нормативы!$H$82,"КМС",IF(I773&lt;=[4]Нормативы!$H$83,"КМС",IF(I773&lt;=[4]Нормативы!$L$84,"КМС",IF(I773&lt;=[4]Нормативы!$L$85,"I",IF(I773&lt;=[4]Нормативы!$L$86,"II",IF(I773&lt;=[4]Нормативы!$L$87,"III",IF(I773&lt;=[4]Нормативы!$L$88,"I юн",IF(I773&lt;=[4]Нормативы!$L$89,"II юн",IF(I773&lt;=[4]Нормативы!$L$90,"III юн","б/р")))))))))))</f>
        <v>I</v>
      </c>
    </row>
    <row r="774" spans="1:10" x14ac:dyDescent="0.3">
      <c r="A774" s="1086">
        <v>5</v>
      </c>
      <c r="B774" s="550" t="s">
        <v>6</v>
      </c>
      <c r="C774" s="550" t="s">
        <v>1898</v>
      </c>
      <c r="D774" s="551" t="s">
        <v>1807</v>
      </c>
      <c r="E774" s="1042">
        <v>39763</v>
      </c>
      <c r="F774" s="550" t="s">
        <v>1654</v>
      </c>
      <c r="G774" s="895"/>
      <c r="H774" s="550"/>
      <c r="I774" s="1025">
        <v>47.28</v>
      </c>
      <c r="J774" s="1085" t="str">
        <f>IF(ISBLANK(I774)," ",IF(ISTEXT(I774)," ",IF(I774&lt;=[4]Нормативы!$H$82,"КМС",IF(I774&lt;=[4]Нормативы!$H$83,"КМС",IF(I774&lt;=[4]Нормативы!$L$84,"КМС",IF(I774&lt;=[4]Нормативы!$L$85,"I",IF(I774&lt;=[4]Нормативы!$L$86,"II",IF(I774&lt;=[4]Нормативы!$L$87,"III",IF(I774&lt;=[4]Нормативы!$L$88,"I юн",IF(I774&lt;=[4]Нормативы!$L$89,"II юн",IF(I774&lt;=[4]Нормативы!$L$90,"III юн","б/р")))))))))))</f>
        <v>I</v>
      </c>
    </row>
    <row r="775" spans="1:10" x14ac:dyDescent="0.3">
      <c r="A775" s="1086">
        <v>6</v>
      </c>
      <c r="B775" s="550" t="s">
        <v>6</v>
      </c>
      <c r="C775" s="550" t="s">
        <v>1897</v>
      </c>
      <c r="D775" s="551" t="s">
        <v>1792</v>
      </c>
      <c r="E775" s="1042">
        <v>39771</v>
      </c>
      <c r="F775" s="550" t="s">
        <v>1598</v>
      </c>
      <c r="G775" s="895"/>
      <c r="H775" s="550"/>
      <c r="I775" s="1025">
        <v>47.45</v>
      </c>
      <c r="J775" s="1085" t="str">
        <f>IF(ISBLANK(I775)," ",IF(ISTEXT(I775)," ",IF(I775&lt;=[4]Нормативы!$H$82,"КМС",IF(I775&lt;=[4]Нормативы!$H$83,"КМС",IF(I775&lt;=[4]Нормативы!$L$84,"КМС",IF(I775&lt;=[4]Нормативы!$L$85,"I",IF(I775&lt;=[4]Нормативы!$L$86,"II",IF(I775&lt;=[4]Нормативы!$L$87,"III",IF(I775&lt;=[4]Нормативы!$L$88,"I юн",IF(I775&lt;=[4]Нормативы!$L$89,"II юн",IF(I775&lt;=[4]Нормативы!$L$90,"III юн","б/р")))))))))))</f>
        <v>I</v>
      </c>
    </row>
    <row r="776" spans="1:10" x14ac:dyDescent="0.3">
      <c r="A776" s="1086">
        <v>7</v>
      </c>
      <c r="B776" s="550" t="s">
        <v>6</v>
      </c>
      <c r="C776" s="550" t="s">
        <v>1892</v>
      </c>
      <c r="D776" s="551" t="s">
        <v>1729</v>
      </c>
      <c r="E776" s="1042">
        <v>40177</v>
      </c>
      <c r="F776" s="550" t="s">
        <v>1632</v>
      </c>
      <c r="G776" s="895"/>
      <c r="H776" s="550"/>
      <c r="I776" s="1025">
        <v>48.2</v>
      </c>
      <c r="J776" s="1085" t="str">
        <f>IF(ISBLANK(I776)," ",IF(ISTEXT(I776)," ",IF(I776&lt;=[4]Нормативы!$H$82,"КМС",IF(I776&lt;=[4]Нормативы!$H$83,"КМС",IF(I776&lt;=[4]Нормативы!$L$84,"КМС",IF(I776&lt;=[4]Нормативы!$L$85,"I",IF(I776&lt;=[4]Нормативы!$L$86,"II",IF(I776&lt;=[4]Нормативы!$L$87,"III",IF(I776&lt;=[4]Нормативы!$L$88,"I юн",IF(I776&lt;=[4]Нормативы!$L$89,"II юн",IF(I776&lt;=[4]Нормативы!$L$90,"III юн","б/р")))))))))))</f>
        <v>I</v>
      </c>
    </row>
    <row r="777" spans="1:10" x14ac:dyDescent="0.3">
      <c r="A777" s="1086">
        <v>8</v>
      </c>
      <c r="B777" s="550" t="s">
        <v>6</v>
      </c>
      <c r="C777" s="550" t="s">
        <v>1895</v>
      </c>
      <c r="D777" s="551" t="s">
        <v>1896</v>
      </c>
      <c r="E777" s="1042">
        <v>39816</v>
      </c>
      <c r="F777" s="550" t="s">
        <v>1628</v>
      </c>
      <c r="G777" s="895"/>
      <c r="H777" s="550"/>
      <c r="I777" s="1025">
        <v>48.69</v>
      </c>
      <c r="J777" s="1085" t="str">
        <f>IF(ISBLANK(I777)," ",IF(ISTEXT(I777)," ",IF(I777&lt;=[4]Нормативы!$H$82,"КМС",IF(I777&lt;=[4]Нормативы!$H$83,"КМС",IF(I777&lt;=[4]Нормативы!$L$84,"КМС",IF(I777&lt;=[4]Нормативы!$L$85,"I",IF(I777&lt;=[4]Нормативы!$L$86,"II",IF(I777&lt;=[4]Нормативы!$L$87,"III",IF(I777&lt;=[4]Нормативы!$L$88,"I юн",IF(I777&lt;=[4]Нормативы!$L$89,"II юн",IF(I777&lt;=[4]Нормативы!$L$90,"III юн","б/р")))))))))))</f>
        <v>I</v>
      </c>
    </row>
    <row r="778" spans="1:10" x14ac:dyDescent="0.3">
      <c r="A778" s="1086">
        <v>9</v>
      </c>
      <c r="B778" s="550" t="s">
        <v>6</v>
      </c>
      <c r="C778" s="550" t="s">
        <v>1894</v>
      </c>
      <c r="D778" s="551" t="s">
        <v>1792</v>
      </c>
      <c r="E778" s="1042">
        <v>39806</v>
      </c>
      <c r="F778" s="550" t="s">
        <v>1654</v>
      </c>
      <c r="G778" s="895"/>
      <c r="H778" s="550"/>
      <c r="I778" s="1025">
        <v>48.81</v>
      </c>
      <c r="J778" s="1085" t="str">
        <f>IF(ISBLANK(I778)," ",IF(ISTEXT(I778)," ",IF(I778&lt;=[4]Нормативы!$H$82,"КМС",IF(I778&lt;=[4]Нормативы!$H$83,"КМС",IF(I778&lt;=[4]Нормативы!$L$84,"КМС",IF(I778&lt;=[4]Нормативы!$L$85,"I",IF(I778&lt;=[4]Нормативы!$L$86,"II",IF(I778&lt;=[4]Нормативы!$L$87,"III",IF(I778&lt;=[4]Нормативы!$L$88,"I юн",IF(I778&lt;=[4]Нормативы!$L$89,"II юн",IF(I778&lt;=[4]Нормативы!$L$90,"III юн","б/р")))))))))))</f>
        <v>I</v>
      </c>
    </row>
    <row r="779" spans="1:10" x14ac:dyDescent="0.3">
      <c r="A779" s="1086">
        <v>10</v>
      </c>
      <c r="B779" s="24" t="s">
        <v>6</v>
      </c>
      <c r="C779" s="550" t="s">
        <v>1533</v>
      </c>
      <c r="D779" s="551" t="s">
        <v>1737</v>
      </c>
      <c r="E779" s="1042">
        <v>39993</v>
      </c>
      <c r="F779" s="550" t="s">
        <v>1596</v>
      </c>
      <c r="G779" s="895"/>
      <c r="H779" s="550"/>
      <c r="I779" s="1025">
        <v>49.38</v>
      </c>
      <c r="J779" s="1085" t="str">
        <f>IF(ISBLANK(I779)," ",IF(ISTEXT(I779)," ",IF(I779&lt;=[4]Нормативы!$H$82,"КМС",IF(I779&lt;=[4]Нормативы!$H$83,"КМС",IF(I779&lt;=[4]Нормативы!$L$84,"КМС",IF(I779&lt;=[4]Нормативы!$L$85,"I",IF(I779&lt;=[4]Нормативы!$L$86,"II",IF(I779&lt;=[4]Нормативы!$L$87,"III",IF(I779&lt;=[4]Нормативы!$L$88,"I юн",IF(I779&lt;=[4]Нормативы!$L$89,"II юн",IF(I779&lt;=[4]Нормативы!$L$90,"III юн","б/р")))))))))))</f>
        <v>I</v>
      </c>
    </row>
    <row r="780" spans="1:10" x14ac:dyDescent="0.3">
      <c r="A780" s="1086">
        <v>11</v>
      </c>
      <c r="B780" s="550" t="s">
        <v>6</v>
      </c>
      <c r="C780" s="551" t="s">
        <v>1411</v>
      </c>
      <c r="D780" s="551" t="s">
        <v>1733</v>
      </c>
      <c r="E780" s="1042">
        <v>40447</v>
      </c>
      <c r="F780" s="550" t="s">
        <v>1596</v>
      </c>
      <c r="G780" s="895"/>
      <c r="H780" s="550"/>
      <c r="I780" s="1025">
        <v>50.25</v>
      </c>
      <c r="J780" s="1085" t="str">
        <f>IF(ISBLANK(I780)," ",IF(ISTEXT(I780)," ",IF(I780&lt;=[4]Нормативы!$H$82,"КМС",IF(I780&lt;=[4]Нормативы!$H$83,"КМС",IF(I780&lt;=[4]Нормативы!$L$84,"КМС",IF(I780&lt;=[4]Нормативы!$L$85,"I",IF(I780&lt;=[4]Нормативы!$L$86,"II",IF(I780&lt;=[4]Нормативы!$L$87,"III",IF(I780&lt;=[4]Нормативы!$L$88,"I юн",IF(I780&lt;=[4]Нормативы!$L$89,"II юн",IF(I780&lt;=[4]Нормативы!$L$90,"III юн","б/р")))))))))))</f>
        <v>I</v>
      </c>
    </row>
    <row r="781" spans="1:10" x14ac:dyDescent="0.3">
      <c r="A781" s="1086">
        <v>12</v>
      </c>
      <c r="B781" s="550" t="s">
        <v>6</v>
      </c>
      <c r="C781" s="550" t="s">
        <v>1893</v>
      </c>
      <c r="D781" s="551" t="s">
        <v>1733</v>
      </c>
      <c r="E781" s="1042">
        <v>40679</v>
      </c>
      <c r="F781" s="550" t="s">
        <v>1654</v>
      </c>
      <c r="G781" s="895"/>
      <c r="H781" s="550"/>
      <c r="I781" s="1025">
        <v>50.34</v>
      </c>
      <c r="J781" s="1085" t="str">
        <f>IF(ISBLANK(I781)," ",IF(ISTEXT(I781)," ",IF(I781&lt;=[4]Нормативы!$H$82,"КМС",IF(I781&lt;=[4]Нормативы!$H$83,"КМС",IF(I781&lt;=[4]Нормативы!$L$84,"КМС",IF(I781&lt;=[4]Нормативы!$L$85,"I",IF(I781&lt;=[4]Нормативы!$L$86,"II",IF(I781&lt;=[4]Нормативы!$L$87,"III",IF(I781&lt;=[4]Нормативы!$L$88,"I юн",IF(I781&lt;=[4]Нормативы!$L$89,"II юн",IF(I781&lt;=[4]Нормативы!$L$90,"III юн","б/р")))))))))))</f>
        <v>I</v>
      </c>
    </row>
    <row r="782" spans="1:10" x14ac:dyDescent="0.3">
      <c r="A782" s="1086">
        <v>13</v>
      </c>
      <c r="B782" s="550" t="s">
        <v>6</v>
      </c>
      <c r="C782" s="550" t="s">
        <v>1859</v>
      </c>
      <c r="D782" s="551" t="s">
        <v>1737</v>
      </c>
      <c r="E782" s="1042">
        <v>40374</v>
      </c>
      <c r="F782" s="550" t="s">
        <v>1628</v>
      </c>
      <c r="G782" s="895"/>
      <c r="H782" s="550"/>
      <c r="I782" s="1025">
        <v>50.5</v>
      </c>
      <c r="J782" s="1085" t="str">
        <f>IF(ISBLANK(I782)," ",IF(ISTEXT(I782)," ",IF(I782&lt;=[4]Нормативы!$H$82,"КМС",IF(I782&lt;=[4]Нормативы!$H$83,"КМС",IF(I782&lt;=[4]Нормативы!$L$84,"КМС",IF(I782&lt;=[4]Нормативы!$L$85,"I",IF(I782&lt;=[4]Нормативы!$L$86,"II",IF(I782&lt;=[4]Нормативы!$L$87,"III",IF(I782&lt;=[4]Нормативы!$L$88,"I юн",IF(I782&lt;=[4]Нормативы!$L$89,"II юн",IF(I782&lt;=[4]Нормативы!$L$90,"III юн","б/р")))))))))))</f>
        <v>I</v>
      </c>
    </row>
    <row r="783" spans="1:10" x14ac:dyDescent="0.3">
      <c r="A783" s="1086">
        <v>14</v>
      </c>
      <c r="B783" s="550" t="s">
        <v>23</v>
      </c>
      <c r="C783" s="550" t="s">
        <v>1943</v>
      </c>
      <c r="D783" s="551" t="s">
        <v>1725</v>
      </c>
      <c r="E783" s="1042">
        <v>40414</v>
      </c>
      <c r="F783" s="550" t="s">
        <v>1628</v>
      </c>
      <c r="G783" s="895"/>
      <c r="H783" s="550"/>
      <c r="I783" s="1025">
        <v>50.63</v>
      </c>
      <c r="J783" s="1085" t="str">
        <f>IF(ISBLANK(I783)," ",IF(ISTEXT(I783)," ",IF(I783&lt;=[4]Нормативы!$H$82,"КМС",IF(I783&lt;=[4]Нормативы!$H$83,"КМС",IF(I783&lt;=[4]Нормативы!$L$84,"КМС",IF(I783&lt;=[4]Нормативы!$L$85,"I",IF(I783&lt;=[4]Нормативы!$L$86,"II",IF(I783&lt;=[4]Нормативы!$L$87,"III",IF(I783&lt;=[4]Нормативы!$L$88,"I юн",IF(I783&lt;=[4]Нормативы!$L$89,"II юн",IF(I783&lt;=[4]Нормативы!$L$90,"III юн","б/р")))))))))))</f>
        <v>II</v>
      </c>
    </row>
    <row r="784" spans="1:10" x14ac:dyDescent="0.3">
      <c r="A784" s="1086">
        <v>15</v>
      </c>
      <c r="B784" s="550" t="s">
        <v>23</v>
      </c>
      <c r="C784" s="550" t="s">
        <v>1877</v>
      </c>
      <c r="D784" s="551" t="s">
        <v>1781</v>
      </c>
      <c r="E784" s="1042">
        <v>40703</v>
      </c>
      <c r="F784" s="550" t="s">
        <v>1634</v>
      </c>
      <c r="G784" s="895"/>
      <c r="H784" s="550"/>
      <c r="I784" s="1025">
        <v>50.82</v>
      </c>
      <c r="J784" s="1085" t="str">
        <f>IF(ISBLANK(I784)," ",IF(ISTEXT(I784)," ",IF(I784&lt;=[4]Нормативы!$H$82,"КМС",IF(I784&lt;=[4]Нормативы!$H$83,"КМС",IF(I784&lt;=[4]Нормативы!$L$84,"КМС",IF(I784&lt;=[4]Нормативы!$L$85,"I",IF(I784&lt;=[4]Нормативы!$L$86,"II",IF(I784&lt;=[4]Нормативы!$L$87,"III",IF(I784&lt;=[4]Нормативы!$L$88,"I юн",IF(I784&lt;=[4]Нормативы!$L$89,"II юн",IF(I784&lt;=[4]Нормативы!$L$90,"III юн","б/р")))))))))))</f>
        <v>II</v>
      </c>
    </row>
    <row r="785" spans="1:10" x14ac:dyDescent="0.3">
      <c r="A785" s="1086">
        <v>16</v>
      </c>
      <c r="B785" s="550" t="s">
        <v>23</v>
      </c>
      <c r="C785" s="550" t="s">
        <v>1875</v>
      </c>
      <c r="D785" s="551" t="s">
        <v>1737</v>
      </c>
      <c r="E785" s="1042">
        <v>40048</v>
      </c>
      <c r="F785" s="550" t="s">
        <v>1634</v>
      </c>
      <c r="G785" s="895"/>
      <c r="H785" s="550"/>
      <c r="I785" s="1025">
        <v>50.82</v>
      </c>
      <c r="J785" s="1085" t="str">
        <f>IF(ISBLANK(I785)," ",IF(ISTEXT(I785)," ",IF(I785&lt;=[4]Нормативы!$H$82,"КМС",IF(I785&lt;=[4]Нормативы!$H$83,"КМС",IF(I785&lt;=[4]Нормативы!$L$84,"КМС",IF(I785&lt;=[4]Нормативы!$L$85,"I",IF(I785&lt;=[4]Нормативы!$L$86,"II",IF(I785&lt;=[4]Нормативы!$L$87,"III",IF(I785&lt;=[4]Нормативы!$L$88,"I юн",IF(I785&lt;=[4]Нормативы!$L$89,"II юн",IF(I785&lt;=[4]Нормативы!$L$90,"III юн","б/р")))))))))))</f>
        <v>II</v>
      </c>
    </row>
    <row r="786" spans="1:10" x14ac:dyDescent="0.3">
      <c r="A786" s="1086">
        <v>17</v>
      </c>
      <c r="B786" s="550" t="s">
        <v>23</v>
      </c>
      <c r="C786" s="550" t="s">
        <v>1887</v>
      </c>
      <c r="D786" s="551" t="s">
        <v>1792</v>
      </c>
      <c r="E786" s="1042">
        <v>40569</v>
      </c>
      <c r="F786" s="550" t="s">
        <v>1628</v>
      </c>
      <c r="G786" s="895"/>
      <c r="H786" s="550"/>
      <c r="I786" s="1025">
        <v>50.87</v>
      </c>
      <c r="J786" s="1085" t="str">
        <f>IF(ISBLANK(I786)," ",IF(ISTEXT(I786)," ",IF(I786&lt;=[4]Нормативы!$H$82,"КМС",IF(I786&lt;=[4]Нормативы!$H$83,"КМС",IF(I786&lt;=[4]Нормативы!$L$84,"КМС",IF(I786&lt;=[4]Нормативы!$L$85,"I",IF(I786&lt;=[4]Нормативы!$L$86,"II",IF(I786&lt;=[4]Нормативы!$L$87,"III",IF(I786&lt;=[4]Нормативы!$L$88,"I юн",IF(I786&lt;=[4]Нормативы!$L$89,"II юн",IF(I786&lt;=[4]Нормативы!$L$90,"III юн","б/р")))))))))))</f>
        <v>II</v>
      </c>
    </row>
    <row r="787" spans="1:10" x14ac:dyDescent="0.3">
      <c r="A787" s="1086">
        <v>18</v>
      </c>
      <c r="B787" s="550" t="s">
        <v>23</v>
      </c>
      <c r="C787" s="550" t="s">
        <v>1886</v>
      </c>
      <c r="D787" s="551" t="s">
        <v>1760</v>
      </c>
      <c r="E787" s="1042">
        <v>40574</v>
      </c>
      <c r="F787" s="550" t="s">
        <v>1450</v>
      </c>
      <c r="G787" s="895"/>
      <c r="H787" s="550"/>
      <c r="I787" s="1025">
        <v>51.28</v>
      </c>
      <c r="J787" s="1085" t="str">
        <f>IF(ISBLANK(I787)," ",IF(ISTEXT(I787)," ",IF(I787&lt;=[4]Нормативы!$H$82,"КМС",IF(I787&lt;=[4]Нормативы!$H$83,"КМС",IF(I787&lt;=[4]Нормативы!$L$84,"КМС",IF(I787&lt;=[4]Нормативы!$L$85,"I",IF(I787&lt;=[4]Нормативы!$L$86,"II",IF(I787&lt;=[4]Нормативы!$L$87,"III",IF(I787&lt;=[4]Нормативы!$L$88,"I юн",IF(I787&lt;=[4]Нормативы!$L$89,"II юн",IF(I787&lt;=[4]Нормативы!$L$90,"III юн","б/р")))))))))))</f>
        <v>II</v>
      </c>
    </row>
    <row r="788" spans="1:10" x14ac:dyDescent="0.3">
      <c r="A788" s="1086">
        <v>19</v>
      </c>
      <c r="B788" s="550" t="s">
        <v>23</v>
      </c>
      <c r="C788" s="550" t="s">
        <v>1882</v>
      </c>
      <c r="D788" s="551" t="s">
        <v>1760</v>
      </c>
      <c r="E788" s="1042">
        <v>40894</v>
      </c>
      <c r="F788" s="550" t="s">
        <v>1598</v>
      </c>
      <c r="G788" s="895"/>
      <c r="H788" s="550"/>
      <c r="I788" s="1025">
        <v>51.32</v>
      </c>
      <c r="J788" s="1085" t="str">
        <f>IF(ISBLANK(I788)," ",IF(ISTEXT(I788)," ",IF(I788&lt;=[4]Нормативы!$H$82,"КМС",IF(I788&lt;=[4]Нормативы!$H$83,"КМС",IF(I788&lt;=[4]Нормативы!$L$84,"КМС",IF(I788&lt;=[4]Нормативы!$L$85,"I",IF(I788&lt;=[4]Нормативы!$L$86,"II",IF(I788&lt;=[4]Нормативы!$L$87,"III",IF(I788&lt;=[4]Нормативы!$L$88,"I юн",IF(I788&lt;=[4]Нормативы!$L$89,"II юн",IF(I788&lt;=[4]Нормативы!$L$90,"III юн","б/р")))))))))))</f>
        <v>II</v>
      </c>
    </row>
    <row r="789" spans="1:10" x14ac:dyDescent="0.3">
      <c r="A789" s="1086">
        <v>20</v>
      </c>
      <c r="B789" s="550" t="s">
        <v>24</v>
      </c>
      <c r="C789" s="550" t="s">
        <v>1532</v>
      </c>
      <c r="D789" s="551" t="s">
        <v>1737</v>
      </c>
      <c r="E789" s="1042">
        <v>40013</v>
      </c>
      <c r="F789" s="550" t="s">
        <v>1596</v>
      </c>
      <c r="G789" s="895"/>
      <c r="H789" s="550"/>
      <c r="I789" s="1025">
        <v>51.32</v>
      </c>
      <c r="J789" s="1085" t="str">
        <f>IF(ISBLANK(I789)," ",IF(ISTEXT(I789)," ",IF(I789&lt;=[4]Нормативы!$H$82,"КМС",IF(I789&lt;=[4]Нормативы!$H$83,"КМС",IF(I789&lt;=[4]Нормативы!$L$84,"КМС",IF(I789&lt;=[4]Нормативы!$L$85,"I",IF(I789&lt;=[4]Нормативы!$L$86,"II",IF(I789&lt;=[4]Нормативы!$L$87,"III",IF(I789&lt;=[4]Нормативы!$L$88,"I юн",IF(I789&lt;=[4]Нормативы!$L$89,"II юн",IF(I789&lt;=[4]Нормативы!$L$90,"III юн","б/р")))))))))))</f>
        <v>II</v>
      </c>
    </row>
    <row r="790" spans="1:10" x14ac:dyDescent="0.3">
      <c r="A790" s="1086">
        <v>21</v>
      </c>
      <c r="B790" s="550" t="s">
        <v>6</v>
      </c>
      <c r="C790" s="551" t="s">
        <v>1888</v>
      </c>
      <c r="D790" s="551" t="s">
        <v>1733</v>
      </c>
      <c r="E790" s="1042">
        <v>40043</v>
      </c>
      <c r="F790" s="550" t="s">
        <v>1596</v>
      </c>
      <c r="G790" s="895"/>
      <c r="H790" s="550"/>
      <c r="I790" s="1025">
        <v>51.59</v>
      </c>
      <c r="J790" s="1085" t="str">
        <f>IF(ISBLANK(I790)," ",IF(ISTEXT(I790)," ",IF(I790&lt;=[4]Нормативы!$H$82,"КМС",IF(I790&lt;=[4]Нормативы!$H$83,"КМС",IF(I790&lt;=[4]Нормативы!$L$84,"КМС",IF(I790&lt;=[4]Нормативы!$L$85,"I",IF(I790&lt;=[4]Нормативы!$L$86,"II",IF(I790&lt;=[4]Нормативы!$L$87,"III",IF(I790&lt;=[4]Нормативы!$L$88,"I юн",IF(I790&lt;=[4]Нормативы!$L$89,"II юн",IF(I790&lt;=[4]Нормативы!$L$90,"III юн","б/р")))))))))))</f>
        <v>II</v>
      </c>
    </row>
    <row r="791" spans="1:10" x14ac:dyDescent="0.3">
      <c r="A791" s="1086">
        <v>22</v>
      </c>
      <c r="B791" s="550" t="s">
        <v>23</v>
      </c>
      <c r="C791" s="550" t="s">
        <v>1885</v>
      </c>
      <c r="D791" s="551" t="s">
        <v>1807</v>
      </c>
      <c r="E791" s="1042">
        <v>40526</v>
      </c>
      <c r="F791" s="550" t="s">
        <v>1654</v>
      </c>
      <c r="G791" s="895"/>
      <c r="H791" s="550"/>
      <c r="I791" s="1025">
        <v>51.87</v>
      </c>
      <c r="J791" s="1085" t="str">
        <f>IF(ISBLANK(I791)," ",IF(ISTEXT(I791)," ",IF(I791&lt;=[4]Нормативы!$H$82,"КМС",IF(I791&lt;=[4]Нормативы!$H$83,"КМС",IF(I791&lt;=[4]Нормативы!$L$84,"КМС",IF(I791&lt;=[4]Нормативы!$L$85,"I",IF(I791&lt;=[4]Нормативы!$L$86,"II",IF(I791&lt;=[4]Нормативы!$L$87,"III",IF(I791&lt;=[4]Нормативы!$L$88,"I юн",IF(I791&lt;=[4]Нормативы!$L$89,"II юн",IF(I791&lt;=[4]Нормативы!$L$90,"III юн","б/р")))))))))))</f>
        <v>II</v>
      </c>
    </row>
    <row r="792" spans="1:10" x14ac:dyDescent="0.3">
      <c r="A792" s="1086">
        <v>23</v>
      </c>
      <c r="B792" s="550" t="s">
        <v>23</v>
      </c>
      <c r="C792" s="550" t="s">
        <v>1927</v>
      </c>
      <c r="D792" s="551" t="s">
        <v>1789</v>
      </c>
      <c r="E792" s="1042">
        <v>40745</v>
      </c>
      <c r="F792" s="550" t="s">
        <v>1598</v>
      </c>
      <c r="G792" s="895"/>
      <c r="H792" s="550"/>
      <c r="I792" s="1025">
        <v>52.1</v>
      </c>
      <c r="J792" s="1085" t="str">
        <f>IF(ISBLANK(I792)," ",IF(ISTEXT(I792)," ",IF(I792&lt;=[4]Нормативы!$H$82,"КМС",IF(I792&lt;=[4]Нормативы!$H$83,"КМС",IF(I792&lt;=[4]Нормативы!$L$84,"КМС",IF(I792&lt;=[4]Нормативы!$L$85,"I",IF(I792&lt;=[4]Нормативы!$L$86,"II",IF(I792&lt;=[4]Нормативы!$L$87,"III",IF(I792&lt;=[4]Нормативы!$L$88,"I юн",IF(I792&lt;=[4]Нормативы!$L$89,"II юн",IF(I792&lt;=[4]Нормативы!$L$90,"III юн","б/р")))))))))))</f>
        <v>II</v>
      </c>
    </row>
    <row r="793" spans="1:10" x14ac:dyDescent="0.3">
      <c r="A793" s="1086">
        <v>24</v>
      </c>
      <c r="B793" s="550" t="s">
        <v>23</v>
      </c>
      <c r="C793" s="550" t="s">
        <v>1878</v>
      </c>
      <c r="D793" s="551" t="s">
        <v>1760</v>
      </c>
      <c r="E793" s="1042">
        <v>40233</v>
      </c>
      <c r="F793" s="550" t="s">
        <v>1628</v>
      </c>
      <c r="G793" s="895"/>
      <c r="H793" s="550"/>
      <c r="I793" s="1025">
        <v>52.59</v>
      </c>
      <c r="J793" s="1085" t="str">
        <f>IF(ISBLANK(I793)," ",IF(ISTEXT(I793)," ",IF(I793&lt;=[4]Нормативы!$H$82,"КМС",IF(I793&lt;=[4]Нормативы!$H$83,"КМС",IF(I793&lt;=[4]Нормативы!$L$84,"КМС",IF(I793&lt;=[4]Нормативы!$L$85,"I",IF(I793&lt;=[4]Нормативы!$L$86,"II",IF(I793&lt;=[4]Нормативы!$L$87,"III",IF(I793&lt;=[4]Нормативы!$L$88,"I юн",IF(I793&lt;=[4]Нормативы!$L$89,"II юн",IF(I793&lt;=[4]Нормативы!$L$90,"III юн","б/р")))))))))))</f>
        <v>II</v>
      </c>
    </row>
    <row r="794" spans="1:10" x14ac:dyDescent="0.3">
      <c r="A794" s="1086">
        <v>25</v>
      </c>
      <c r="B794" s="550" t="s">
        <v>23</v>
      </c>
      <c r="C794" s="550" t="s">
        <v>1879</v>
      </c>
      <c r="D794" s="551" t="s">
        <v>1760</v>
      </c>
      <c r="E794" s="1042">
        <v>40563</v>
      </c>
      <c r="F794" s="550" t="s">
        <v>1628</v>
      </c>
      <c r="G794" s="895"/>
      <c r="H794" s="550"/>
      <c r="I794" s="1025">
        <v>53.11</v>
      </c>
      <c r="J794" s="1085" t="str">
        <f>IF(ISBLANK(I794)," ",IF(ISTEXT(I794)," ",IF(I794&lt;=[4]Нормативы!$H$82,"КМС",IF(I794&lt;=[4]Нормативы!$H$83,"КМС",IF(I794&lt;=[4]Нормативы!$L$84,"КМС",IF(I794&lt;=[4]Нормативы!$L$85,"I",IF(I794&lt;=[4]Нормативы!$L$86,"II",IF(I794&lt;=[4]Нормативы!$L$87,"III",IF(I794&lt;=[4]Нормативы!$L$88,"I юн",IF(I794&lt;=[4]Нормативы!$L$89,"II юн",IF(I794&lt;=[4]Нормативы!$L$90,"III юн","б/р")))))))))))</f>
        <v>II</v>
      </c>
    </row>
    <row r="795" spans="1:10" x14ac:dyDescent="0.3">
      <c r="A795" s="1086">
        <v>26</v>
      </c>
      <c r="B795" s="550" t="s">
        <v>136</v>
      </c>
      <c r="C795" s="1047" t="s">
        <v>1529</v>
      </c>
      <c r="D795" s="551" t="s">
        <v>1742</v>
      </c>
      <c r="E795" s="1042">
        <v>39643</v>
      </c>
      <c r="F795" s="550" t="s">
        <v>1596</v>
      </c>
      <c r="G795" s="895"/>
      <c r="H795" s="550"/>
      <c r="I795" s="1025">
        <v>54.26</v>
      </c>
      <c r="J795" s="1085" t="str">
        <f>IF(ISBLANK(I795)," ",IF(ISTEXT(I795)," ",IF(I795&lt;=[4]Нормативы!$H$82,"КМС",IF(I795&lt;=[4]Нормативы!$H$83,"КМС",IF(I795&lt;=[4]Нормативы!$L$84,"КМС",IF(I795&lt;=[4]Нормативы!$L$85,"I",IF(I795&lt;=[4]Нормативы!$L$86,"II",IF(I795&lt;=[4]Нормативы!$L$87,"III",IF(I795&lt;=[4]Нормативы!$L$88,"I юн",IF(I795&lt;=[4]Нормативы!$L$89,"II юн",IF(I795&lt;=[4]Нормативы!$L$90,"III юн","б/р")))))))))))</f>
        <v>II</v>
      </c>
    </row>
    <row r="796" spans="1:10" x14ac:dyDescent="0.3">
      <c r="A796" s="1086">
        <v>27</v>
      </c>
      <c r="B796" s="550" t="s">
        <v>24</v>
      </c>
      <c r="C796" s="550" t="s">
        <v>1871</v>
      </c>
      <c r="D796" s="551" t="s">
        <v>1768</v>
      </c>
      <c r="E796" s="1042">
        <v>40828</v>
      </c>
      <c r="F796" s="550" t="s">
        <v>1634</v>
      </c>
      <c r="G796" s="895"/>
      <c r="H796" s="550"/>
      <c r="I796" s="1025">
        <v>54.63</v>
      </c>
      <c r="J796" s="1085" t="str">
        <f>IF(ISBLANK(I796)," ",IF(ISTEXT(I796)," ",IF(I796&lt;=[4]Нормативы!$H$82,"КМС",IF(I796&lt;=[4]Нормативы!$H$83,"КМС",IF(I796&lt;=[4]Нормативы!$L$84,"КМС",IF(I796&lt;=[4]Нормативы!$L$85,"I",IF(I796&lt;=[4]Нормативы!$L$86,"II",IF(I796&lt;=[4]Нормативы!$L$87,"III",IF(I796&lt;=[4]Нормативы!$L$88,"I юн",IF(I796&lt;=[4]Нормативы!$L$89,"II юн",IF(I796&lt;=[4]Нормативы!$L$90,"III юн","б/р")))))))))))</f>
        <v>II</v>
      </c>
    </row>
    <row r="797" spans="1:10" x14ac:dyDescent="0.3">
      <c r="A797" s="1086">
        <v>28</v>
      </c>
      <c r="B797" s="550" t="s">
        <v>35</v>
      </c>
      <c r="C797" s="1047" t="s">
        <v>1867</v>
      </c>
      <c r="D797" s="551" t="s">
        <v>1785</v>
      </c>
      <c r="E797" s="1042">
        <v>40526</v>
      </c>
      <c r="F797" s="550" t="s">
        <v>1596</v>
      </c>
      <c r="G797" s="895"/>
      <c r="H797" s="550"/>
      <c r="I797" s="1025">
        <v>56.07</v>
      </c>
      <c r="J797" s="1085" t="str">
        <f>IF(ISBLANK(I797)," ",IF(ISTEXT(I797)," ",IF(I797&lt;=[4]Нормативы!$H$82,"КМС",IF(I797&lt;=[4]Нормативы!$H$83,"КМС",IF(I797&lt;=[4]Нормативы!$L$84,"КМС",IF(I797&lt;=[4]Нормативы!$L$85,"I",IF(I797&lt;=[4]Нормативы!$L$86,"II",IF(I797&lt;=[4]Нормативы!$L$87,"III",IF(I797&lt;=[4]Нормативы!$L$88,"I юн",IF(I797&lt;=[4]Нормативы!$L$89,"II юн",IF(I797&lt;=[4]Нормативы!$L$90,"III юн","б/р")))))))))))</f>
        <v>III</v>
      </c>
    </row>
    <row r="798" spans="1:10" x14ac:dyDescent="0.3">
      <c r="A798" s="1086">
        <v>29</v>
      </c>
      <c r="B798" s="1050" t="s">
        <v>35</v>
      </c>
      <c r="C798" s="1047" t="s">
        <v>1584</v>
      </c>
      <c r="D798" s="551" t="s">
        <v>1807</v>
      </c>
      <c r="E798" s="1042">
        <v>40908</v>
      </c>
      <c r="F798" s="550" t="s">
        <v>1596</v>
      </c>
      <c r="G798" s="895"/>
      <c r="H798" s="550"/>
      <c r="I798" s="1025">
        <v>56.4</v>
      </c>
      <c r="J798" s="1085" t="str">
        <f>IF(ISBLANK(I798)," ",IF(ISTEXT(I798)," ",IF(I798&lt;=[4]Нормативы!$H$82,"КМС",IF(I798&lt;=[4]Нормативы!$H$83,"КМС",IF(I798&lt;=[4]Нормативы!$L$84,"КМС",IF(I798&lt;=[4]Нормативы!$L$85,"I",IF(I798&lt;=[4]Нормативы!$L$86,"II",IF(I798&lt;=[4]Нормативы!$L$87,"III",IF(I798&lt;=[4]Нормативы!$L$88,"I юн",IF(I798&lt;=[4]Нормативы!$L$89,"II юн",IF(I798&lt;=[4]Нормативы!$L$90,"III юн","б/р")))))))))))</f>
        <v>III</v>
      </c>
    </row>
    <row r="799" spans="1:10" x14ac:dyDescent="0.3">
      <c r="A799" s="1086">
        <v>30</v>
      </c>
      <c r="B799" s="24" t="s">
        <v>35</v>
      </c>
      <c r="C799" s="24" t="s">
        <v>1945</v>
      </c>
      <c r="D799" s="890" t="s">
        <v>1798</v>
      </c>
      <c r="E799" s="1043">
        <v>40648</v>
      </c>
      <c r="F799" s="550" t="s">
        <v>1430</v>
      </c>
      <c r="G799" s="895"/>
      <c r="H799" s="550"/>
      <c r="I799" s="1075">
        <v>57.5</v>
      </c>
      <c r="J799" s="1085" t="str">
        <f>IF(ISBLANK(I799)," ",IF(ISTEXT(I799)," ",IF(I799&lt;=[4]Нормативы!$H$82,"КМС",IF(I799&lt;=[4]Нормативы!$H$83,"КМС",IF(I799&lt;=[4]Нормативы!$L$84,"КМС",IF(I799&lt;=[4]Нормативы!$L$85,"I",IF(I799&lt;=[4]Нормативы!$L$86,"II",IF(I799&lt;=[4]Нормативы!$L$87,"III",IF(I799&lt;=[4]Нормативы!$L$88,"I юн",IF(I799&lt;=[4]Нормативы!$L$89,"II юн",IF(I799&lt;=[4]Нормативы!$L$90,"III юн","б/р")))))))))))</f>
        <v>III</v>
      </c>
    </row>
    <row r="800" spans="1:10" x14ac:dyDescent="0.3">
      <c r="A800" s="1086">
        <v>31</v>
      </c>
      <c r="B800" s="550" t="s">
        <v>24</v>
      </c>
      <c r="C800" s="550" t="s">
        <v>1870</v>
      </c>
      <c r="D800" s="551" t="s">
        <v>1781</v>
      </c>
      <c r="E800" s="1042">
        <v>40551</v>
      </c>
      <c r="F800" s="550" t="s">
        <v>1628</v>
      </c>
      <c r="G800" s="895"/>
      <c r="H800" s="550"/>
      <c r="I800" s="1025">
        <v>57.52</v>
      </c>
      <c r="J800" s="1085" t="str">
        <f>IF(ISBLANK(I800)," ",IF(ISTEXT(I800)," ",IF(I800&lt;=[4]Нормативы!$H$82,"КМС",IF(I800&lt;=[4]Нормативы!$H$83,"КМС",IF(I800&lt;=[4]Нормативы!$L$84,"КМС",IF(I800&lt;=[4]Нормативы!$L$85,"I",IF(I800&lt;=[4]Нормативы!$L$86,"II",IF(I800&lt;=[4]Нормативы!$L$87,"III",IF(I800&lt;=[4]Нормативы!$L$88,"I юн",IF(I800&lt;=[4]Нормативы!$L$89,"II юн",IF(I800&lt;=[4]Нормативы!$L$90,"III юн","б/р")))))))))))</f>
        <v>III</v>
      </c>
    </row>
    <row r="801" spans="1:10" x14ac:dyDescent="0.3">
      <c r="A801" s="1086">
        <v>32</v>
      </c>
      <c r="B801" s="550" t="s">
        <v>24</v>
      </c>
      <c r="C801" s="550" t="s">
        <v>1876</v>
      </c>
      <c r="D801" s="551" t="s">
        <v>1733</v>
      </c>
      <c r="E801" s="1042">
        <v>40884</v>
      </c>
      <c r="F801" s="550" t="s">
        <v>1654</v>
      </c>
      <c r="G801" s="895"/>
      <c r="H801" s="550"/>
      <c r="I801" s="1025">
        <v>57.59</v>
      </c>
      <c r="J801" s="1085" t="str">
        <f>IF(ISBLANK(I801)," ",IF(ISTEXT(I801)," ",IF(I801&lt;=[4]Нормативы!$H$82,"КМС",IF(I801&lt;=[4]Нормативы!$H$83,"КМС",IF(I801&lt;=[4]Нормативы!$L$84,"КМС",IF(I801&lt;=[4]Нормативы!$L$85,"I",IF(I801&lt;=[4]Нормативы!$L$86,"II",IF(I801&lt;=[4]Нормативы!$L$87,"III",IF(I801&lt;=[4]Нормативы!$L$88,"I юн",IF(I801&lt;=[4]Нормативы!$L$89,"II юн",IF(I801&lt;=[4]Нормативы!$L$90,"III юн","б/р")))))))))))</f>
        <v>III</v>
      </c>
    </row>
    <row r="802" spans="1:10" x14ac:dyDescent="0.3">
      <c r="A802" s="1086">
        <v>33</v>
      </c>
      <c r="B802" s="24" t="s">
        <v>35</v>
      </c>
      <c r="C802" s="24" t="s">
        <v>1865</v>
      </c>
      <c r="D802" s="890" t="s">
        <v>1735</v>
      </c>
      <c r="E802" s="1043">
        <v>40470</v>
      </c>
      <c r="F802" s="550" t="s">
        <v>1430</v>
      </c>
      <c r="G802" s="895"/>
      <c r="H802" s="550"/>
      <c r="I802" s="1075">
        <v>58.45</v>
      </c>
      <c r="J802" s="1085" t="str">
        <f>IF(ISBLANK(I802)," ",IF(ISTEXT(I802)," ",IF(I802&lt;=[4]Нормативы!$H$82,"КМС",IF(I802&lt;=[4]Нормативы!$H$83,"КМС",IF(I802&lt;=[4]Нормативы!$L$84,"КМС",IF(I802&lt;=[4]Нормативы!$L$85,"I",IF(I802&lt;=[4]Нормативы!$L$86,"II",IF(I802&lt;=[4]Нормативы!$L$87,"III",IF(I802&lt;=[4]Нормативы!$L$88,"I юн",IF(I802&lt;=[4]Нормативы!$L$89,"II юн",IF(I802&lt;=[4]Нормативы!$L$90,"III юн","б/р")))))))))))</f>
        <v>III</v>
      </c>
    </row>
    <row r="803" spans="1:10" x14ac:dyDescent="0.3">
      <c r="A803" s="1086">
        <v>34</v>
      </c>
      <c r="B803" s="24" t="s">
        <v>35</v>
      </c>
      <c r="C803" s="550" t="s">
        <v>1868</v>
      </c>
      <c r="D803" s="551" t="s">
        <v>1742</v>
      </c>
      <c r="E803" s="1042">
        <v>40514</v>
      </c>
      <c r="F803" s="550" t="s">
        <v>1596</v>
      </c>
      <c r="G803" s="895"/>
      <c r="H803" s="550"/>
      <c r="I803" s="1025">
        <v>59.38</v>
      </c>
      <c r="J803" s="1085" t="str">
        <f>IF(ISBLANK(I803)," ",IF(ISTEXT(I803)," ",IF(I803&lt;=[4]Нормативы!$H$82,"КМС",IF(I803&lt;=[4]Нормативы!$H$83,"КМС",IF(I803&lt;=[4]Нормативы!$L$84,"КМС",IF(I803&lt;=[4]Нормативы!$L$85,"I",IF(I803&lt;=[4]Нормативы!$L$86,"II",IF(I803&lt;=[4]Нормативы!$L$87,"III",IF(I803&lt;=[4]Нормативы!$L$88,"I юн",IF(I803&lt;=[4]Нормативы!$L$89,"II юн",IF(I803&lt;=[4]Нормативы!$L$90,"III юн","б/р")))))))))))</f>
        <v>III</v>
      </c>
    </row>
    <row r="804" spans="1:10" x14ac:dyDescent="0.3">
      <c r="A804" s="1086">
        <v>35</v>
      </c>
      <c r="B804" s="550" t="s">
        <v>35</v>
      </c>
      <c r="C804" s="550" t="s">
        <v>1864</v>
      </c>
      <c r="D804" s="551" t="s">
        <v>1817</v>
      </c>
      <c r="E804" s="1042">
        <v>40697</v>
      </c>
      <c r="F804" s="550" t="s">
        <v>1628</v>
      </c>
      <c r="G804" s="895"/>
      <c r="H804" s="550"/>
      <c r="I804" s="1025">
        <v>59.59</v>
      </c>
      <c r="J804" s="1085" t="str">
        <f>IF(ISBLANK(I804)," ",IF(ISTEXT(I804)," ",IF(I804&lt;=[4]Нормативы!$H$82,"КМС",IF(I804&lt;=[4]Нормативы!$H$83,"КМС",IF(I804&lt;=[4]Нормативы!$L$84,"КМС",IF(I804&lt;=[4]Нормативы!$L$85,"I",IF(I804&lt;=[4]Нормативы!$L$86,"II",IF(I804&lt;=[4]Нормативы!$L$87,"III",IF(I804&lt;=[4]Нормативы!$L$88,"I юн",IF(I804&lt;=[4]Нормативы!$L$89,"II юн",IF(I804&lt;=[4]Нормативы!$L$90,"III юн","б/р")))))))))))</f>
        <v>III</v>
      </c>
    </row>
    <row r="805" spans="1:10" x14ac:dyDescent="0.3">
      <c r="A805" s="1086">
        <v>36</v>
      </c>
      <c r="B805" s="550" t="s">
        <v>20</v>
      </c>
      <c r="C805" s="550" t="s">
        <v>1857</v>
      </c>
      <c r="D805" s="551" t="s">
        <v>1733</v>
      </c>
      <c r="E805" s="1042">
        <v>40874</v>
      </c>
      <c r="F805" s="550" t="s">
        <v>1628</v>
      </c>
      <c r="G805" s="895"/>
      <c r="H805" s="550"/>
      <c r="I805" s="1025">
        <v>102.1</v>
      </c>
      <c r="J805" s="1085" t="str">
        <f>IF(ISBLANK(I805)," ",IF(ISTEXT(I805)," ",IF(I805&lt;=[4]Нормативы!$H$82,"КМС",IF(I805&lt;=[4]Нормативы!$H$83,"КМС",IF(I805&lt;=[4]Нормативы!$L$84,"КМС",IF(I805&lt;=[4]Нормативы!$L$85,"I",IF(I805&lt;=[4]Нормативы!$L$86,"II",IF(I805&lt;=[4]Нормативы!$L$87,"III",IF(I805&lt;=[4]Нормативы!$L$88,"I юн",IF(I805&lt;=[4]Нормативы!$L$89,"II юн",IF(I805&lt;=[4]Нормативы!$L$90,"III юн","б/р")))))))))))</f>
        <v>I юн</v>
      </c>
    </row>
    <row r="806" spans="1:10" x14ac:dyDescent="0.3">
      <c r="A806" s="1086">
        <v>37</v>
      </c>
      <c r="B806" s="550" t="s">
        <v>35</v>
      </c>
      <c r="C806" s="550" t="s">
        <v>1863</v>
      </c>
      <c r="D806" s="551" t="s">
        <v>1798</v>
      </c>
      <c r="E806" s="1042">
        <v>40596</v>
      </c>
      <c r="F806" s="550" t="s">
        <v>1450</v>
      </c>
      <c r="G806" s="895"/>
      <c r="H806" s="550"/>
      <c r="I806" s="1025">
        <v>102.49</v>
      </c>
      <c r="J806" s="1085" t="str">
        <f>IF(ISBLANK(I806)," ",IF(ISTEXT(I806)," ",IF(I806&lt;=[4]Нормативы!$H$82,"КМС",IF(I806&lt;=[4]Нормативы!$H$83,"КМС",IF(I806&lt;=[4]Нормативы!$L$84,"КМС",IF(I806&lt;=[4]Нормативы!$L$85,"I",IF(I806&lt;=[4]Нормативы!$L$86,"II",IF(I806&lt;=[4]Нормативы!$L$87,"III",IF(I806&lt;=[4]Нормативы!$L$88,"I юн",IF(I806&lt;=[4]Нормативы!$L$89,"II юн",IF(I806&lt;=[4]Нормативы!$L$90,"III юн","б/р")))))))))))</f>
        <v>I юн</v>
      </c>
    </row>
    <row r="807" spans="1:10" x14ac:dyDescent="0.3">
      <c r="A807" s="1086">
        <v>38</v>
      </c>
      <c r="B807" s="550" t="s">
        <v>35</v>
      </c>
      <c r="C807" s="550" t="s">
        <v>1866</v>
      </c>
      <c r="D807" s="551" t="s">
        <v>1798</v>
      </c>
      <c r="E807" s="1042">
        <v>40835</v>
      </c>
      <c r="F807" s="550" t="s">
        <v>1628</v>
      </c>
      <c r="G807" s="895"/>
      <c r="H807" s="550"/>
      <c r="I807" s="1025">
        <v>102.67</v>
      </c>
      <c r="J807" s="1085" t="str">
        <f>IF(ISBLANK(I807)," ",IF(ISTEXT(I807)," ",IF(I807&lt;=[4]Нормативы!$H$82,"КМС",IF(I807&lt;=[4]Нормативы!$H$83,"КМС",IF(I807&lt;=[4]Нормативы!$L$84,"КМС",IF(I807&lt;=[4]Нормативы!$L$85,"I",IF(I807&lt;=[4]Нормативы!$L$86,"II",IF(I807&lt;=[4]Нормативы!$L$87,"III",IF(I807&lt;=[4]Нормативы!$L$88,"I юн",IF(I807&lt;=[4]Нормативы!$L$89,"II юн",IF(I807&lt;=[4]Нормативы!$L$90,"III юн","б/р")))))))))))</f>
        <v>I юн</v>
      </c>
    </row>
    <row r="808" spans="1:10" x14ac:dyDescent="0.3">
      <c r="A808" s="1086">
        <v>39</v>
      </c>
      <c r="B808" s="550" t="s">
        <v>20</v>
      </c>
      <c r="C808" s="1047" t="s">
        <v>1861</v>
      </c>
      <c r="D808" s="551" t="s">
        <v>1862</v>
      </c>
      <c r="E808" s="1042">
        <v>40691</v>
      </c>
      <c r="F808" s="550" t="s">
        <v>1596</v>
      </c>
      <c r="G808" s="895"/>
      <c r="H808" s="550"/>
      <c r="I808" s="1025">
        <v>109.26</v>
      </c>
      <c r="J808" s="1085" t="str">
        <f>IF(ISBLANK(I808)," ",IF(ISTEXT(I808)," ",IF(I808&lt;=[4]Нормативы!$H$82,"КМС",IF(I808&lt;=[4]Нормативы!$H$83,"КМС",IF(I808&lt;=[4]Нормативы!$L$84,"КМС",IF(I808&lt;=[4]Нормативы!$L$85,"I",IF(I808&lt;=[4]Нормативы!$L$86,"II",IF(I808&lt;=[4]Нормативы!$L$87,"III",IF(I808&lt;=[4]Нормативы!$L$88,"I юн",IF(I808&lt;=[4]Нормативы!$L$89,"II юн",IF(I808&lt;=[4]Нормативы!$L$90,"III юн","б/р")))))))))))</f>
        <v>II юн</v>
      </c>
    </row>
    <row r="809" spans="1:10" x14ac:dyDescent="0.3">
      <c r="A809" s="1086">
        <v>40</v>
      </c>
      <c r="B809" s="550" t="s">
        <v>20</v>
      </c>
      <c r="C809" s="550" t="s">
        <v>1860</v>
      </c>
      <c r="D809" s="551" t="s">
        <v>1744</v>
      </c>
      <c r="E809" s="1042">
        <v>40668</v>
      </c>
      <c r="F809" s="550" t="s">
        <v>1628</v>
      </c>
      <c r="G809" s="895"/>
      <c r="H809" s="550"/>
      <c r="I809" s="1025">
        <v>109.5</v>
      </c>
      <c r="J809" s="1085" t="str">
        <f>IF(ISBLANK(I809)," ",IF(ISTEXT(I809)," ",IF(I809&lt;=[4]Нормативы!$H$82,"КМС",IF(I809&lt;=[4]Нормативы!$H$83,"КМС",IF(I809&lt;=[4]Нормативы!$L$84,"КМС",IF(I809&lt;=[4]Нормативы!$L$85,"I",IF(I809&lt;=[4]Нормативы!$L$86,"II",IF(I809&lt;=[4]Нормативы!$L$87,"III",IF(I809&lt;=[4]Нормативы!$L$88,"I юн",IF(I809&lt;=[4]Нормативы!$L$89,"II юн",IF(I809&lt;=[4]Нормативы!$L$90,"III юн","б/р")))))))))))</f>
        <v>II юн</v>
      </c>
    </row>
    <row r="810" spans="1:10" x14ac:dyDescent="0.3">
      <c r="A810" s="1161"/>
      <c r="B810" s="550" t="s">
        <v>23</v>
      </c>
      <c r="C810" s="550" t="s">
        <v>1880</v>
      </c>
      <c r="D810" s="551" t="s">
        <v>1755</v>
      </c>
      <c r="E810" s="1042">
        <v>40529</v>
      </c>
      <c r="F810" s="550" t="s">
        <v>1654</v>
      </c>
      <c r="G810" s="895"/>
      <c r="H810" s="550"/>
      <c r="I810" s="1074" t="s">
        <v>2066</v>
      </c>
      <c r="J810" s="300"/>
    </row>
    <row r="811" spans="1:10" x14ac:dyDescent="0.3">
      <c r="A811" s="1086"/>
      <c r="B811" s="550" t="s">
        <v>34</v>
      </c>
      <c r="C811" s="550" t="s">
        <v>1902</v>
      </c>
      <c r="D811" s="551" t="s">
        <v>1725</v>
      </c>
      <c r="E811" s="1042" t="s">
        <v>1903</v>
      </c>
      <c r="F811" s="550" t="s">
        <v>460</v>
      </c>
      <c r="G811" s="895"/>
      <c r="H811" s="550"/>
      <c r="I811" s="1074" t="s">
        <v>2066</v>
      </c>
      <c r="J811" s="300"/>
    </row>
    <row r="812" spans="1:10" x14ac:dyDescent="0.3">
      <c r="A812" s="1086"/>
      <c r="B812" s="550"/>
      <c r="C812" s="550"/>
      <c r="D812" s="551"/>
      <c r="E812" s="1042"/>
      <c r="F812" s="550"/>
      <c r="G812" s="895"/>
      <c r="H812" s="550"/>
      <c r="I812" s="885"/>
      <c r="J812" s="300"/>
    </row>
    <row r="813" spans="1:10" ht="15.6" x14ac:dyDescent="0.3">
      <c r="A813" s="1028"/>
      <c r="B813" s="374"/>
      <c r="C813" s="928" t="s">
        <v>2050</v>
      </c>
      <c r="D813" s="374"/>
      <c r="E813" s="374"/>
      <c r="F813" s="374"/>
      <c r="G813" s="374"/>
      <c r="H813" s="954"/>
      <c r="I813" s="885"/>
      <c r="J813" s="300"/>
    </row>
    <row r="814" spans="1:10" x14ac:dyDescent="0.3">
      <c r="A814" s="1086"/>
      <c r="B814" s="1066"/>
      <c r="C814" s="225"/>
      <c r="D814" s="361"/>
      <c r="E814" s="990"/>
      <c r="F814" s="991"/>
      <c r="G814" s="361"/>
      <c r="H814" s="952"/>
      <c r="I814" s="1145"/>
      <c r="J814" s="300"/>
    </row>
    <row r="815" spans="1:10" x14ac:dyDescent="0.3">
      <c r="A815" s="1086">
        <v>1</v>
      </c>
      <c r="B815" s="550" t="s">
        <v>6</v>
      </c>
      <c r="C815" s="551" t="s">
        <v>1709</v>
      </c>
      <c r="D815" s="890" t="s">
        <v>1630</v>
      </c>
      <c r="E815" s="1042">
        <v>39927</v>
      </c>
      <c r="F815" s="550" t="s">
        <v>1634</v>
      </c>
      <c r="G815" s="895"/>
      <c r="H815" s="550"/>
      <c r="I815" s="1025">
        <v>150.41999999999999</v>
      </c>
      <c r="J815" s="1085" t="str">
        <f>IF(ISBLANK(I815)," ",IF(ISTEXT(I815)," ",IF(I815&lt;=[4]Нормативы!$H$93,"КМС",IF(I815&lt;=[4]Нормативы!$H$94,"КМС",IF(I815&lt;=[4]Нормативы!$L$95,"КМС",IF(I815&lt;=[4]Нормативы!$L$96,"I",IF(I815&lt;=[4]Нормативы!$L$97,"II",IF(I815&lt;=[4]Нормативы!$L$98,"III",IF(I815&lt;=[4]Нормативы!$L$99,"I юн",IF(I815&lt;=[4]Нормативы!$L$100,"II юн",IF(I815&lt;=[4]Нормативы!$L$101,"III юн","б/р")))))))))))</f>
        <v>II</v>
      </c>
    </row>
    <row r="816" spans="1:10" x14ac:dyDescent="0.3">
      <c r="A816" s="1086">
        <v>2</v>
      </c>
      <c r="B816" s="550" t="s">
        <v>23</v>
      </c>
      <c r="C816" s="551" t="s">
        <v>1916</v>
      </c>
      <c r="D816" s="890" t="s">
        <v>1595</v>
      </c>
      <c r="E816" s="1042">
        <v>40854</v>
      </c>
      <c r="F816" s="550" t="s">
        <v>1634</v>
      </c>
      <c r="G816" s="895"/>
      <c r="H816" s="550"/>
      <c r="I816" s="1025">
        <v>157.65</v>
      </c>
      <c r="J816" s="1085" t="str">
        <f>IF(ISBLANK(I816)," ",IF(ISTEXT(I816)," ",IF(I816&lt;=[4]Нормативы!$H$93,"КМС",IF(I816&lt;=[4]Нормативы!$H$94,"КМС",IF(I816&lt;=[4]Нормативы!$L$95,"КМС",IF(I816&lt;=[4]Нормативы!$L$96,"I",IF(I816&lt;=[4]Нормативы!$L$97,"II",IF(I816&lt;=[4]Нормативы!$L$98,"III",IF(I816&lt;=[4]Нормативы!$L$99,"I юн",IF(I816&lt;=[4]Нормативы!$L$100,"II юн",IF(I816&lt;=[4]Нормативы!$L$101,"III юн","б/р")))))))))))</f>
        <v>III</v>
      </c>
    </row>
    <row r="817" spans="1:10" x14ac:dyDescent="0.3">
      <c r="A817" s="1086"/>
      <c r="B817" s="1066"/>
      <c r="C817" s="947"/>
      <c r="D817" s="880"/>
      <c r="E817" s="981"/>
      <c r="F817" s="947"/>
      <c r="G817" s="947"/>
      <c r="H817" s="982"/>
      <c r="I817" s="885"/>
      <c r="J817" s="300"/>
    </row>
    <row r="818" spans="1:10" ht="15.6" x14ac:dyDescent="0.3">
      <c r="A818" s="1028"/>
      <c r="B818" s="374"/>
      <c r="C818" s="928" t="s">
        <v>2052</v>
      </c>
      <c r="D818" s="374"/>
      <c r="E818" s="374"/>
      <c r="F818" s="374"/>
      <c r="G818" s="374"/>
      <c r="H818" s="929"/>
      <c r="I818" s="885"/>
      <c r="J818" s="300"/>
    </row>
    <row r="819" spans="1:10" x14ac:dyDescent="0.3">
      <c r="A819" s="1086"/>
      <c r="B819" s="1066"/>
      <c r="C819" s="225"/>
      <c r="D819" s="361"/>
      <c r="E819" s="990"/>
      <c r="F819" s="991"/>
      <c r="G819" s="361"/>
      <c r="H819" s="952"/>
      <c r="I819" s="1145"/>
      <c r="J819" s="300"/>
    </row>
    <row r="820" spans="1:10" x14ac:dyDescent="0.3">
      <c r="A820" s="1086">
        <v>1</v>
      </c>
      <c r="B820" s="550" t="s">
        <v>6</v>
      </c>
      <c r="C820" s="551" t="s">
        <v>1914</v>
      </c>
      <c r="D820" s="890" t="s">
        <v>1664</v>
      </c>
      <c r="E820" s="1042">
        <v>41296</v>
      </c>
      <c r="F820" s="550" t="s">
        <v>1598</v>
      </c>
      <c r="G820" s="895"/>
      <c r="H820" s="550"/>
      <c r="I820" s="1025">
        <v>141.07</v>
      </c>
      <c r="J820" s="1085" t="str">
        <f>IF(ISBLANK(I820)," ",IF(ISTEXT(I820)," ",IF(I820&lt;=[4]Нормативы!$H$93,"КМС",IF(I820&lt;=[4]Нормативы!$H$94,"КМС",IF(I820&lt;=[4]Нормативы!$L$95,"КМС",IF(I820&lt;=[4]Нормативы!$L$96,"I",IF(I820&lt;=[4]Нормативы!$L$97,"II",IF(I820&lt;=[4]Нормативы!$L$98,"III",IF(I820&lt;=[4]Нормативы!$L$99,"I юн",IF(I820&lt;=[4]Нормативы!$L$100,"II юн",IF(I820&lt;=[4]Нормативы!$L$101,"III юн","б/р")))))))))))</f>
        <v>I</v>
      </c>
    </row>
    <row r="821" spans="1:10" x14ac:dyDescent="0.3">
      <c r="A821" s="1086">
        <v>2</v>
      </c>
      <c r="B821" s="550" t="s">
        <v>23</v>
      </c>
      <c r="C821" s="551" t="s">
        <v>1913</v>
      </c>
      <c r="D821" s="890" t="s">
        <v>1618</v>
      </c>
      <c r="E821" s="1042">
        <v>41626</v>
      </c>
      <c r="F821" s="550" t="s">
        <v>1598</v>
      </c>
      <c r="G821" s="895"/>
      <c r="H821" s="550"/>
      <c r="I821" s="1025">
        <v>146.37</v>
      </c>
      <c r="J821" s="1085" t="str">
        <f>IF(ISBLANK(I821)," ",IF(ISTEXT(I821)," ",IF(I821&lt;=[4]Нормативы!$H$93,"КМС",IF(I821&lt;=[4]Нормативы!$H$94,"КМС",IF(I821&lt;=[4]Нормативы!$L$95,"КМС",IF(I821&lt;=[4]Нормативы!$L$96,"I",IF(I821&lt;=[4]Нормативы!$L$97,"II",IF(I821&lt;=[4]Нормативы!$L$98,"III",IF(I821&lt;=[4]Нормативы!$L$99,"I юн",IF(I821&lt;=[4]Нормативы!$L$100,"II юн",IF(I821&lt;=[4]Нормативы!$L$101,"III юн","б/р")))))))))))</f>
        <v>I</v>
      </c>
    </row>
    <row r="822" spans="1:10" x14ac:dyDescent="0.3">
      <c r="A822" s="1086">
        <v>3</v>
      </c>
      <c r="B822" s="550" t="s">
        <v>23</v>
      </c>
      <c r="C822" s="551" t="s">
        <v>1685</v>
      </c>
      <c r="D822" s="890" t="s">
        <v>1668</v>
      </c>
      <c r="E822" s="1042">
        <v>40988</v>
      </c>
      <c r="F822" s="550" t="s">
        <v>1634</v>
      </c>
      <c r="G822" s="895"/>
      <c r="H822" s="550"/>
      <c r="I822" s="1025">
        <v>158.46</v>
      </c>
      <c r="J822" s="1085" t="str">
        <f>IF(ISBLANK(I822)," ",IF(ISTEXT(I822)," ",IF(I822&lt;=[4]Нормативы!$H$93,"КМС",IF(I822&lt;=[4]Нормативы!$H$94,"КМС",IF(I822&lt;=[4]Нормативы!$L$95,"КМС",IF(I822&lt;=[4]Нормативы!$L$96,"I",IF(I822&lt;=[4]Нормативы!$L$97,"II",IF(I822&lt;=[4]Нормативы!$L$98,"III",IF(I822&lt;=[4]Нормативы!$L$99,"I юн",IF(I822&lt;=[4]Нормативы!$L$100,"II юн",IF(I822&lt;=[4]Нормативы!$L$101,"III юн","б/р")))))))))))</f>
        <v>III</v>
      </c>
    </row>
    <row r="823" spans="1:10" x14ac:dyDescent="0.3">
      <c r="A823" s="1086">
        <v>4</v>
      </c>
      <c r="B823" s="550" t="s">
        <v>24</v>
      </c>
      <c r="C823" s="551" t="s">
        <v>1672</v>
      </c>
      <c r="D823" s="890" t="s">
        <v>1603</v>
      </c>
      <c r="E823" s="1042">
        <v>41347</v>
      </c>
      <c r="F823" s="550" t="s">
        <v>1634</v>
      </c>
      <c r="G823" s="895"/>
      <c r="H823" s="550"/>
      <c r="I823" s="1025">
        <v>207.08</v>
      </c>
      <c r="J823" s="1085" t="str">
        <f>IF(ISBLANK(I823)," ",IF(ISTEXT(I823)," ",IF(I823&lt;=[4]Нормативы!$H$93,"КМС",IF(I823&lt;=[4]Нормативы!$H$94,"КМС",IF(I823&lt;=[4]Нормативы!$L$95,"КМС",IF(I823&lt;=[4]Нормативы!$L$96,"I",IF(I823&lt;=[4]Нормативы!$L$97,"II",IF(I823&lt;=[4]Нормативы!$L$98,"III",IF(I823&lt;=[4]Нормативы!$L$99,"I юн",IF(I823&lt;=[4]Нормативы!$L$100,"II юн",IF(I823&lt;=[4]Нормативы!$L$101,"III юн","б/р")))))))))))</f>
        <v>I юн</v>
      </c>
    </row>
    <row r="824" spans="1:10" x14ac:dyDescent="0.3">
      <c r="A824" s="1086">
        <v>5</v>
      </c>
      <c r="B824" s="550" t="s">
        <v>24</v>
      </c>
      <c r="C824" s="551" t="s">
        <v>1677</v>
      </c>
      <c r="D824" s="890" t="s">
        <v>1620</v>
      </c>
      <c r="E824" s="1042">
        <v>41306</v>
      </c>
      <c r="F824" s="550" t="s">
        <v>1628</v>
      </c>
      <c r="G824" s="895"/>
      <c r="H824" s="550"/>
      <c r="I824" s="1025">
        <v>214.43</v>
      </c>
      <c r="J824" s="1085" t="str">
        <f>IF(ISBLANK(I824)," ",IF(ISTEXT(I824)," ",IF(I824&lt;=[4]Нормативы!$H$93,"КМС",IF(I824&lt;=[4]Нормативы!$H$94,"КМС",IF(I824&lt;=[4]Нормативы!$L$95,"КМС",IF(I824&lt;=[4]Нормативы!$L$96,"I",IF(I824&lt;=[4]Нормативы!$L$97,"II",IF(I824&lt;=[4]Нормативы!$L$98,"III",IF(I824&lt;=[4]Нормативы!$L$99,"I юн",IF(I824&lt;=[4]Нормативы!$L$100,"II юн",IF(I824&lt;=[4]Нормативы!$L$101,"III юн","б/р")))))))))))</f>
        <v>I юн</v>
      </c>
    </row>
    <row r="825" spans="1:10" x14ac:dyDescent="0.3">
      <c r="A825" s="1086"/>
      <c r="B825" s="891"/>
      <c r="C825" s="551"/>
      <c r="D825" s="359"/>
      <c r="E825" s="963"/>
      <c r="F825" s="550"/>
      <c r="G825" s="550"/>
      <c r="H825" s="1120"/>
      <c r="I825" s="885"/>
      <c r="J825" s="300"/>
    </row>
    <row r="826" spans="1:10" ht="15.6" x14ac:dyDescent="0.3">
      <c r="A826" s="1028"/>
      <c r="B826" s="374"/>
      <c r="C826" s="928" t="s">
        <v>2054</v>
      </c>
      <c r="D826" s="374"/>
      <c r="E826" s="374"/>
      <c r="F826" s="374"/>
      <c r="G826" s="374"/>
      <c r="H826" s="929"/>
      <c r="I826" s="885"/>
      <c r="J826" s="300"/>
    </row>
    <row r="827" spans="1:10" x14ac:dyDescent="0.3">
      <c r="A827" s="1163"/>
      <c r="B827" s="361"/>
      <c r="C827" s="978"/>
      <c r="D827" s="364"/>
      <c r="E827" s="139"/>
      <c r="F827" s="364"/>
      <c r="G827" s="364"/>
      <c r="H827" s="979"/>
      <c r="I827" s="517"/>
      <c r="J827" s="300"/>
    </row>
    <row r="828" spans="1:10" x14ac:dyDescent="0.3">
      <c r="A828" s="1086">
        <v>1</v>
      </c>
      <c r="B828" s="550" t="s">
        <v>23</v>
      </c>
      <c r="C828" s="550" t="s">
        <v>1338</v>
      </c>
      <c r="D828" s="551" t="s">
        <v>1729</v>
      </c>
      <c r="E828" s="1042">
        <v>41319</v>
      </c>
      <c r="F828" s="550" t="s">
        <v>1598</v>
      </c>
      <c r="G828" s="895"/>
      <c r="H828" s="550"/>
      <c r="I828" s="1025">
        <v>148.81</v>
      </c>
      <c r="J828" s="1085" t="str">
        <f>IF(ISBLANK(I828)," ",IF(ISTEXT(I828)," ",IF(I828&lt;=[4]Нормативы!$H$104,"КМС",IF(I828&lt;=[4]Нормативы!$H$105,"КМС",IF(I828&lt;=[4]Нормативы!$L$106,"КМС",IF(I828&lt;=[4]Нормативы!$L$107,"I",IF(I828&lt;=[4]Нормативы!$L$108,"II",IF(I828&lt;=[4]Нормативы!$L$109,"III",IF(I828&lt;=[4]Нормативы!$L$110,"I юн",IF(I828&lt;=[4]Нормативы!$L$111,"II юн",IF(I828&lt;=[4]Нормативы!$L$112,"III юн","б/р")))))))))))</f>
        <v>III</v>
      </c>
    </row>
    <row r="829" spans="1:10" x14ac:dyDescent="0.3">
      <c r="A829" s="1086">
        <v>2</v>
      </c>
      <c r="B829" s="550" t="s">
        <v>24</v>
      </c>
      <c r="C829" s="550" t="s">
        <v>1924</v>
      </c>
      <c r="D829" s="551" t="s">
        <v>1768</v>
      </c>
      <c r="E829" s="1042">
        <v>41521</v>
      </c>
      <c r="F829" s="550" t="s">
        <v>1598</v>
      </c>
      <c r="G829" s="895"/>
      <c r="H829" s="550"/>
      <c r="I829" s="1025">
        <v>158.09</v>
      </c>
      <c r="J829" s="1085" t="str">
        <f>IF(ISBLANK(I829)," ",IF(ISTEXT(I829)," ",IF(I829&lt;=[4]Нормативы!$H$104,"КМС",IF(I829&lt;=[4]Нормативы!$H$105,"КМС",IF(I829&lt;=[4]Нормативы!$L$106,"КМС",IF(I829&lt;=[4]Нормативы!$L$107,"I",IF(I829&lt;=[4]Нормативы!$L$108,"II",IF(I829&lt;=[4]Нормативы!$L$109,"III",IF(I829&lt;=[4]Нормативы!$L$110,"I юн",IF(I829&lt;=[4]Нормативы!$L$111,"II юн",IF(I829&lt;=[4]Нормативы!$L$112,"III юн","б/р")))))))))))</f>
        <v>I юн</v>
      </c>
    </row>
    <row r="830" spans="1:10" x14ac:dyDescent="0.3">
      <c r="A830" s="1086">
        <v>3</v>
      </c>
      <c r="B830" s="550" t="s">
        <v>35</v>
      </c>
      <c r="C830" s="550" t="s">
        <v>1501</v>
      </c>
      <c r="D830" s="551" t="s">
        <v>1725</v>
      </c>
      <c r="E830" s="1042">
        <v>41584</v>
      </c>
      <c r="F830" s="550" t="s">
        <v>1450</v>
      </c>
      <c r="G830" s="895"/>
      <c r="H830" s="550"/>
      <c r="I830" s="1025">
        <v>200.98</v>
      </c>
      <c r="J830" s="1085" t="str">
        <f>IF(ISBLANK(I830)," ",IF(ISTEXT(I830)," ",IF(I830&lt;=[4]Нормативы!$H$104,"КМС",IF(I830&lt;=[4]Нормативы!$H$105,"КМС",IF(I830&lt;=[4]Нормативы!$L$106,"КМС",IF(I830&lt;=[4]Нормативы!$L$107,"I",IF(I830&lt;=[4]Нормативы!$L$108,"II",IF(I830&lt;=[4]Нормативы!$L$109,"III",IF(I830&lt;=[4]Нормативы!$L$110,"I юн",IF(I830&lt;=[4]Нормативы!$L$111,"II юн",IF(I830&lt;=[4]Нормативы!$L$112,"III юн","б/р")))))))))))</f>
        <v>I юн</v>
      </c>
    </row>
    <row r="831" spans="1:10" x14ac:dyDescent="0.3">
      <c r="A831" s="1086">
        <v>4</v>
      </c>
      <c r="B831" s="550" t="s">
        <v>35</v>
      </c>
      <c r="C831" s="550" t="s">
        <v>1843</v>
      </c>
      <c r="D831" s="551" t="s">
        <v>1844</v>
      </c>
      <c r="E831" s="1042">
        <v>41143</v>
      </c>
      <c r="F831" s="550" t="s">
        <v>1834</v>
      </c>
      <c r="G831" s="895"/>
      <c r="H831" s="550"/>
      <c r="I831" s="1025">
        <v>202.75</v>
      </c>
      <c r="J831" s="1085" t="str">
        <f>IF(ISBLANK(I831)," ",IF(ISTEXT(I831)," ",IF(I831&lt;=[4]Нормативы!$H$104,"КМС",IF(I831&lt;=[4]Нормативы!$H$105,"КМС",IF(I831&lt;=[4]Нормативы!$L$106,"КМС",IF(I831&lt;=[4]Нормативы!$L$107,"I",IF(I831&lt;=[4]Нормативы!$L$108,"II",IF(I831&lt;=[4]Нормативы!$L$109,"III",IF(I831&lt;=[4]Нормативы!$L$110,"I юн",IF(I831&lt;=[4]Нормативы!$L$111,"II юн",IF(I831&lt;=[4]Нормативы!$L$112,"III юн","б/р")))))))))))</f>
        <v>I юн</v>
      </c>
    </row>
    <row r="832" spans="1:10" x14ac:dyDescent="0.3">
      <c r="A832" s="1086">
        <v>5</v>
      </c>
      <c r="B832" s="550" t="s">
        <v>35</v>
      </c>
      <c r="C832" s="550" t="s">
        <v>1835</v>
      </c>
      <c r="D832" s="551" t="s">
        <v>1739</v>
      </c>
      <c r="E832" s="1042">
        <v>41375</v>
      </c>
      <c r="F832" s="550" t="s">
        <v>1834</v>
      </c>
      <c r="G832" s="895"/>
      <c r="H832" s="550"/>
      <c r="I832" s="1025">
        <v>223.7</v>
      </c>
      <c r="J832" s="1085" t="str">
        <f>IF(ISBLANK(I832)," ",IF(ISTEXT(I832)," ",IF(I832&lt;=[4]Нормативы!$H$104,"КМС",IF(I832&lt;=[4]Нормативы!$H$105,"КМС",IF(I832&lt;=[4]Нормативы!$L$106,"КМС",IF(I832&lt;=[4]Нормативы!$L$107,"I",IF(I832&lt;=[4]Нормативы!$L$108,"II",IF(I832&lt;=[4]Нормативы!$L$109,"III",IF(I832&lt;=[4]Нормативы!$L$110,"I юн",IF(I832&lt;=[4]Нормативы!$L$111,"II юн",IF(I832&lt;=[4]Нормативы!$L$112,"III юн","б/р")))))))))))</f>
        <v>III юн</v>
      </c>
    </row>
    <row r="833" spans="1:10" x14ac:dyDescent="0.3">
      <c r="A833" s="1086">
        <v>6</v>
      </c>
      <c r="B833" s="550" t="s">
        <v>20</v>
      </c>
      <c r="C833" s="550" t="s">
        <v>1815</v>
      </c>
      <c r="D833" s="551" t="s">
        <v>1785</v>
      </c>
      <c r="E833" s="1042">
        <v>41607</v>
      </c>
      <c r="F833" s="550" t="s">
        <v>1598</v>
      </c>
      <c r="G833" s="895"/>
      <c r="H833" s="550"/>
      <c r="I833" s="1025">
        <v>223.75</v>
      </c>
      <c r="J833" s="1085" t="str">
        <f>IF(ISBLANK(I833)," ",IF(ISTEXT(I833)," ",IF(I833&lt;=[4]Нормативы!$H$104,"КМС",IF(I833&lt;=[4]Нормативы!$H$105,"КМС",IF(I833&lt;=[4]Нормативы!$L$106,"КМС",IF(I833&lt;=[4]Нормативы!$L$107,"I",IF(I833&lt;=[4]Нормативы!$L$108,"II",IF(I833&lt;=[4]Нормативы!$L$109,"III",IF(I833&lt;=[4]Нормативы!$L$110,"I юн",IF(I833&lt;=[4]Нормативы!$L$111,"II юн",IF(I833&lt;=[4]Нормативы!$L$112,"III юн","б/р")))))))))))</f>
        <v>III юн</v>
      </c>
    </row>
    <row r="834" spans="1:10" x14ac:dyDescent="0.3">
      <c r="A834" s="1086">
        <v>7</v>
      </c>
      <c r="B834" s="550" t="s">
        <v>35</v>
      </c>
      <c r="C834" s="550" t="s">
        <v>1832</v>
      </c>
      <c r="D834" s="551" t="s">
        <v>1833</v>
      </c>
      <c r="E834" s="1042">
        <v>41103</v>
      </c>
      <c r="F834" s="550" t="s">
        <v>1834</v>
      </c>
      <c r="G834" s="895"/>
      <c r="H834" s="550"/>
      <c r="I834" s="1025">
        <v>229.93</v>
      </c>
      <c r="J834" s="1085" t="str">
        <f>IF(ISBLANK(I834)," ",IF(ISTEXT(I834)," ",IF(I834&lt;=[4]Нормативы!$H$104,"КМС",IF(I834&lt;=[4]Нормативы!$H$105,"КМС",IF(I834&lt;=[4]Нормативы!$L$106,"КМС",IF(I834&lt;=[4]Нормативы!$L$107,"I",IF(I834&lt;=[4]Нормативы!$L$108,"II",IF(I834&lt;=[4]Нормативы!$L$109,"III",IF(I834&lt;=[4]Нормативы!$L$110,"I юн",IF(I834&lt;=[4]Нормативы!$L$111,"II юн",IF(I834&lt;=[4]Нормативы!$L$112,"III юн","б/р")))))))))))</f>
        <v>б/р</v>
      </c>
    </row>
    <row r="835" spans="1:10" x14ac:dyDescent="0.3">
      <c r="A835" s="1028"/>
      <c r="B835" s="361"/>
      <c r="C835" s="349"/>
      <c r="D835" s="361"/>
      <c r="E835" s="361"/>
      <c r="F835" s="361"/>
      <c r="G835" s="361"/>
      <c r="H835" s="954"/>
      <c r="I835" s="1044"/>
      <c r="J835" s="300"/>
    </row>
    <row r="836" spans="1:10" ht="15.6" x14ac:dyDescent="0.3">
      <c r="A836" s="1028"/>
      <c r="B836" s="374"/>
      <c r="C836" s="928" t="s">
        <v>2055</v>
      </c>
      <c r="D836" s="374"/>
      <c r="E836" s="374"/>
      <c r="F836" s="374"/>
      <c r="G836" s="374"/>
      <c r="H836" s="929"/>
      <c r="I836" s="885"/>
      <c r="J836" s="300"/>
    </row>
    <row r="837" spans="1:10" x14ac:dyDescent="0.3">
      <c r="A837" s="1086"/>
      <c r="B837" s="891"/>
      <c r="C837" s="550"/>
      <c r="D837" s="880"/>
      <c r="E837" s="963"/>
      <c r="F837" s="550"/>
      <c r="G837" s="550"/>
      <c r="H837" s="1120"/>
      <c r="I837" s="1144"/>
      <c r="J837" s="300"/>
    </row>
    <row r="838" spans="1:10" x14ac:dyDescent="0.3">
      <c r="A838" s="1086">
        <v>1</v>
      </c>
      <c r="B838" s="550" t="s">
        <v>6</v>
      </c>
      <c r="C838" s="550" t="s">
        <v>1530</v>
      </c>
      <c r="D838" s="551" t="s">
        <v>1883</v>
      </c>
      <c r="E838" s="1042">
        <v>40395</v>
      </c>
      <c r="F838" s="550" t="s">
        <v>1598</v>
      </c>
      <c r="G838" s="550"/>
      <c r="H838" s="1120"/>
      <c r="I838" s="1074">
        <v>139.77000000000001</v>
      </c>
      <c r="J838" s="1085" t="str">
        <f>IF(ISBLANK(I838)," ",IF(ISTEXT(I838)," ",IF(I838&lt;=[4]Нормативы!$H$104,"КМС",IF(I838&lt;=[4]Нормативы!$H$105,"КМС",IF(I838&lt;=[4]Нормативы!$L$106,"КМС",IF(I838&lt;=[4]Нормативы!$L$107,"I",IF(I838&lt;=[4]Нормативы!$L$108,"II",IF(I838&lt;=[4]Нормативы!$L$109,"III",IF(I838&lt;=[4]Нормативы!$L$110,"I юн",IF(I838&lt;=[4]Нормативы!$L$111,"II юн",IF(I838&lt;=[4]Нормативы!$L$112,"III юн","б/р")))))))))))</f>
        <v>II</v>
      </c>
    </row>
    <row r="839" spans="1:10" x14ac:dyDescent="0.3">
      <c r="A839" s="1086">
        <v>2</v>
      </c>
      <c r="B839" s="550" t="s">
        <v>23</v>
      </c>
      <c r="C839" s="550" t="s">
        <v>1927</v>
      </c>
      <c r="D839" s="551" t="s">
        <v>1789</v>
      </c>
      <c r="E839" s="1042">
        <v>40745</v>
      </c>
      <c r="F839" s="550" t="s">
        <v>1598</v>
      </c>
      <c r="G839" s="963"/>
      <c r="H839" s="1125"/>
      <c r="I839" s="1074">
        <v>154.94999999999999</v>
      </c>
      <c r="J839" s="1085" t="str">
        <f>IF(ISBLANK(I839)," ",IF(ISTEXT(I839)," ",IF(I839&lt;=[4]Нормативы!$H$104,"КМС",IF(I839&lt;=[4]Нормативы!$H$105,"КМС",IF(I839&lt;=[4]Нормативы!$L$106,"КМС",IF(I839&lt;=[4]Нормативы!$L$107,"I",IF(I839&lt;=[4]Нормативы!$L$108,"II",IF(I839&lt;=[4]Нормативы!$L$109,"III",IF(I839&lt;=[4]Нормативы!$L$110,"I юн",IF(I839&lt;=[4]Нормативы!$L$111,"II юн",IF(I839&lt;=[4]Нормативы!$L$112,"III юн","б/р")))))))))))</f>
        <v>I юн</v>
      </c>
    </row>
    <row r="840" spans="1:10" x14ac:dyDescent="0.3">
      <c r="A840" s="1086"/>
      <c r="B840" s="880"/>
      <c r="C840" s="880"/>
      <c r="D840" s="880"/>
      <c r="E840" s="880"/>
      <c r="F840" s="880"/>
      <c r="G840" s="880"/>
      <c r="H840" s="880"/>
      <c r="I840" s="300"/>
      <c r="J840" s="300"/>
    </row>
    <row r="841" spans="1:10" ht="15.6" x14ac:dyDescent="0.3">
      <c r="A841" s="1028"/>
      <c r="B841" s="374"/>
      <c r="C841" s="928" t="s">
        <v>2056</v>
      </c>
      <c r="D841" s="374"/>
      <c r="E841" s="374"/>
      <c r="F841" s="374"/>
      <c r="G841" s="374"/>
      <c r="H841" s="929"/>
      <c r="I841" s="885"/>
      <c r="J841" s="300"/>
    </row>
    <row r="842" spans="1:10" x14ac:dyDescent="0.3">
      <c r="A842" s="1163"/>
      <c r="B842" s="361"/>
      <c r="C842" s="978"/>
      <c r="D842" s="364"/>
      <c r="E842" s="139"/>
      <c r="F842" s="364"/>
      <c r="G842" s="364"/>
      <c r="H842" s="979"/>
      <c r="I842" s="300"/>
      <c r="J842" s="300"/>
    </row>
    <row r="843" spans="1:10" x14ac:dyDescent="0.3">
      <c r="A843" s="1086">
        <v>1</v>
      </c>
      <c r="B843" s="550" t="s">
        <v>6</v>
      </c>
      <c r="C843" s="551" t="s">
        <v>1690</v>
      </c>
      <c r="D843" s="551" t="s">
        <v>1636</v>
      </c>
      <c r="E843" s="1042">
        <v>41010</v>
      </c>
      <c r="F843" s="550" t="s">
        <v>1596</v>
      </c>
      <c r="G843" s="895"/>
      <c r="H843" s="550"/>
      <c r="I843" s="1025">
        <v>427.57</v>
      </c>
      <c r="J843" s="1085" t="str">
        <f>IF(ISBLANK(I843)," ",IF(ISTEXT(I843)," ",IF(I843&lt;=[4]Нормативы!$H$159,"КМС",IF(I843&lt;=[4]Нормативы!$H$160,"КМС",IF(I843&lt;=[4]Нормативы!$L$161,"КМС",IF(I843&lt;=[4]Нормативы!$L$162,"I",IF(I843&lt;=[4]Нормативы!$L$163,"II",IF(I843&lt;=[4]Нормативы!$L$164,"III",IF(I843&lt;=[4]Нормативы!$L$165,"I юн",IF(I843&lt;=[4]Нормативы!$L$166,"II юн",IF(I843&lt;=[4]Нормативы!$L$167,"III юн","б/р")))))))))))</f>
        <v>I</v>
      </c>
    </row>
    <row r="844" spans="1:10" x14ac:dyDescent="0.3">
      <c r="A844" s="1086">
        <v>2</v>
      </c>
      <c r="B844" s="550" t="s">
        <v>6</v>
      </c>
      <c r="C844" s="551" t="s">
        <v>1691</v>
      </c>
      <c r="D844" s="7" t="s">
        <v>1616</v>
      </c>
      <c r="E844" s="1042">
        <v>41165</v>
      </c>
      <c r="F844" s="550" t="s">
        <v>1596</v>
      </c>
      <c r="G844" s="895"/>
      <c r="H844" s="550"/>
      <c r="I844" s="1025">
        <v>430.13</v>
      </c>
      <c r="J844" s="1085" t="str">
        <f>IF(ISBLANK(I844)," ",IF(ISTEXT(I844)," ",IF(I844&lt;=[4]Нормативы!$H$159,"КМС",IF(I844&lt;=[4]Нормативы!$H$160,"КМС",IF(I844&lt;=[4]Нормативы!$L$161,"КМС",IF(I844&lt;=[4]Нормативы!$L$162,"I",IF(I844&lt;=[4]Нормативы!$L$163,"II",IF(I844&lt;=[4]Нормативы!$L$164,"III",IF(I844&lt;=[4]Нормативы!$L$165,"I юн",IF(I844&lt;=[4]Нормативы!$L$166,"II юн",IF(I844&lt;=[4]Нормативы!$L$167,"III юн","б/р")))))))))))</f>
        <v>II</v>
      </c>
    </row>
    <row r="845" spans="1:10" x14ac:dyDescent="0.3">
      <c r="A845" s="1086">
        <v>3</v>
      </c>
      <c r="B845" s="550" t="s">
        <v>23</v>
      </c>
      <c r="C845" s="551" t="s">
        <v>1683</v>
      </c>
      <c r="D845" s="890" t="s">
        <v>1613</v>
      </c>
      <c r="E845" s="1042">
        <v>41302</v>
      </c>
      <c r="F845" s="550" t="s">
        <v>1634</v>
      </c>
      <c r="G845" s="895"/>
      <c r="H845" s="550"/>
      <c r="I845" s="1025">
        <v>435.45</v>
      </c>
      <c r="J845" s="1085" t="str">
        <f>IF(ISBLANK(I845)," ",IF(ISTEXT(I845)," ",IF(I845&lt;=[4]Нормативы!$H$159,"КМС",IF(I845&lt;=[4]Нормативы!$H$160,"КМС",IF(I845&lt;=[4]Нормативы!$L$161,"КМС",IF(I845&lt;=[4]Нормативы!$L$162,"I",IF(I845&lt;=[4]Нормативы!$L$163,"II",IF(I845&lt;=[4]Нормативы!$L$164,"III",IF(I845&lt;=[4]Нормативы!$L$165,"I юн",IF(I845&lt;=[4]Нормативы!$L$166,"II юн",IF(I845&lt;=[4]Нормативы!$L$167,"III юн","б/р")))))))))))</f>
        <v>II</v>
      </c>
    </row>
    <row r="846" spans="1:10" x14ac:dyDescent="0.3">
      <c r="A846" s="1086">
        <v>4</v>
      </c>
      <c r="B846" s="550" t="s">
        <v>6</v>
      </c>
      <c r="C846" s="551" t="s">
        <v>1688</v>
      </c>
      <c r="D846" s="890" t="s">
        <v>1689</v>
      </c>
      <c r="E846" s="1042">
        <v>40997</v>
      </c>
      <c r="F846" s="550" t="s">
        <v>1596</v>
      </c>
      <c r="G846" s="895"/>
      <c r="H846" s="550"/>
      <c r="I846" s="1025">
        <v>437.67</v>
      </c>
      <c r="J846" s="1085" t="str">
        <f>IF(ISBLANK(I846)," ",IF(ISTEXT(I846)," ",IF(I846&lt;=[4]Нормативы!$H$159,"КМС",IF(I846&lt;=[4]Нормативы!$H$160,"КМС",IF(I846&lt;=[4]Нормативы!$L$161,"КМС",IF(I846&lt;=[4]Нормативы!$L$162,"I",IF(I846&lt;=[4]Нормативы!$L$163,"II",IF(I846&lt;=[4]Нормативы!$L$164,"III",IF(I846&lt;=[4]Нормативы!$L$165,"I юн",IF(I846&lt;=[4]Нормативы!$L$166,"II юн",IF(I846&lt;=[4]Нормативы!$L$167,"III юн","б/р")))))))))))</f>
        <v>II</v>
      </c>
    </row>
    <row r="847" spans="1:10" x14ac:dyDescent="0.3">
      <c r="A847" s="1086">
        <v>5</v>
      </c>
      <c r="B847" s="550" t="s">
        <v>23</v>
      </c>
      <c r="C847" s="551" t="s">
        <v>1328</v>
      </c>
      <c r="D847" s="890" t="s">
        <v>1684</v>
      </c>
      <c r="E847" s="1042">
        <v>41346</v>
      </c>
      <c r="F847" s="550" t="s">
        <v>1598</v>
      </c>
      <c r="G847" s="895"/>
      <c r="H847" s="550"/>
      <c r="I847" s="1025">
        <v>440.59</v>
      </c>
      <c r="J847" s="1085" t="str">
        <f>IF(ISBLANK(I847)," ",IF(ISTEXT(I847)," ",IF(I847&lt;=[4]Нормативы!$H$159,"КМС",IF(I847&lt;=[4]Нормативы!$H$160,"КМС",IF(I847&lt;=[4]Нормативы!$L$161,"КМС",IF(I847&lt;=[4]Нормативы!$L$162,"I",IF(I847&lt;=[4]Нормативы!$L$163,"II",IF(I847&lt;=[4]Нормативы!$L$164,"III",IF(I847&lt;=[4]Нормативы!$L$165,"I юн",IF(I847&lt;=[4]Нормативы!$L$166,"II юн",IF(I847&lt;=[4]Нормативы!$L$167,"III юн","б/р")))))))))))</f>
        <v>II</v>
      </c>
    </row>
    <row r="848" spans="1:10" x14ac:dyDescent="0.3">
      <c r="A848" s="1086">
        <v>6</v>
      </c>
      <c r="B848" s="550" t="s">
        <v>23</v>
      </c>
      <c r="C848" s="551" t="s">
        <v>1685</v>
      </c>
      <c r="D848" s="890" t="s">
        <v>1668</v>
      </c>
      <c r="E848" s="1042">
        <v>40988</v>
      </c>
      <c r="F848" s="550" t="s">
        <v>1634</v>
      </c>
      <c r="G848" s="895"/>
      <c r="H848" s="550"/>
      <c r="I848" s="1025">
        <v>448.52</v>
      </c>
      <c r="J848" s="1085" t="str">
        <f>IF(ISBLANK(I848)," ",IF(ISTEXT(I848)," ",IF(I848&lt;=[4]Нормативы!$H$159,"КМС",IF(I848&lt;=[4]Нормативы!$H$160,"КМС",IF(I848&lt;=[4]Нормативы!$L$161,"КМС",IF(I848&lt;=[4]Нормативы!$L$162,"I",IF(I848&lt;=[4]Нормативы!$L$163,"II",IF(I848&lt;=[4]Нормативы!$L$164,"III",IF(I848&lt;=[4]Нормативы!$L$165,"I юн",IF(I848&lt;=[4]Нормативы!$L$166,"II юн",IF(I848&lt;=[4]Нормативы!$L$167,"III юн","б/р")))))))))))</f>
        <v>III</v>
      </c>
    </row>
    <row r="849" spans="1:10" x14ac:dyDescent="0.3">
      <c r="A849" s="1086"/>
      <c r="B849" s="1066"/>
      <c r="C849" s="989"/>
      <c r="D849" s="361"/>
      <c r="E849" s="990"/>
      <c r="F849" s="991"/>
      <c r="G849" s="361"/>
      <c r="H849" s="991"/>
      <c r="I849" s="895"/>
      <c r="J849" s="1070"/>
    </row>
    <row r="850" spans="1:10" ht="15.6" x14ac:dyDescent="0.3">
      <c r="A850" s="1028"/>
      <c r="B850" s="374"/>
      <c r="C850" s="928" t="s">
        <v>2057</v>
      </c>
      <c r="D850" s="374"/>
      <c r="E850" s="374"/>
      <c r="F850" s="374"/>
      <c r="G850" s="374"/>
      <c r="H850" s="929"/>
      <c r="I850" s="895"/>
      <c r="J850" s="1070"/>
    </row>
    <row r="851" spans="1:10" x14ac:dyDescent="0.3">
      <c r="A851" s="1086"/>
      <c r="B851" s="891"/>
      <c r="C851" s="551"/>
      <c r="D851" s="359"/>
      <c r="E851" s="963"/>
      <c r="F851" s="550"/>
      <c r="G851" s="550"/>
      <c r="H851" s="1120"/>
      <c r="I851" s="1144"/>
      <c r="J851" s="1070"/>
    </row>
    <row r="852" spans="1:10" x14ac:dyDescent="0.3">
      <c r="A852" s="1086">
        <v>1</v>
      </c>
      <c r="B852" s="550" t="s">
        <v>34</v>
      </c>
      <c r="C852" s="551" t="s">
        <v>1475</v>
      </c>
      <c r="D852" s="890" t="s">
        <v>1664</v>
      </c>
      <c r="E852" s="1042">
        <v>39801</v>
      </c>
      <c r="F852" s="550" t="s">
        <v>1450</v>
      </c>
      <c r="G852" s="895"/>
      <c r="H852" s="550"/>
      <c r="I852" s="1025">
        <v>417.75</v>
      </c>
      <c r="J852" s="1085" t="str">
        <f>IF(ISBLANK(I852)," ",IF(ISTEXT(I852)," ",IF(I852&lt;=[4]Нормативы!$H$159,"КМС",IF(I852&lt;=[4]Нормативы!$H$160,"КМС",IF(I852&lt;=[4]Нормативы!$L$161,"КМС",IF(I852&lt;=[4]Нормативы!$L$162,"I",IF(I852&lt;=[4]Нормативы!$L$163,"II",IF(I852&lt;=[4]Нормативы!$L$164,"III",IF(I852&lt;=[4]Нормативы!$L$165,"I юн",IF(I852&lt;=[4]Нормативы!$L$166,"II юн",IF(I852&lt;=[4]Нормативы!$L$167,"III юн","б/р")))))))))))</f>
        <v>I</v>
      </c>
    </row>
    <row r="853" spans="1:10" x14ac:dyDescent="0.3">
      <c r="A853" s="1086">
        <v>2</v>
      </c>
      <c r="B853" s="550" t="s">
        <v>6</v>
      </c>
      <c r="C853" s="551" t="s">
        <v>1709</v>
      </c>
      <c r="D853" s="890" t="s">
        <v>1630</v>
      </c>
      <c r="E853" s="1042">
        <v>39927</v>
      </c>
      <c r="F853" s="550" t="s">
        <v>1634</v>
      </c>
      <c r="G853" s="895"/>
      <c r="H853" s="550"/>
      <c r="I853" s="1025">
        <v>427.81</v>
      </c>
      <c r="J853" s="1085" t="str">
        <f>IF(ISBLANK(I853)," ",IF(ISTEXT(I853)," ",IF(I853&lt;=[4]Нормативы!$H$159,"КМС",IF(I853&lt;=[4]Нормативы!$H$160,"КМС",IF(I853&lt;=[4]Нормативы!$L$161,"КМС",IF(I853&lt;=[4]Нормативы!$L$162,"I",IF(I853&lt;=[4]Нормативы!$L$163,"II",IF(I853&lt;=[4]Нормативы!$L$164,"III",IF(I853&lt;=[4]Нормативы!$L$165,"I юн",IF(I853&lt;=[4]Нормативы!$L$166,"II юн",IF(I853&lt;=[4]Нормативы!$L$167,"III юн","б/р")))))))))))</f>
        <v>I</v>
      </c>
    </row>
    <row r="854" spans="1:10" x14ac:dyDescent="0.3">
      <c r="A854" s="1086">
        <v>3</v>
      </c>
      <c r="B854" s="550" t="s">
        <v>23</v>
      </c>
      <c r="C854" s="551" t="s">
        <v>1698</v>
      </c>
      <c r="D854" s="890" t="s">
        <v>1616</v>
      </c>
      <c r="E854" s="1042">
        <v>40816</v>
      </c>
      <c r="F854" s="550" t="s">
        <v>1634</v>
      </c>
      <c r="G854" s="895"/>
      <c r="H854" s="550"/>
      <c r="I854" s="1025">
        <v>439.45</v>
      </c>
      <c r="J854" s="1085" t="str">
        <f>IF(ISBLANK(I854)," ",IF(ISTEXT(I854)," ",IF(I854&lt;=[4]Нормативы!$H$159,"КМС",IF(I854&lt;=[4]Нормативы!$H$160,"КМС",IF(I854&lt;=[4]Нормативы!$L$161,"КМС",IF(I854&lt;=[4]Нормативы!$L$162,"I",IF(I854&lt;=[4]Нормативы!$L$163,"II",IF(I854&lt;=[4]Нормативы!$L$164,"III",IF(I854&lt;=[4]Нормативы!$L$165,"I юн",IF(I854&lt;=[4]Нормативы!$L$166,"II юн",IF(I854&lt;=[4]Нормативы!$L$167,"III юн","б/р")))))))))))</f>
        <v>II</v>
      </c>
    </row>
    <row r="855" spans="1:10" x14ac:dyDescent="0.3">
      <c r="A855" s="1086">
        <v>4</v>
      </c>
      <c r="B855" s="550" t="s">
        <v>1702</v>
      </c>
      <c r="C855" s="551" t="s">
        <v>1703</v>
      </c>
      <c r="D855" s="890" t="s">
        <v>1603</v>
      </c>
      <c r="E855" s="1046" t="s">
        <v>1704</v>
      </c>
      <c r="F855" s="550" t="s">
        <v>460</v>
      </c>
      <c r="G855" s="895"/>
      <c r="H855" s="550"/>
      <c r="I855" s="1025">
        <v>445.57</v>
      </c>
      <c r="J855" s="1085" t="str">
        <f>IF(ISBLANK(I855)," ",IF(ISTEXT(I855)," ",IF(I855&lt;=[4]Нормативы!$H$159,"КМС",IF(I855&lt;=[4]Нормативы!$H$160,"КМС",IF(I855&lt;=[4]Нормативы!$L$161,"КМС",IF(I855&lt;=[4]Нормативы!$L$162,"I",IF(I855&lt;=[4]Нормативы!$L$163,"II",IF(I855&lt;=[4]Нормативы!$L$164,"III",IF(I855&lt;=[4]Нормативы!$L$165,"I юн",IF(I855&lt;=[4]Нормативы!$L$166,"II юн",IF(I855&lt;=[4]Нормативы!$L$167,"III юн","б/р")))))))))))</f>
        <v>II</v>
      </c>
    </row>
    <row r="856" spans="1:10" x14ac:dyDescent="0.3">
      <c r="A856" s="1086">
        <v>5</v>
      </c>
      <c r="B856" s="550" t="s">
        <v>23</v>
      </c>
      <c r="C856" s="551" t="s">
        <v>1697</v>
      </c>
      <c r="D856" s="890" t="s">
        <v>1618</v>
      </c>
      <c r="E856" s="1042">
        <v>40845</v>
      </c>
      <c r="F856" s="550" t="s">
        <v>1596</v>
      </c>
      <c r="G856" s="895"/>
      <c r="H856" s="550"/>
      <c r="I856" s="1025">
        <v>455.64</v>
      </c>
      <c r="J856" s="1085" t="str">
        <f>IF(ISBLANK(I856)," ",IF(ISTEXT(I856)," ",IF(I856&lt;=[4]Нормативы!$H$159,"КМС",IF(I856&lt;=[4]Нормативы!$H$160,"КМС",IF(I856&lt;=[4]Нормативы!$L$161,"КМС",IF(I856&lt;=[4]Нормативы!$L$162,"I",IF(I856&lt;=[4]Нормативы!$L$163,"II",IF(I856&lt;=[4]Нормативы!$L$164,"III",IF(I856&lt;=[4]Нормативы!$L$165,"I юн",IF(I856&lt;=[4]Нормативы!$L$166,"II юн",IF(I856&lt;=[4]Нормативы!$L$167,"III юн","б/р")))))))))))</f>
        <v>III</v>
      </c>
    </row>
    <row r="857" spans="1:10" x14ac:dyDescent="0.3">
      <c r="A857" s="1086">
        <v>6</v>
      </c>
      <c r="B857" s="550" t="s">
        <v>24</v>
      </c>
      <c r="C857" s="551" t="s">
        <v>1696</v>
      </c>
      <c r="D857" s="890" t="s">
        <v>1620</v>
      </c>
      <c r="E857" s="1042">
        <v>40849</v>
      </c>
      <c r="F857" s="550" t="s">
        <v>460</v>
      </c>
      <c r="G857" s="895"/>
      <c r="H857" s="550"/>
      <c r="I857" s="1025">
        <v>504.7</v>
      </c>
      <c r="J857" s="1085" t="str">
        <f>IF(ISBLANK(I857)," ",IF(ISTEXT(I857)," ",IF(I857&lt;=[4]Нормативы!$H$159,"КМС",IF(I857&lt;=[4]Нормативы!$H$160,"КМС",IF(I857&lt;=[4]Нормативы!$L$161,"КМС",IF(I857&lt;=[4]Нормативы!$L$162,"I",IF(I857&lt;=[4]Нормативы!$L$163,"II",IF(I857&lt;=[4]Нормативы!$L$164,"III",IF(I857&lt;=[4]Нормативы!$L$165,"I юн",IF(I857&lt;=[4]Нормативы!$L$166,"II юн",IF(I857&lt;=[4]Нормативы!$L$167,"III юн","б/р")))))))))))</f>
        <v>III</v>
      </c>
    </row>
    <row r="858" spans="1:10" x14ac:dyDescent="0.3">
      <c r="A858" s="1086">
        <v>7</v>
      </c>
      <c r="B858" s="550" t="s">
        <v>24</v>
      </c>
      <c r="C858" s="551" t="s">
        <v>1693</v>
      </c>
      <c r="D858" s="890" t="s">
        <v>1674</v>
      </c>
      <c r="E858" s="1042">
        <v>40693</v>
      </c>
      <c r="F858" s="550" t="s">
        <v>1452</v>
      </c>
      <c r="G858" s="895"/>
      <c r="H858" s="550"/>
      <c r="I858" s="1025">
        <v>536.42999999999995</v>
      </c>
      <c r="J858" s="1085" t="str">
        <f>IF(ISBLANK(I858)," ",IF(ISTEXT(I858)," ",IF(I858&lt;=[4]Нормативы!$H$159,"КМС",IF(I858&lt;=[4]Нормативы!$H$160,"КМС",IF(I858&lt;=[4]Нормативы!$L$161,"КМС",IF(I858&lt;=[4]Нормативы!$L$162,"I",IF(I858&lt;=[4]Нормативы!$L$163,"II",IF(I858&lt;=[4]Нормативы!$L$164,"III",IF(I858&lt;=[4]Нормативы!$L$165,"I юн",IF(I858&lt;=[4]Нормативы!$L$166,"II юн",IF(I858&lt;=[4]Нормативы!$L$167,"III юн","б/р")))))))))))</f>
        <v>II юн</v>
      </c>
    </row>
    <row r="859" spans="1:10" x14ac:dyDescent="0.3">
      <c r="A859" s="1028"/>
      <c r="B859" s="361"/>
      <c r="C859" s="349"/>
      <c r="D859" s="361"/>
      <c r="E859" s="361"/>
      <c r="F859" s="361"/>
      <c r="G859" s="361"/>
      <c r="H859" s="954"/>
      <c r="I859" s="1044"/>
      <c r="J859" s="300"/>
    </row>
    <row r="860" spans="1:10" ht="15.6" x14ac:dyDescent="0.3">
      <c r="A860" s="1028"/>
      <c r="B860" s="374"/>
      <c r="C860" s="928" t="s">
        <v>2058</v>
      </c>
      <c r="D860" s="374"/>
      <c r="E860" s="374"/>
      <c r="F860" s="374"/>
      <c r="G860" s="374"/>
      <c r="H860" s="929"/>
      <c r="I860" s="885"/>
      <c r="J860" s="300"/>
    </row>
    <row r="862" spans="1:10" x14ac:dyDescent="0.3">
      <c r="A862" s="1086">
        <v>1</v>
      </c>
      <c r="B862" s="550" t="s">
        <v>6</v>
      </c>
      <c r="C862" s="550" t="s">
        <v>1854</v>
      </c>
      <c r="D862" s="551" t="s">
        <v>1742</v>
      </c>
      <c r="E862" s="1042">
        <v>41038</v>
      </c>
      <c r="F862" s="550" t="s">
        <v>1450</v>
      </c>
      <c r="G862" s="895"/>
      <c r="H862" s="880"/>
      <c r="I862" s="1025">
        <v>356.24</v>
      </c>
      <c r="J862" s="1085" t="str">
        <f>IF(ISBLANK(I862)," ",IF(ISTEXT(I862)," ",IF(I862&lt;=[4]Нормативы!$H$170,"КМС",IF(I862&lt;=[4]Нормативы!$H$171,"КМС",IF(I862&lt;=[4]Нормативы!$L$172,"КМС",IF(I862&lt;=[4]Нормативы!$L$173,"I",IF(I862&lt;=[4]Нормативы!$L$174,"II",IF(I862&lt;=[4]Нормативы!$L$175,"III",IF(I862&lt;=[4]Нормативы!$L$176,"I юн",IF(I862&lt;=[4]Нормативы!$L$177,"II юн",IF(I862&lt;=[4]Нормативы!$L$178,"III юн","б/р")))))))))))</f>
        <v>I</v>
      </c>
    </row>
    <row r="863" spans="1:10" x14ac:dyDescent="0.3">
      <c r="A863" s="1086">
        <v>2</v>
      </c>
      <c r="B863" s="550" t="s">
        <v>6</v>
      </c>
      <c r="C863" s="550" t="s">
        <v>1855</v>
      </c>
      <c r="D863" s="551" t="s">
        <v>1856</v>
      </c>
      <c r="E863" s="1042">
        <v>41022</v>
      </c>
      <c r="F863" s="550" t="s">
        <v>1834</v>
      </c>
      <c r="G863" s="895"/>
      <c r="H863" s="880"/>
      <c r="I863" s="1025">
        <v>359.81</v>
      </c>
      <c r="J863" s="1085" t="str">
        <f>IF(ISBLANK(I863)," ",IF(ISTEXT(I863)," ",IF(I863&lt;=[4]Нормативы!$H$170,"КМС",IF(I863&lt;=[4]Нормативы!$H$171,"КМС",IF(I863&lt;=[4]Нормативы!$L$172,"КМС",IF(I863&lt;=[4]Нормативы!$L$173,"I",IF(I863&lt;=[4]Нормативы!$L$174,"II",IF(I863&lt;=[4]Нормативы!$L$175,"III",IF(I863&lt;=[4]Нормативы!$L$176,"I юн",IF(I863&lt;=[4]Нормативы!$L$177,"II юн",IF(I863&lt;=[4]Нормативы!$L$178,"III юн","б/р")))))))))))</f>
        <v>I</v>
      </c>
    </row>
    <row r="864" spans="1:10" x14ac:dyDescent="0.3">
      <c r="A864" s="1086">
        <v>3</v>
      </c>
      <c r="B864" s="550" t="s">
        <v>23</v>
      </c>
      <c r="C864" s="550" t="s">
        <v>1365</v>
      </c>
      <c r="D864" s="551" t="s">
        <v>1940</v>
      </c>
      <c r="E864" s="1042">
        <v>41204</v>
      </c>
      <c r="F864" s="550" t="s">
        <v>1450</v>
      </c>
      <c r="G864" s="895"/>
      <c r="H864" s="880"/>
      <c r="I864" s="1025">
        <v>414.57</v>
      </c>
      <c r="J864" s="1085" t="str">
        <f>IF(ISBLANK(I864)," ",IF(ISTEXT(I864)," ",IF(I864&lt;=[4]Нормативы!$H$170,"КМС",IF(I864&lt;=[4]Нормативы!$H$171,"КМС",IF(I864&lt;=[4]Нормативы!$L$172,"КМС",IF(I864&lt;=[4]Нормативы!$L$173,"I",IF(I864&lt;=[4]Нормативы!$L$174,"II",IF(I864&lt;=[4]Нормативы!$L$175,"III",IF(I864&lt;=[4]Нормативы!$L$176,"I юн",IF(I864&lt;=[4]Нормативы!$L$177,"II юн",IF(I864&lt;=[4]Нормативы!$L$178,"III юн","б/р")))))))))))</f>
        <v>II</v>
      </c>
    </row>
    <row r="865" spans="1:10" x14ac:dyDescent="0.3">
      <c r="A865" s="1086">
        <v>4</v>
      </c>
      <c r="B865" s="550" t="s">
        <v>23</v>
      </c>
      <c r="C865" s="550" t="s">
        <v>1850</v>
      </c>
      <c r="D865" s="551" t="s">
        <v>1851</v>
      </c>
      <c r="E865" s="1042">
        <v>40927</v>
      </c>
      <c r="F865" s="550" t="s">
        <v>1834</v>
      </c>
      <c r="G865" s="895"/>
      <c r="H865" s="880"/>
      <c r="I865" s="1025">
        <v>418.32</v>
      </c>
      <c r="J865" s="1085" t="str">
        <f>IF(ISBLANK(I865)," ",IF(ISTEXT(I865)," ",IF(I865&lt;=[4]Нормативы!$H$170,"КМС",IF(I865&lt;=[4]Нормативы!$H$171,"КМС",IF(I865&lt;=[4]Нормативы!$L$172,"КМС",IF(I865&lt;=[4]Нормативы!$L$173,"I",IF(I865&lt;=[4]Нормативы!$L$174,"II",IF(I865&lt;=[4]Нормативы!$L$175,"III",IF(I865&lt;=[4]Нормативы!$L$176,"I юн",IF(I865&lt;=[4]Нормативы!$L$177,"II юн",IF(I865&lt;=[4]Нормативы!$L$178,"III юн","б/р")))))))))))</f>
        <v>II</v>
      </c>
    </row>
    <row r="866" spans="1:10" x14ac:dyDescent="0.3">
      <c r="A866" s="1086">
        <v>5</v>
      </c>
      <c r="B866" s="550" t="s">
        <v>24</v>
      </c>
      <c r="C866" s="550" t="s">
        <v>1925</v>
      </c>
      <c r="D866" s="551" t="s">
        <v>1807</v>
      </c>
      <c r="E866" s="1042">
        <v>41066</v>
      </c>
      <c r="F866" s="550" t="s">
        <v>1598</v>
      </c>
      <c r="G866" s="880"/>
      <c r="H866" s="880"/>
      <c r="I866" s="1025">
        <v>424.58</v>
      </c>
      <c r="J866" s="1085" t="str">
        <f>IF(ISBLANK(I866)," ",IF(ISTEXT(I866)," ",IF(I866&lt;=[4]Нормативы!$H$170,"КМС",IF(I866&lt;=[4]Нормативы!$H$171,"КМС",IF(I866&lt;=[4]Нормативы!$L$172,"КМС",IF(I866&lt;=[4]Нормативы!$L$173,"I",IF(I866&lt;=[4]Нормативы!$L$174,"II",IF(I866&lt;=[4]Нормативы!$L$175,"III",IF(I866&lt;=[4]Нормативы!$L$176,"I юн",IF(I866&lt;=[4]Нормативы!$L$177,"II юн",IF(I866&lt;=[4]Нормативы!$L$178,"III юн","б/р")))))))))))</f>
        <v>II</v>
      </c>
    </row>
    <row r="867" spans="1:10" x14ac:dyDescent="0.3">
      <c r="A867" s="1086">
        <v>6</v>
      </c>
      <c r="B867" s="550" t="s">
        <v>35</v>
      </c>
      <c r="C867" s="550" t="s">
        <v>1838</v>
      </c>
      <c r="D867" s="551" t="s">
        <v>1760</v>
      </c>
      <c r="E867" s="1042">
        <v>41478</v>
      </c>
      <c r="F867" s="550" t="s">
        <v>1452</v>
      </c>
      <c r="G867" s="895"/>
      <c r="H867" s="880"/>
      <c r="I867" s="1025">
        <v>446.45</v>
      </c>
      <c r="J867" s="1085" t="str">
        <f>IF(ISBLANK(I867)," ",IF(ISTEXT(I867)," ",IF(I867&lt;=[4]Нормативы!$H$170,"КМС",IF(I867&lt;=[4]Нормативы!$H$171,"КМС",IF(I867&lt;=[4]Нормативы!$L$172,"КМС",IF(I867&lt;=[4]Нормативы!$L$173,"I",IF(I867&lt;=[4]Нормативы!$L$174,"II",IF(I867&lt;=[4]Нормативы!$L$175,"III",IF(I867&lt;=[4]Нормативы!$L$176,"I юн",IF(I867&lt;=[4]Нормативы!$L$177,"II юн",IF(I867&lt;=[4]Нормативы!$L$178,"III юн","б/р")))))))))))</f>
        <v>I юн</v>
      </c>
    </row>
    <row r="868" spans="1:10" x14ac:dyDescent="0.3">
      <c r="A868" s="1086">
        <v>7</v>
      </c>
      <c r="B868" s="550" t="s">
        <v>20</v>
      </c>
      <c r="C868" s="550" t="s">
        <v>1836</v>
      </c>
      <c r="D868" s="551" t="s">
        <v>1755</v>
      </c>
      <c r="E868" s="1042">
        <v>41258</v>
      </c>
      <c r="F868" s="550" t="s">
        <v>1452</v>
      </c>
      <c r="G868" s="895"/>
      <c r="H868" s="880"/>
      <c r="I868" s="1025">
        <v>516.66999999999996</v>
      </c>
      <c r="J868" s="1085" t="str">
        <f>IF(ISBLANK(I868)," ",IF(ISTEXT(I868)," ",IF(I868&lt;=[4]Нормативы!$H$170,"КМС",IF(I868&lt;=[4]Нормативы!$H$171,"КМС",IF(I868&lt;=[4]Нормативы!$L$172,"КМС",IF(I868&lt;=[4]Нормативы!$L$173,"I",IF(I868&lt;=[4]Нормативы!$L$174,"II",IF(I868&lt;=[4]Нормативы!$L$175,"III",IF(I868&lt;=[4]Нормативы!$L$176,"I юн",IF(I868&lt;=[4]Нормативы!$L$177,"II юн",IF(I868&lt;=[4]Нормативы!$L$178,"III юн","б/р")))))))))))</f>
        <v>II юн</v>
      </c>
    </row>
    <row r="869" spans="1:10" x14ac:dyDescent="0.3">
      <c r="A869" s="1086"/>
      <c r="B869" s="550"/>
      <c r="C869" s="550"/>
      <c r="D869" s="551"/>
      <c r="E869" s="1042"/>
      <c r="F869" s="550"/>
      <c r="G869" s="895"/>
      <c r="H869" s="880"/>
      <c r="I869" s="1025"/>
      <c r="J869" s="300"/>
    </row>
    <row r="870" spans="1:10" ht="15.6" x14ac:dyDescent="0.3">
      <c r="A870" s="1028"/>
      <c r="B870" s="374"/>
      <c r="C870" s="928" t="s">
        <v>2059</v>
      </c>
      <c r="D870" s="374"/>
      <c r="E870" s="374"/>
      <c r="F870" s="374"/>
      <c r="G870" s="374"/>
      <c r="H870" s="929"/>
      <c r="I870" s="550"/>
      <c r="J870" s="300"/>
    </row>
    <row r="871" spans="1:10" x14ac:dyDescent="0.3">
      <c r="A871" s="1163"/>
      <c r="B871" s="361"/>
      <c r="C871" s="992"/>
      <c r="D871" s="364"/>
      <c r="E871" s="139"/>
      <c r="F871" s="364"/>
      <c r="G871" s="364"/>
      <c r="H871" s="979"/>
      <c r="I871" s="1076"/>
      <c r="J871" s="300"/>
    </row>
    <row r="872" spans="1:10" x14ac:dyDescent="0.3">
      <c r="A872" s="1086">
        <v>1</v>
      </c>
      <c r="B872" s="883" t="s">
        <v>34</v>
      </c>
      <c r="C872" s="883" t="s">
        <v>1947</v>
      </c>
      <c r="D872" s="883" t="s">
        <v>1768</v>
      </c>
      <c r="E872" s="1058">
        <v>39647</v>
      </c>
      <c r="F872" s="550" t="s">
        <v>1598</v>
      </c>
      <c r="G872" s="880"/>
      <c r="H872" s="880"/>
      <c r="I872" s="1025">
        <v>345.8</v>
      </c>
      <c r="J872" s="1085" t="str">
        <f>IF(ISBLANK(I872)," ",IF(ISTEXT(I872)," ",IF(I872&lt;=[4]Нормативы!$H$170,"КМС",IF(I872&lt;=[4]Нормативы!$H$171,"КМС",IF(I872&lt;=[4]Нормативы!$L$172,"КМС",IF(I872&lt;=[4]Нормативы!$L$173,"I",IF(I872&lt;=[4]Нормативы!$L$174,"II",IF(I872&lt;=[4]Нормативы!$L$175,"III",IF(I872&lt;=[4]Нормативы!$L$176,"I юн",IF(I872&lt;=[4]Нормативы!$L$177,"II юн",IF(I872&lt;=[4]Нормативы!$L$178,"III юн","б/р")))))))))))</f>
        <v>КМС</v>
      </c>
    </row>
    <row r="873" spans="1:10" x14ac:dyDescent="0.3">
      <c r="A873" s="1086">
        <v>2</v>
      </c>
      <c r="B873" s="550" t="s">
        <v>34</v>
      </c>
      <c r="C873" s="550" t="s">
        <v>1944</v>
      </c>
      <c r="D873" s="551" t="s">
        <v>1768</v>
      </c>
      <c r="E873" s="1042">
        <v>40035</v>
      </c>
      <c r="F873" s="550" t="s">
        <v>1634</v>
      </c>
      <c r="G873" s="895"/>
      <c r="H873" s="550"/>
      <c r="I873" s="1025">
        <v>349.65</v>
      </c>
      <c r="J873" s="1085" t="str">
        <f>IF(ISBLANK(I873)," ",IF(ISTEXT(I873)," ",IF(I873&lt;=[4]Нормативы!$H$170,"КМС",IF(I873&lt;=[4]Нормативы!$H$171,"КМС",IF(I873&lt;=[4]Нормативы!$L$172,"КМС",IF(I873&lt;=[4]Нормативы!$L$173,"I",IF(I873&lt;=[4]Нормативы!$L$174,"II",IF(I873&lt;=[4]Нормативы!$L$175,"III",IF(I873&lt;=[4]Нормативы!$L$176,"I юн",IF(I873&lt;=[4]Нормативы!$L$177,"II юн",IF(I873&lt;=[4]Нормативы!$L$178,"III юн","б/р")))))))))))</f>
        <v>КМС</v>
      </c>
    </row>
    <row r="874" spans="1:10" x14ac:dyDescent="0.3">
      <c r="A874" s="1086">
        <v>3</v>
      </c>
      <c r="B874" s="550" t="s">
        <v>23</v>
      </c>
      <c r="C874" s="550" t="s">
        <v>1877</v>
      </c>
      <c r="D874" s="551" t="s">
        <v>1781</v>
      </c>
      <c r="E874" s="1042">
        <v>40703</v>
      </c>
      <c r="F874" s="550" t="s">
        <v>1634</v>
      </c>
      <c r="G874" s="895"/>
      <c r="H874" s="550"/>
      <c r="I874" s="1025">
        <v>357.81</v>
      </c>
      <c r="J874" s="1085" t="str">
        <f>IF(ISBLANK(I874)," ",IF(ISTEXT(I874)," ",IF(I874&lt;=[4]Нормативы!$H$170,"КМС",IF(I874&lt;=[4]Нормативы!$H$171,"КМС",IF(I874&lt;=[4]Нормативы!$L$172,"КМС",IF(I874&lt;=[4]Нормативы!$L$173,"I",IF(I874&lt;=[4]Нормативы!$L$174,"II",IF(I874&lt;=[4]Нормативы!$L$175,"III",IF(I874&lt;=[4]Нормативы!$L$176,"I юн",IF(I874&lt;=[4]Нормативы!$L$177,"II юн",IF(I874&lt;=[4]Нормативы!$L$178,"III юн","б/р")))))))))))</f>
        <v>I</v>
      </c>
    </row>
    <row r="875" spans="1:10" x14ac:dyDescent="0.3">
      <c r="A875" s="1086">
        <v>4</v>
      </c>
      <c r="B875" s="24" t="s">
        <v>6</v>
      </c>
      <c r="C875" s="550" t="s">
        <v>1533</v>
      </c>
      <c r="D875" s="551" t="s">
        <v>1737</v>
      </c>
      <c r="E875" s="1042">
        <v>39993</v>
      </c>
      <c r="F875" s="550" t="s">
        <v>1596</v>
      </c>
      <c r="G875" s="895"/>
      <c r="H875" s="550"/>
      <c r="I875" s="1025">
        <v>359.32</v>
      </c>
      <c r="J875" s="1085" t="str">
        <f>IF(ISBLANK(I875)," ",IF(ISTEXT(I875)," ",IF(I875&lt;=[4]Нормативы!$H$170,"КМС",IF(I875&lt;=[4]Нормативы!$H$171,"КМС",IF(I875&lt;=[4]Нормативы!$L$172,"КМС",IF(I875&lt;=[4]Нормативы!$L$173,"I",IF(I875&lt;=[4]Нормативы!$L$174,"II",IF(I875&lt;=[4]Нормативы!$L$175,"III",IF(I875&lt;=[4]Нормативы!$L$176,"I юн",IF(I875&lt;=[4]Нормативы!$L$177,"II юн",IF(I875&lt;=[4]Нормативы!$L$178,"III юн","б/р")))))))))))</f>
        <v>I</v>
      </c>
    </row>
    <row r="876" spans="1:10" x14ac:dyDescent="0.3">
      <c r="A876" s="1086">
        <v>5</v>
      </c>
      <c r="B876" s="550" t="s">
        <v>23</v>
      </c>
      <c r="C876" s="550" t="s">
        <v>1943</v>
      </c>
      <c r="D876" s="551" t="s">
        <v>1725</v>
      </c>
      <c r="E876" s="1042">
        <v>40414</v>
      </c>
      <c r="F876" s="550" t="s">
        <v>1628</v>
      </c>
      <c r="G876" s="895"/>
      <c r="H876" s="550"/>
      <c r="I876" s="1025">
        <v>406.62</v>
      </c>
      <c r="J876" s="1085" t="str">
        <f>IF(ISBLANK(I876)," ",IF(ISTEXT(I876)," ",IF(I876&lt;=[4]Нормативы!$H$170,"КМС",IF(I876&lt;=[4]Нормативы!$H$171,"КМС",IF(I876&lt;=[4]Нормативы!$L$172,"КМС",IF(I876&lt;=[4]Нормативы!$L$173,"I",IF(I876&lt;=[4]Нормативы!$L$174,"II",IF(I876&lt;=[4]Нормативы!$L$175,"III",IF(I876&lt;=[4]Нормативы!$L$176,"I юн",IF(I876&lt;=[4]Нормативы!$L$177,"II юн",IF(I876&lt;=[4]Нормативы!$L$178,"III юн","б/р")))))))))))</f>
        <v>I</v>
      </c>
    </row>
    <row r="877" spans="1:10" x14ac:dyDescent="0.3">
      <c r="A877" s="1086">
        <v>6</v>
      </c>
      <c r="B877" s="550" t="s">
        <v>6</v>
      </c>
      <c r="C877" s="551" t="s">
        <v>1411</v>
      </c>
      <c r="D877" s="551" t="s">
        <v>1733</v>
      </c>
      <c r="E877" s="1042">
        <v>40447</v>
      </c>
      <c r="F877" s="550" t="s">
        <v>1596</v>
      </c>
      <c r="G877" s="895"/>
      <c r="H877" s="550"/>
      <c r="I877" s="1025">
        <v>411.08</v>
      </c>
      <c r="J877" s="1085" t="str">
        <f>IF(ISBLANK(I877)," ",IF(ISTEXT(I877)," ",IF(I877&lt;=[4]Нормативы!$H$170,"КМС",IF(I877&lt;=[4]Нормативы!$H$171,"КМС",IF(I877&lt;=[4]Нормативы!$L$172,"КМС",IF(I877&lt;=[4]Нормативы!$L$173,"I",IF(I877&lt;=[4]Нормативы!$L$174,"II",IF(I877&lt;=[4]Нормативы!$L$175,"III",IF(I877&lt;=[4]Нормативы!$L$176,"I юн",IF(I877&lt;=[4]Нормативы!$L$177,"II юн",IF(I877&lt;=[4]Нормативы!$L$178,"III юн","б/р")))))))))))</f>
        <v>II</v>
      </c>
    </row>
    <row r="878" spans="1:10" x14ac:dyDescent="0.3">
      <c r="A878" s="1086">
        <v>7</v>
      </c>
      <c r="B878" s="1050" t="s">
        <v>35</v>
      </c>
      <c r="C878" s="1047" t="s">
        <v>1584</v>
      </c>
      <c r="D878" s="551" t="s">
        <v>1807</v>
      </c>
      <c r="E878" s="1042">
        <v>40908</v>
      </c>
      <c r="F878" s="550" t="s">
        <v>1596</v>
      </c>
      <c r="G878" s="895"/>
      <c r="H878" s="550"/>
      <c r="I878" s="1025">
        <v>431.32</v>
      </c>
      <c r="J878" s="1085" t="str">
        <f>IF(ISBLANK(I878)," ",IF(ISTEXT(I878)," ",IF(I878&lt;=[4]Нормативы!$H$170,"КМС",IF(I878&lt;=[4]Нормативы!$H$171,"КМС",IF(I878&lt;=[4]Нормативы!$L$172,"КМС",IF(I878&lt;=[4]Нормативы!$L$173,"I",IF(I878&lt;=[4]Нормативы!$L$174,"II",IF(I878&lt;=[4]Нормативы!$L$175,"III",IF(I878&lt;=[4]Нормативы!$L$176,"I юн",IF(I878&lt;=[4]Нормативы!$L$177,"II юн",IF(I878&lt;=[4]Нормативы!$L$178,"III юн","б/р")))))))))))</f>
        <v>III</v>
      </c>
    </row>
    <row r="879" spans="1:10" x14ac:dyDescent="0.3">
      <c r="A879" s="1086"/>
      <c r="B879" s="550"/>
      <c r="C879" s="551"/>
      <c r="D879" s="890"/>
      <c r="E879" s="1046"/>
      <c r="F879" s="550"/>
      <c r="G879" s="895"/>
      <c r="H879" s="550"/>
      <c r="I879" s="885"/>
      <c r="J879" s="300"/>
    </row>
    <row r="880" spans="1:10" x14ac:dyDescent="0.3">
      <c r="A880" s="1086"/>
      <c r="B880" s="550"/>
      <c r="C880" s="551"/>
      <c r="D880" s="890"/>
      <c r="E880" s="1046"/>
      <c r="F880" s="550"/>
      <c r="G880" s="895"/>
      <c r="H880" s="550"/>
      <c r="I880" s="885"/>
      <c r="J880" s="300"/>
    </row>
    <row r="881" spans="1:10" x14ac:dyDescent="0.3">
      <c r="A881" s="1086"/>
      <c r="B881" s="550"/>
      <c r="C881" s="551"/>
      <c r="D881" s="890"/>
      <c r="E881" s="1042"/>
      <c r="F881" s="550"/>
      <c r="G881" s="895"/>
      <c r="H881" s="550"/>
      <c r="I881" s="885"/>
      <c r="J881" s="300"/>
    </row>
    <row r="882" spans="1:10" x14ac:dyDescent="0.3">
      <c r="A882" s="1086"/>
      <c r="B882" s="550"/>
      <c r="C882" s="551"/>
      <c r="D882" s="890"/>
      <c r="E882" s="1042"/>
      <c r="F882" s="550"/>
      <c r="G882" s="895"/>
      <c r="H882" s="550"/>
      <c r="I882" s="885"/>
      <c r="J882" s="300"/>
    </row>
    <row r="883" spans="1:10" x14ac:dyDescent="0.3">
      <c r="A883" s="1086"/>
      <c r="B883" s="550"/>
      <c r="C883" s="551"/>
      <c r="D883" s="890"/>
      <c r="E883" s="1042"/>
      <c r="F883" s="550"/>
      <c r="G883" s="895"/>
      <c r="H883" s="550"/>
      <c r="I883" s="885"/>
      <c r="J883" s="300"/>
    </row>
    <row r="884" spans="1:10" x14ac:dyDescent="0.3">
      <c r="A884" s="1086"/>
      <c r="B884" s="550"/>
      <c r="C884" s="551"/>
      <c r="D884" s="890"/>
      <c r="E884" s="1042"/>
      <c r="F884" s="550"/>
      <c r="G884" s="895"/>
      <c r="H884" s="550"/>
      <c r="I884" s="885"/>
      <c r="J884" s="300"/>
    </row>
    <row r="885" spans="1:10" x14ac:dyDescent="0.3">
      <c r="A885" s="1086"/>
      <c r="B885" s="1066"/>
      <c r="C885" s="927"/>
      <c r="D885" s="359"/>
      <c r="E885" s="981"/>
      <c r="F885" s="947"/>
      <c r="G885" s="947"/>
      <c r="H885" s="982"/>
      <c r="I885" s="885"/>
      <c r="J885" s="300"/>
    </row>
    <row r="886" spans="1:10" x14ac:dyDescent="0.3">
      <c r="A886" s="1086"/>
      <c r="B886" s="1066"/>
      <c r="C886" s="927"/>
      <c r="D886" s="359"/>
      <c r="E886" s="981"/>
      <c r="F886" s="947"/>
      <c r="G886" s="947"/>
      <c r="H886" s="982"/>
      <c r="I886" s="884"/>
      <c r="J886" s="300"/>
    </row>
    <row r="887" spans="1:10" x14ac:dyDescent="0.3">
      <c r="A887" s="1086"/>
      <c r="B887" s="942"/>
      <c r="C887" s="927"/>
      <c r="D887" s="18"/>
      <c r="E887" s="984"/>
      <c r="F887" s="947"/>
      <c r="G887" s="942"/>
      <c r="H887" s="947"/>
      <c r="I887" s="885"/>
      <c r="J887" s="300"/>
    </row>
    <row r="888" spans="1:10" x14ac:dyDescent="0.3">
      <c r="A888" s="1164"/>
      <c r="B888" s="999"/>
      <c r="C888" s="1000"/>
      <c r="D888" s="1001"/>
      <c r="E888" s="139"/>
      <c r="F888" s="1000"/>
      <c r="G888" s="1000"/>
      <c r="H888" s="1002"/>
      <c r="I888" s="906"/>
      <c r="J888" s="300"/>
    </row>
    <row r="889" spans="1:10" x14ac:dyDescent="0.3">
      <c r="A889" s="1161"/>
      <c r="B889" s="1066"/>
      <c r="C889" s="1011"/>
      <c r="D889" s="18"/>
      <c r="E889" s="1012"/>
      <c r="F889" s="952"/>
      <c r="G889" s="987"/>
      <c r="H889" s="358"/>
      <c r="I889" s="906"/>
      <c r="J889" s="300"/>
    </row>
    <row r="890" spans="1:10" x14ac:dyDescent="0.3">
      <c r="A890" s="1086"/>
      <c r="B890" s="1066"/>
      <c r="C890" s="927"/>
      <c r="D890" s="359"/>
      <c r="E890" s="981"/>
      <c r="F890" s="947"/>
      <c r="G890" s="947"/>
      <c r="H890" s="982"/>
      <c r="I890" s="884"/>
      <c r="J890" s="300"/>
    </row>
    <row r="891" spans="1:10" x14ac:dyDescent="0.3">
      <c r="A891" s="1086"/>
      <c r="B891" s="1066"/>
      <c r="C891" s="927"/>
      <c r="D891" s="359"/>
      <c r="E891" s="981"/>
      <c r="F891" s="947"/>
      <c r="G891" s="947"/>
      <c r="H891" s="982"/>
      <c r="I891" s="884"/>
      <c r="J891" s="300"/>
    </row>
    <row r="892" spans="1:10" x14ac:dyDescent="0.3">
      <c r="A892" s="1086"/>
      <c r="B892" s="1066"/>
      <c r="C892" s="927"/>
      <c r="D892" s="359"/>
      <c r="E892" s="981"/>
      <c r="F892" s="947"/>
      <c r="G892" s="947"/>
      <c r="H892" s="982"/>
      <c r="I892" s="884"/>
      <c r="J892" s="300"/>
    </row>
    <row r="893" spans="1:10" x14ac:dyDescent="0.3">
      <c r="A893" s="1086"/>
      <c r="B893" s="1066"/>
      <c r="C893" s="927"/>
      <c r="D893" s="359"/>
      <c r="E893" s="981"/>
      <c r="F893" s="947"/>
      <c r="G893" s="947"/>
      <c r="H893" s="982"/>
      <c r="I893" s="884"/>
      <c r="J893" s="300"/>
    </row>
    <row r="894" spans="1:10" x14ac:dyDescent="0.3">
      <c r="A894" s="1086"/>
      <c r="B894" s="1066"/>
      <c r="C894" s="927"/>
      <c r="D894" s="359"/>
      <c r="E894" s="981"/>
      <c r="F894" s="947"/>
      <c r="G894" s="947"/>
      <c r="H894" s="982"/>
      <c r="I894" s="884"/>
      <c r="J894" s="300"/>
    </row>
    <row r="895" spans="1:10" x14ac:dyDescent="0.3">
      <c r="A895" s="1086"/>
      <c r="B895" s="1066"/>
      <c r="C895" s="927"/>
      <c r="D895" s="359"/>
      <c r="E895" s="981"/>
      <c r="F895" s="947"/>
      <c r="G895" s="947"/>
      <c r="H895" s="982"/>
      <c r="I895" s="884"/>
      <c r="J895" s="300"/>
    </row>
    <row r="896" spans="1:10" x14ac:dyDescent="0.3">
      <c r="A896" s="1161"/>
      <c r="B896" s="987"/>
      <c r="C896" s="1011"/>
      <c r="D896" s="18"/>
      <c r="E896" s="1014"/>
      <c r="F896" s="952"/>
      <c r="G896" s="987"/>
      <c r="H896" s="359"/>
      <c r="I896" s="1146"/>
      <c r="J896" s="300"/>
    </row>
    <row r="897" spans="1:10" x14ac:dyDescent="0.3">
      <c r="A897" s="1086"/>
      <c r="B897" s="1066"/>
      <c r="C897" s="927"/>
      <c r="D897" s="954"/>
      <c r="E897" s="1004"/>
      <c r="F897" s="947"/>
      <c r="G897" s="954"/>
      <c r="H897" s="359"/>
      <c r="I897" s="1146"/>
      <c r="J897" s="300"/>
    </row>
    <row r="898" spans="1:10" x14ac:dyDescent="0.3">
      <c r="A898" s="1086"/>
      <c r="B898" s="1066"/>
      <c r="C898" s="927"/>
      <c r="D898" s="359"/>
      <c r="E898" s="981"/>
      <c r="F898" s="947"/>
      <c r="G898" s="947"/>
      <c r="H898" s="982"/>
      <c r="I898" s="884"/>
      <c r="J898" s="300"/>
    </row>
    <row r="899" spans="1:10" x14ac:dyDescent="0.3">
      <c r="A899" s="1086"/>
      <c r="B899" s="1066"/>
      <c r="C899" s="927"/>
      <c r="D899" s="359"/>
      <c r="E899" s="981"/>
      <c r="F899" s="947"/>
      <c r="G899" s="947"/>
      <c r="H899" s="982"/>
      <c r="I899" s="884"/>
      <c r="J899" s="300"/>
    </row>
    <row r="900" spans="1:10" x14ac:dyDescent="0.3">
      <c r="A900" s="1086"/>
      <c r="B900" s="1066"/>
      <c r="C900" s="927"/>
      <c r="D900" s="359"/>
      <c r="E900" s="981"/>
      <c r="F900" s="947"/>
      <c r="G900" s="947"/>
      <c r="H900" s="982"/>
      <c r="I900" s="884"/>
      <c r="J900" s="300"/>
    </row>
    <row r="901" spans="1:10" x14ac:dyDescent="0.3">
      <c r="A901" s="1086"/>
      <c r="B901" s="1066"/>
      <c r="C901" s="927"/>
      <c r="D901" s="359"/>
      <c r="E901" s="981"/>
      <c r="F901" s="947"/>
      <c r="G901" s="947"/>
      <c r="H901" s="982"/>
      <c r="I901" s="884"/>
      <c r="J901" s="300"/>
    </row>
    <row r="902" spans="1:10" x14ac:dyDescent="0.3">
      <c r="A902" s="1086"/>
      <c r="B902" s="1066"/>
      <c r="C902" s="927"/>
      <c r="D902" s="359"/>
      <c r="E902" s="981"/>
      <c r="F902" s="947"/>
      <c r="G902" s="947"/>
      <c r="H902" s="982"/>
      <c r="I902" s="884"/>
      <c r="J902" s="300"/>
    </row>
    <row r="903" spans="1:10" x14ac:dyDescent="0.3">
      <c r="A903" s="1086"/>
      <c r="B903" s="1066"/>
      <c r="C903" s="927"/>
      <c r="D903" s="359"/>
      <c r="E903" s="981"/>
      <c r="F903" s="947"/>
      <c r="G903" s="947"/>
      <c r="H903" s="982"/>
      <c r="I903" s="884"/>
      <c r="J903" s="300"/>
    </row>
    <row r="904" spans="1:10" x14ac:dyDescent="0.3">
      <c r="A904" s="1161"/>
      <c r="B904" s="4"/>
      <c r="C904" s="944"/>
      <c r="D904" s="944"/>
      <c r="E904" s="139"/>
      <c r="F904" s="944"/>
      <c r="G904" s="944"/>
      <c r="H904" s="359"/>
      <c r="I904" s="1146"/>
      <c r="J904" s="300"/>
    </row>
    <row r="905" spans="1:10" x14ac:dyDescent="0.3">
      <c r="A905" s="1086"/>
      <c r="B905" s="1066"/>
      <c r="C905" s="927"/>
      <c r="D905" s="954"/>
      <c r="E905" s="1004"/>
      <c r="F905" s="947"/>
      <c r="G905" s="954"/>
      <c r="H905" s="359"/>
      <c r="I905" s="1146"/>
      <c r="J905" s="300"/>
    </row>
    <row r="906" spans="1:10" x14ac:dyDescent="0.3">
      <c r="A906" s="1086"/>
      <c r="B906" s="1066"/>
      <c r="C906" s="927"/>
      <c r="D906" s="359"/>
      <c r="E906" s="981"/>
      <c r="F906" s="947"/>
      <c r="G906" s="947"/>
      <c r="H906" s="982"/>
      <c r="I906" s="884"/>
      <c r="J906" s="300"/>
    </row>
    <row r="907" spans="1:10" x14ac:dyDescent="0.3">
      <c r="A907" s="1086"/>
      <c r="B907" s="1066"/>
      <c r="C907" s="927"/>
      <c r="D907" s="359"/>
      <c r="E907" s="981"/>
      <c r="F907" s="947"/>
      <c r="G907" s="947"/>
      <c r="H907" s="982"/>
      <c r="I907" s="884"/>
      <c r="J907" s="300"/>
    </row>
    <row r="908" spans="1:10" x14ac:dyDescent="0.3">
      <c r="A908" s="1086"/>
      <c r="B908" s="1066"/>
      <c r="C908" s="927"/>
      <c r="D908" s="359"/>
      <c r="E908" s="981"/>
      <c r="F908" s="947"/>
      <c r="G908" s="947"/>
      <c r="H908" s="982"/>
      <c r="I908" s="884"/>
      <c r="J908" s="300"/>
    </row>
    <row r="909" spans="1:10" x14ac:dyDescent="0.3">
      <c r="A909" s="1086"/>
      <c r="B909" s="1066"/>
      <c r="C909" s="927"/>
      <c r="D909" s="359"/>
      <c r="E909" s="981"/>
      <c r="F909" s="947"/>
      <c r="G909" s="947"/>
      <c r="H909" s="982"/>
      <c r="I909" s="884"/>
      <c r="J909" s="300"/>
    </row>
    <row r="910" spans="1:10" x14ac:dyDescent="0.3">
      <c r="A910" s="1086"/>
      <c r="B910" s="1066"/>
      <c r="C910" s="927"/>
      <c r="D910" s="359"/>
      <c r="E910" s="981"/>
      <c r="F910" s="947"/>
      <c r="G910" s="947"/>
      <c r="H910" s="982"/>
      <c r="I910" s="884"/>
      <c r="J910" s="300"/>
    </row>
    <row r="911" spans="1:10" x14ac:dyDescent="0.3">
      <c r="A911" s="1086"/>
      <c r="B911" s="1066"/>
      <c r="C911" s="927"/>
      <c r="D911" s="359"/>
      <c r="E911" s="981"/>
      <c r="F911" s="947"/>
      <c r="G911" s="947"/>
      <c r="H911" s="982"/>
      <c r="I911" s="884"/>
      <c r="J911" s="300"/>
    </row>
    <row r="912" spans="1:10" x14ac:dyDescent="0.3">
      <c r="A912" s="1086"/>
      <c r="B912" s="1066"/>
      <c r="C912" s="927"/>
      <c r="D912" s="18"/>
      <c r="E912" s="1004"/>
      <c r="F912" s="951"/>
      <c r="G912" s="359"/>
      <c r="H912" s="983"/>
      <c r="I912" s="895"/>
      <c r="J912" s="300"/>
    </row>
    <row r="913" spans="1:10" x14ac:dyDescent="0.3">
      <c r="A913" s="1162"/>
      <c r="B913" s="954"/>
      <c r="C913" s="1126"/>
      <c r="D913" s="367"/>
      <c r="E913" s="139"/>
      <c r="F913" s="367"/>
      <c r="G913" s="367"/>
      <c r="H913" s="1127"/>
      <c r="I913" s="1147"/>
      <c r="J913" s="300"/>
    </row>
    <row r="914" spans="1:10" x14ac:dyDescent="0.3">
      <c r="A914" s="1086"/>
      <c r="B914" s="1066"/>
      <c r="C914" s="927"/>
      <c r="D914" s="359"/>
      <c r="E914" s="981"/>
      <c r="F914" s="947"/>
      <c r="G914" s="947"/>
      <c r="H914" s="982"/>
      <c r="I914" s="903"/>
      <c r="J914" s="300"/>
    </row>
    <row r="915" spans="1:10" x14ac:dyDescent="0.3">
      <c r="A915" s="1086"/>
      <c r="B915" s="1066"/>
      <c r="C915" s="927"/>
      <c r="D915" s="359"/>
      <c r="E915" s="981"/>
      <c r="F915" s="947"/>
      <c r="G915" s="947"/>
      <c r="H915" s="982"/>
      <c r="I915" s="1069"/>
      <c r="J915" s="300"/>
    </row>
    <row r="916" spans="1:10" x14ac:dyDescent="0.3">
      <c r="A916" s="1086"/>
      <c r="B916" s="1066"/>
      <c r="C916" s="927"/>
      <c r="D916" s="359"/>
      <c r="E916" s="981"/>
      <c r="F916" s="947"/>
      <c r="G916" s="947"/>
      <c r="H916" s="982"/>
      <c r="I916" s="885"/>
      <c r="J916" s="300"/>
    </row>
    <row r="917" spans="1:10" x14ac:dyDescent="0.3">
      <c r="A917" s="1086"/>
      <c r="B917" s="1066"/>
      <c r="C917" s="927"/>
      <c r="D917" s="359"/>
      <c r="E917" s="981"/>
      <c r="F917" s="947"/>
      <c r="G917" s="947"/>
      <c r="H917" s="982"/>
      <c r="I917" s="885"/>
      <c r="J917" s="300"/>
    </row>
    <row r="918" spans="1:10" x14ac:dyDescent="0.3">
      <c r="A918" s="1086"/>
      <c r="B918" s="1066"/>
      <c r="C918" s="927"/>
      <c r="D918" s="359"/>
      <c r="E918" s="981"/>
      <c r="F918" s="947"/>
      <c r="G918" s="947"/>
      <c r="H918" s="982"/>
      <c r="I918" s="885"/>
      <c r="J918" s="300"/>
    </row>
    <row r="919" spans="1:10" x14ac:dyDescent="0.3">
      <c r="A919" s="1086"/>
      <c r="B919" s="1066"/>
      <c r="C919" s="927"/>
      <c r="D919" s="359"/>
      <c r="E919" s="981"/>
      <c r="F919" s="947"/>
      <c r="G919" s="947"/>
      <c r="H919" s="982"/>
      <c r="I919" s="885"/>
      <c r="J919" s="300"/>
    </row>
    <row r="920" spans="1:10" x14ac:dyDescent="0.3">
      <c r="A920" s="1086"/>
      <c r="B920" s="1066"/>
      <c r="C920" s="927"/>
      <c r="D920" s="359"/>
      <c r="E920" s="981"/>
      <c r="F920" s="947"/>
      <c r="G920" s="947"/>
      <c r="H920" s="982"/>
      <c r="I920" s="885"/>
      <c r="J920" s="300"/>
    </row>
    <row r="921" spans="1:10" x14ac:dyDescent="0.3">
      <c r="A921" s="1162"/>
      <c r="B921" s="954"/>
      <c r="C921" s="1126"/>
      <c r="D921" s="367"/>
      <c r="E921" s="139"/>
      <c r="F921" s="367"/>
      <c r="G921" s="367"/>
      <c r="H921" s="1127"/>
      <c r="I921" s="1147"/>
      <c r="J921" s="300"/>
    </row>
    <row r="922" spans="1:10" x14ac:dyDescent="0.3">
      <c r="A922" s="1086"/>
      <c r="B922" s="1066"/>
      <c r="C922" s="927"/>
      <c r="D922" s="359"/>
      <c r="E922" s="981"/>
      <c r="F922" s="947"/>
      <c r="G922" s="947"/>
      <c r="H922" s="982"/>
      <c r="I922" s="885"/>
      <c r="J922" s="300"/>
    </row>
    <row r="923" spans="1:10" x14ac:dyDescent="0.3">
      <c r="A923" s="1086"/>
      <c r="B923" s="1066"/>
      <c r="C923" s="927"/>
      <c r="D923" s="359"/>
      <c r="E923" s="981"/>
      <c r="F923" s="947"/>
      <c r="G923" s="947"/>
      <c r="H923" s="982"/>
      <c r="I923" s="885"/>
      <c r="J923" s="300"/>
    </row>
    <row r="924" spans="1:10" x14ac:dyDescent="0.3">
      <c r="A924" s="1086"/>
      <c r="B924" s="1066"/>
      <c r="C924" s="927"/>
      <c r="D924" s="359"/>
      <c r="E924" s="981"/>
      <c r="F924" s="947"/>
      <c r="G924" s="947"/>
      <c r="H924" s="982"/>
      <c r="I924" s="885"/>
      <c r="J924" s="300"/>
    </row>
    <row r="925" spans="1:10" x14ac:dyDescent="0.3">
      <c r="A925" s="1086"/>
      <c r="B925" s="1066"/>
      <c r="C925" s="927"/>
      <c r="D925" s="359"/>
      <c r="E925" s="981"/>
      <c r="F925" s="947"/>
      <c r="G925" s="947"/>
      <c r="H925" s="982"/>
      <c r="I925" s="885"/>
      <c r="J925" s="300"/>
    </row>
    <row r="926" spans="1:10" x14ac:dyDescent="0.3">
      <c r="A926" s="1086"/>
      <c r="B926" s="1066"/>
      <c r="C926" s="927"/>
      <c r="D926" s="359"/>
      <c r="E926" s="981"/>
      <c r="F926" s="947"/>
      <c r="G926" s="947"/>
      <c r="H926" s="982"/>
      <c r="I926" s="885"/>
      <c r="J926" s="300"/>
    </row>
    <row r="927" spans="1:10" x14ac:dyDescent="0.3">
      <c r="A927" s="1086"/>
      <c r="B927" s="1066"/>
      <c r="C927" s="927"/>
      <c r="D927" s="359"/>
      <c r="E927" s="981"/>
      <c r="F927" s="947"/>
      <c r="G927" s="947"/>
      <c r="H927" s="982"/>
      <c r="I927" s="885"/>
      <c r="J927" s="300"/>
    </row>
    <row r="928" spans="1:10" x14ac:dyDescent="0.3">
      <c r="A928" s="1086"/>
      <c r="B928" s="942"/>
      <c r="C928" s="927"/>
      <c r="D928" s="18"/>
      <c r="E928" s="1004"/>
      <c r="F928" s="947"/>
      <c r="G928" s="98"/>
      <c r="H928" s="537"/>
      <c r="I928" s="885"/>
      <c r="J928" s="300"/>
    </row>
    <row r="929" spans="1:10" ht="15.6" x14ac:dyDescent="0.3">
      <c r="A929" s="1159"/>
      <c r="B929" s="929"/>
      <c r="C929" s="928"/>
      <c r="D929" s="929"/>
      <c r="E929" s="929"/>
      <c r="F929" s="929"/>
      <c r="G929" s="929"/>
      <c r="H929" s="929"/>
      <c r="I929" s="1044"/>
      <c r="J929" s="300"/>
    </row>
    <row r="930" spans="1:10" x14ac:dyDescent="0.3">
      <c r="A930" s="1162"/>
      <c r="B930" s="954"/>
      <c r="C930" s="1126"/>
      <c r="D930" s="367"/>
      <c r="E930" s="139"/>
      <c r="F930" s="367"/>
      <c r="G930" s="367"/>
      <c r="H930" s="1127"/>
      <c r="I930" s="1147"/>
      <c r="J930" s="300"/>
    </row>
    <row r="931" spans="1:10" x14ac:dyDescent="0.3">
      <c r="A931" s="1086"/>
      <c r="B931" s="359"/>
      <c r="C931" s="359"/>
      <c r="D931" s="359"/>
      <c r="E931" s="359"/>
      <c r="F931" s="359"/>
      <c r="G931" s="359"/>
      <c r="H931" s="359"/>
      <c r="I931" s="885"/>
      <c r="J931" s="300"/>
    </row>
    <row r="932" spans="1:10" x14ac:dyDescent="0.3">
      <c r="A932" s="1086"/>
      <c r="B932" s="1066"/>
      <c r="C932" s="947"/>
      <c r="D932" s="359"/>
      <c r="E932" s="984"/>
      <c r="F932" s="947"/>
      <c r="G932" s="947"/>
      <c r="H932" s="983"/>
      <c r="I932" s="885"/>
      <c r="J932" s="300"/>
    </row>
    <row r="933" spans="1:10" x14ac:dyDescent="0.3">
      <c r="A933" s="1086"/>
      <c r="B933" s="1066"/>
      <c r="C933" s="947"/>
      <c r="D933" s="359"/>
      <c r="E933" s="984"/>
      <c r="F933" s="947"/>
      <c r="G933" s="947"/>
      <c r="H933" s="983"/>
      <c r="I933" s="885"/>
      <c r="J933" s="300"/>
    </row>
    <row r="934" spans="1:10" x14ac:dyDescent="0.3">
      <c r="A934" s="1086"/>
      <c r="B934" s="1066"/>
      <c r="C934" s="947"/>
      <c r="D934" s="359"/>
      <c r="E934" s="984"/>
      <c r="F934" s="947"/>
      <c r="G934" s="947"/>
      <c r="H934" s="983"/>
      <c r="I934" s="885"/>
      <c r="J934" s="300"/>
    </row>
    <row r="935" spans="1:10" x14ac:dyDescent="0.3">
      <c r="A935" s="1086"/>
      <c r="B935" s="1066"/>
      <c r="C935" s="947"/>
      <c r="D935" s="359"/>
      <c r="E935" s="984"/>
      <c r="F935" s="947"/>
      <c r="G935" s="947"/>
      <c r="H935" s="983"/>
      <c r="I935" s="885"/>
      <c r="J935" s="300"/>
    </row>
    <row r="936" spans="1:10" x14ac:dyDescent="0.3">
      <c r="A936" s="1086"/>
      <c r="B936" s="359"/>
      <c r="C936" s="359"/>
      <c r="D936" s="359"/>
      <c r="E936" s="359"/>
      <c r="F936" s="359"/>
      <c r="G936" s="359"/>
      <c r="H936" s="359"/>
      <c r="I936" s="1069"/>
      <c r="J936" s="300"/>
    </row>
    <row r="937" spans="1:10" x14ac:dyDescent="0.3">
      <c r="A937" s="1086"/>
      <c r="B937" s="1066"/>
      <c r="C937" s="947"/>
      <c r="D937" s="359"/>
      <c r="E937" s="984"/>
      <c r="F937" s="947"/>
      <c r="G937" s="947"/>
      <c r="H937" s="983"/>
      <c r="I937" s="1069"/>
      <c r="J937" s="300"/>
    </row>
    <row r="938" spans="1:10" ht="15.6" x14ac:dyDescent="0.3">
      <c r="A938" s="1159"/>
      <c r="B938" s="929"/>
      <c r="C938" s="928"/>
      <c r="D938" s="929"/>
      <c r="E938" s="929"/>
      <c r="F938" s="929"/>
      <c r="G938" s="929"/>
      <c r="H938" s="929"/>
      <c r="I938" s="1044"/>
      <c r="J938" s="300"/>
    </row>
    <row r="939" spans="1:10" x14ac:dyDescent="0.3">
      <c r="A939" s="1162"/>
      <c r="B939" s="954"/>
      <c r="C939" s="1126"/>
      <c r="D939" s="367"/>
      <c r="E939" s="139"/>
      <c r="F939" s="367"/>
      <c r="G939" s="367"/>
      <c r="H939" s="1127"/>
      <c r="I939" s="1147"/>
      <c r="J939" s="300"/>
    </row>
    <row r="940" spans="1:10" x14ac:dyDescent="0.3">
      <c r="A940" s="1086"/>
      <c r="B940" s="359"/>
      <c r="C940" s="359"/>
      <c r="D940" s="359"/>
      <c r="E940" s="359"/>
      <c r="F940" s="359"/>
      <c r="G940" s="359"/>
      <c r="H940" s="359"/>
      <c r="I940" s="885"/>
      <c r="J940" s="300"/>
    </row>
    <row r="941" spans="1:10" x14ac:dyDescent="0.3">
      <c r="A941" s="1086"/>
      <c r="B941" s="1066"/>
      <c r="C941" s="947"/>
      <c r="D941" s="359"/>
      <c r="E941" s="981"/>
      <c r="F941" s="947"/>
      <c r="G941" s="947"/>
      <c r="H941" s="982"/>
      <c r="I941" s="885"/>
      <c r="J941" s="300"/>
    </row>
    <row r="942" spans="1:10" x14ac:dyDescent="0.3">
      <c r="A942" s="1086"/>
      <c r="B942" s="942"/>
      <c r="C942" s="927"/>
      <c r="D942" s="359"/>
      <c r="E942" s="981"/>
      <c r="F942" s="947"/>
      <c r="G942" s="947"/>
      <c r="H942" s="982"/>
      <c r="I942" s="885"/>
      <c r="J942" s="300"/>
    </row>
    <row r="943" spans="1:10" x14ac:dyDescent="0.3">
      <c r="A943" s="1086"/>
      <c r="B943" s="1066"/>
      <c r="C943" s="947"/>
      <c r="D943" s="359"/>
      <c r="E943" s="981"/>
      <c r="F943" s="947"/>
      <c r="G943" s="947"/>
      <c r="H943" s="982"/>
      <c r="I943" s="885"/>
      <c r="J943" s="300"/>
    </row>
    <row r="944" spans="1:10" x14ac:dyDescent="0.3">
      <c r="A944" s="1086"/>
      <c r="B944" s="1066"/>
      <c r="C944" s="947"/>
      <c r="D944" s="359"/>
      <c r="E944" s="984"/>
      <c r="F944" s="947"/>
      <c r="G944" s="947"/>
      <c r="H944" s="983"/>
      <c r="I944" s="885"/>
      <c r="J944" s="300"/>
    </row>
    <row r="945" spans="1:10" x14ac:dyDescent="0.3">
      <c r="A945" s="1086"/>
      <c r="B945" s="359"/>
      <c r="C945" s="359"/>
      <c r="D945" s="359"/>
      <c r="E945" s="359"/>
      <c r="F945" s="359"/>
      <c r="G945" s="359"/>
      <c r="H945" s="359"/>
      <c r="I945" s="1069"/>
      <c r="J945" s="300"/>
    </row>
    <row r="946" spans="1:10" ht="15.6" x14ac:dyDescent="0.3">
      <c r="A946" s="1159"/>
      <c r="B946" s="929"/>
      <c r="C946" s="928"/>
      <c r="D946" s="929"/>
      <c r="E946" s="929"/>
      <c r="F946" s="929"/>
      <c r="G946" s="929"/>
      <c r="H946" s="929"/>
      <c r="I946" s="1069"/>
      <c r="J946" s="300"/>
    </row>
    <row r="947" spans="1:10" x14ac:dyDescent="0.3">
      <c r="A947" s="1162"/>
      <c r="B947" s="954"/>
      <c r="C947" s="1126"/>
      <c r="D947" s="367"/>
      <c r="E947" s="139"/>
      <c r="F947" s="367"/>
      <c r="G947" s="367"/>
      <c r="H947" s="1127"/>
      <c r="I947" s="1069"/>
      <c r="J947" s="300"/>
    </row>
    <row r="948" spans="1:10" x14ac:dyDescent="0.3">
      <c r="A948" s="1086"/>
      <c r="B948" s="1066"/>
      <c r="C948" s="927"/>
      <c r="D948" s="359"/>
      <c r="E948" s="981"/>
      <c r="F948" s="947"/>
      <c r="G948" s="947"/>
      <c r="H948" s="982"/>
      <c r="I948" s="1069"/>
      <c r="J948" s="300"/>
    </row>
    <row r="949" spans="1:10" x14ac:dyDescent="0.3">
      <c r="A949" s="1086"/>
      <c r="B949" s="1066"/>
      <c r="C949" s="927"/>
      <c r="D949" s="359"/>
      <c r="E949" s="981"/>
      <c r="F949" s="947"/>
      <c r="G949" s="947"/>
      <c r="H949" s="982"/>
      <c r="I949" s="885"/>
      <c r="J949" s="300"/>
    </row>
    <row r="950" spans="1:10" x14ac:dyDescent="0.3">
      <c r="A950" s="1086"/>
      <c r="B950" s="1066"/>
      <c r="C950" s="927"/>
      <c r="D950" s="359"/>
      <c r="E950" s="981"/>
      <c r="F950" s="947"/>
      <c r="G950" s="947"/>
      <c r="H950" s="982"/>
      <c r="I950" s="885"/>
      <c r="J950" s="300"/>
    </row>
    <row r="951" spans="1:10" x14ac:dyDescent="0.3">
      <c r="A951" s="1086"/>
      <c r="B951" s="1066"/>
      <c r="C951" s="927"/>
      <c r="D951" s="359"/>
      <c r="E951" s="981"/>
      <c r="F951" s="947"/>
      <c r="G951" s="947"/>
      <c r="H951" s="982"/>
      <c r="I951" s="885"/>
      <c r="J951" s="300"/>
    </row>
    <row r="952" spans="1:10" x14ac:dyDescent="0.3">
      <c r="A952" s="1086"/>
      <c r="B952" s="942"/>
      <c r="C952" s="947"/>
      <c r="D952" s="359"/>
      <c r="E952" s="981"/>
      <c r="F952" s="947"/>
      <c r="G952" s="947"/>
      <c r="H952" s="982"/>
      <c r="I952" s="983"/>
      <c r="J952" s="300"/>
    </row>
    <row r="953" spans="1:10" x14ac:dyDescent="0.3">
      <c r="A953" s="1086"/>
      <c r="B953" s="359"/>
      <c r="C953" s="359"/>
      <c r="D953" s="359"/>
      <c r="E953" s="359"/>
      <c r="F953" s="359"/>
      <c r="G953" s="359"/>
      <c r="H953" s="359"/>
      <c r="I953" s="983"/>
      <c r="J953" s="300"/>
    </row>
    <row r="954" spans="1:10" ht="15.6" x14ac:dyDescent="0.3">
      <c r="A954" s="1159"/>
      <c r="B954" s="929"/>
      <c r="C954" s="928"/>
      <c r="D954" s="929"/>
      <c r="E954" s="929"/>
      <c r="F954" s="929"/>
      <c r="G954" s="929"/>
      <c r="H954" s="929"/>
      <c r="I954" s="1013"/>
      <c r="J954" s="300"/>
    </row>
    <row r="955" spans="1:10" x14ac:dyDescent="0.3">
      <c r="A955" s="1162"/>
      <c r="B955" s="954"/>
      <c r="C955" s="1126"/>
      <c r="D955" s="367"/>
      <c r="E955" s="139"/>
      <c r="F955" s="367"/>
      <c r="G955" s="367"/>
      <c r="H955" s="1127"/>
      <c r="I955" s="359"/>
      <c r="J955" s="300"/>
    </row>
    <row r="956" spans="1:10" x14ac:dyDescent="0.3">
      <c r="A956" s="1086"/>
      <c r="B956" s="1066"/>
      <c r="C956" s="927"/>
      <c r="D956" s="359"/>
      <c r="E956" s="981"/>
      <c r="F956" s="947"/>
      <c r="G956" s="947"/>
      <c r="H956" s="982"/>
      <c r="I956" s="359"/>
      <c r="J956" s="300"/>
    </row>
    <row r="957" spans="1:10" x14ac:dyDescent="0.3">
      <c r="A957" s="1086"/>
      <c r="B957" s="1066"/>
      <c r="C957" s="927"/>
      <c r="D957" s="359"/>
      <c r="E957" s="981"/>
      <c r="F957" s="947"/>
      <c r="G957" s="947"/>
      <c r="H957" s="982"/>
      <c r="I957" s="983"/>
      <c r="J957" s="300"/>
    </row>
    <row r="958" spans="1:10" x14ac:dyDescent="0.3">
      <c r="A958" s="1086"/>
      <c r="B958" s="1066"/>
      <c r="C958" s="927"/>
      <c r="D958" s="359"/>
      <c r="E958" s="981"/>
      <c r="F958" s="947"/>
      <c r="G958" s="947"/>
      <c r="H958" s="982"/>
      <c r="I958" s="983"/>
      <c r="J958" s="300"/>
    </row>
    <row r="959" spans="1:10" x14ac:dyDescent="0.3">
      <c r="A959" s="1086"/>
      <c r="B959" s="1066"/>
      <c r="C959" s="927"/>
      <c r="D959" s="359"/>
      <c r="E959" s="981"/>
      <c r="F959" s="947"/>
      <c r="G959" s="947"/>
      <c r="H959" s="982"/>
      <c r="I959" s="983"/>
      <c r="J959" s="300"/>
    </row>
    <row r="960" spans="1:10" x14ac:dyDescent="0.3">
      <c r="A960" s="1086"/>
      <c r="B960" s="942"/>
      <c r="C960" s="947"/>
      <c r="D960" s="359"/>
      <c r="E960" s="981"/>
      <c r="F960" s="947"/>
      <c r="G960" s="947"/>
      <c r="H960" s="982"/>
      <c r="I960" s="983"/>
      <c r="J960" s="300"/>
    </row>
    <row r="961" spans="1:10" x14ac:dyDescent="0.3">
      <c r="A961" s="1086"/>
      <c r="B961" s="1066"/>
      <c r="C961" s="927"/>
      <c r="D961" s="359"/>
      <c r="E961" s="981"/>
      <c r="F961" s="947"/>
      <c r="G961" s="947"/>
      <c r="H961" s="982"/>
      <c r="I961" s="983"/>
      <c r="J961" s="300"/>
    </row>
    <row r="962" spans="1:10" x14ac:dyDescent="0.3">
      <c r="A962" s="1078"/>
      <c r="B962" s="359"/>
      <c r="C962" s="359"/>
      <c r="D962" s="359"/>
      <c r="E962" s="359"/>
      <c r="F962" s="359"/>
      <c r="G962" s="359"/>
      <c r="H962" s="359"/>
      <c r="I962" s="359"/>
      <c r="J962" s="300"/>
    </row>
    <row r="963" spans="1:10" x14ac:dyDescent="0.3">
      <c r="A963" s="1162"/>
      <c r="B963" s="954"/>
      <c r="C963" s="1126"/>
      <c r="D963" s="367"/>
      <c r="E963" s="139"/>
      <c r="F963" s="367"/>
      <c r="G963" s="367"/>
      <c r="H963" s="1127"/>
      <c r="I963" s="1121"/>
      <c r="J963" s="300"/>
    </row>
    <row r="964" spans="1:10" x14ac:dyDescent="0.3">
      <c r="A964" s="1086"/>
      <c r="B964" s="942"/>
      <c r="C964" s="927"/>
      <c r="D964" s="18"/>
      <c r="E964" s="984"/>
      <c r="F964" s="947"/>
      <c r="G964" s="942"/>
      <c r="H964" s="947"/>
      <c r="I964" s="983"/>
      <c r="J964" s="300"/>
    </row>
    <row r="965" spans="1:10" x14ac:dyDescent="0.3">
      <c r="A965" s="1086"/>
      <c r="B965" s="942"/>
      <c r="C965" s="927"/>
      <c r="D965" s="18"/>
      <c r="E965" s="984"/>
      <c r="F965" s="947"/>
      <c r="G965" s="942"/>
      <c r="H965" s="947"/>
      <c r="I965" s="983"/>
      <c r="J965" s="300"/>
    </row>
    <row r="966" spans="1:10" x14ac:dyDescent="0.3">
      <c r="A966" s="1086"/>
      <c r="B966" s="942"/>
      <c r="C966" s="927"/>
      <c r="D966" s="18"/>
      <c r="E966" s="984"/>
      <c r="F966" s="947"/>
      <c r="G966" s="942"/>
      <c r="H966" s="947"/>
      <c r="I966" s="983"/>
      <c r="J966" s="300"/>
    </row>
    <row r="967" spans="1:10" x14ac:dyDescent="0.3">
      <c r="A967" s="1086"/>
      <c r="B967" s="942"/>
      <c r="C967" s="927"/>
      <c r="D967" s="18"/>
      <c r="E967" s="984"/>
      <c r="F967" s="947"/>
      <c r="G967" s="942"/>
      <c r="H967" s="947"/>
      <c r="I967" s="983"/>
      <c r="J967" s="300"/>
    </row>
    <row r="968" spans="1:10" x14ac:dyDescent="0.3">
      <c r="A968" s="1086"/>
      <c r="B968" s="942"/>
      <c r="C968" s="927"/>
      <c r="D968" s="18"/>
      <c r="E968" s="984"/>
      <c r="F968" s="947"/>
      <c r="G968" s="942"/>
      <c r="H968" s="947"/>
      <c r="I968" s="983"/>
      <c r="J968" s="300"/>
    </row>
    <row r="969" spans="1:10" x14ac:dyDescent="0.3">
      <c r="A969" s="1086"/>
      <c r="B969" s="942"/>
      <c r="C969" s="927"/>
      <c r="D969" s="18"/>
      <c r="E969" s="984"/>
      <c r="F969" s="947"/>
      <c r="G969" s="942"/>
      <c r="H969" s="947"/>
      <c r="I969" s="983"/>
      <c r="J969" s="300"/>
    </row>
    <row r="970" spans="1:10" x14ac:dyDescent="0.3">
      <c r="A970" s="1086"/>
      <c r="B970" s="942"/>
      <c r="C970" s="927"/>
      <c r="D970" s="18"/>
      <c r="E970" s="984"/>
      <c r="F970" s="947"/>
      <c r="G970" s="942"/>
      <c r="H970" s="947"/>
      <c r="I970" s="983"/>
      <c r="J970" s="300"/>
    </row>
    <row r="971" spans="1:10" x14ac:dyDescent="0.3">
      <c r="A971" s="1159"/>
      <c r="B971" s="954"/>
      <c r="C971" s="349"/>
      <c r="D971" s="954"/>
      <c r="E971" s="954"/>
      <c r="F971" s="954"/>
      <c r="G971" s="954"/>
      <c r="H971" s="954"/>
      <c r="I971" s="977"/>
      <c r="J971" s="300"/>
    </row>
    <row r="972" spans="1:10" x14ac:dyDescent="0.3">
      <c r="A972" s="1162"/>
      <c r="B972" s="954"/>
      <c r="C972" s="1128"/>
      <c r="D972" s="367"/>
      <c r="E972" s="139"/>
      <c r="F972" s="367"/>
      <c r="G972" s="367"/>
      <c r="H972" s="1127"/>
      <c r="I972" s="1121"/>
      <c r="J972" s="300"/>
    </row>
    <row r="973" spans="1:10" x14ac:dyDescent="0.3">
      <c r="A973" s="24"/>
      <c r="B973" s="954"/>
      <c r="C973" s="1068"/>
      <c r="D973" s="355"/>
      <c r="E973" s="1066"/>
      <c r="F973" s="1068"/>
      <c r="G973" s="1068"/>
      <c r="H973" s="1129"/>
      <c r="I973" s="1130"/>
      <c r="J973" s="300"/>
    </row>
    <row r="974" spans="1:10" x14ac:dyDescent="0.3">
      <c r="A974" s="1086"/>
      <c r="B974" s="942"/>
      <c r="C974" s="927"/>
      <c r="D974" s="1009"/>
      <c r="E974" s="4"/>
      <c r="F974" s="981"/>
      <c r="G974" s="947"/>
      <c r="H974" s="947"/>
      <c r="I974" s="983"/>
      <c r="J974" s="300"/>
    </row>
    <row r="975" spans="1:10" x14ac:dyDescent="0.3">
      <c r="A975" s="1086"/>
      <c r="B975" s="942"/>
      <c r="C975" s="927"/>
      <c r="D975" s="18"/>
      <c r="E975" s="984"/>
      <c r="F975" s="947"/>
      <c r="G975" s="942"/>
      <c r="H975" s="947"/>
      <c r="I975" s="983"/>
      <c r="J975" s="300"/>
    </row>
    <row r="976" spans="1:10" x14ac:dyDescent="0.3">
      <c r="A976" s="1086"/>
      <c r="B976" s="359"/>
      <c r="C976" s="927"/>
      <c r="D976" s="359"/>
      <c r="E976" s="984"/>
      <c r="F976" s="947"/>
      <c r="G976" s="942"/>
      <c r="H976" s="1004"/>
      <c r="I976" s="983"/>
      <c r="J976" s="300"/>
    </row>
    <row r="977" spans="1:10" x14ac:dyDescent="0.3">
      <c r="A977" s="1086"/>
      <c r="B977" s="942"/>
      <c r="C977" s="927"/>
      <c r="D977" s="18"/>
      <c r="E977" s="984"/>
      <c r="F977" s="947"/>
      <c r="G977" s="942"/>
      <c r="H977" s="947"/>
      <c r="I977" s="983"/>
      <c r="J977" s="300"/>
    </row>
    <row r="978" spans="1:10" x14ac:dyDescent="0.3">
      <c r="A978" s="1086"/>
      <c r="B978" s="942"/>
      <c r="C978" s="927"/>
      <c r="D978" s="18"/>
      <c r="E978" s="984"/>
      <c r="F978" s="947"/>
      <c r="G978" s="942"/>
      <c r="H978" s="947"/>
      <c r="I978" s="983"/>
      <c r="J978" s="300"/>
    </row>
    <row r="979" spans="1:10" x14ac:dyDescent="0.3">
      <c r="A979" s="1086"/>
      <c r="B979" s="942"/>
      <c r="C979" s="927"/>
      <c r="D979" s="18"/>
      <c r="E979" s="984"/>
      <c r="F979" s="947"/>
      <c r="G979" s="942"/>
      <c r="H979" s="947"/>
      <c r="I979" s="983"/>
      <c r="J979" s="300"/>
    </row>
    <row r="980" spans="1:10" x14ac:dyDescent="0.3">
      <c r="A980" s="1159"/>
      <c r="B980" s="954"/>
      <c r="C980" s="349"/>
      <c r="D980" s="954"/>
      <c r="E980" s="954"/>
      <c r="F980" s="954"/>
      <c r="G980" s="954"/>
      <c r="H980" s="954"/>
      <c r="I980" s="977"/>
      <c r="J980" s="300"/>
    </row>
    <row r="981" spans="1:10" x14ac:dyDescent="0.3">
      <c r="A981" s="1086"/>
      <c r="B981" s="40"/>
      <c r="C981" s="993"/>
      <c r="D981" s="98"/>
      <c r="E981" s="900"/>
      <c r="F981" s="994"/>
      <c r="G981" s="995"/>
      <c r="H981" s="995"/>
      <c r="I981" s="1130"/>
      <c r="J981" s="300"/>
    </row>
    <row r="982" spans="1:10" x14ac:dyDescent="0.3">
      <c r="A982" s="1161"/>
      <c r="B982" s="987"/>
      <c r="C982" s="1011"/>
      <c r="D982" s="18"/>
      <c r="E982" s="1012"/>
      <c r="F982" s="952"/>
      <c r="G982" s="987"/>
      <c r="H982" s="358"/>
      <c r="I982" s="1122"/>
      <c r="J982" s="300"/>
    </row>
    <row r="983" spans="1:10" x14ac:dyDescent="0.3">
      <c r="A983" s="1161"/>
      <c r="B983" s="942"/>
      <c r="C983" s="927"/>
      <c r="D983" s="18"/>
      <c r="E983" s="984"/>
      <c r="F983" s="947"/>
      <c r="G983" s="942"/>
      <c r="H983" s="947"/>
      <c r="I983" s="983"/>
      <c r="J983" s="300"/>
    </row>
    <row r="984" spans="1:10" x14ac:dyDescent="0.3">
      <c r="A984" s="1161"/>
      <c r="B984" s="942"/>
      <c r="C984" s="927"/>
      <c r="D984" s="18"/>
      <c r="E984" s="984"/>
      <c r="F984" s="947"/>
      <c r="G984" s="942"/>
      <c r="H984" s="947"/>
      <c r="I984" s="983"/>
      <c r="J984" s="300"/>
    </row>
    <row r="985" spans="1:10" x14ac:dyDescent="0.3">
      <c r="A985" s="1161"/>
      <c r="B985" s="942"/>
      <c r="C985" s="927"/>
      <c r="D985" s="18"/>
      <c r="E985" s="984"/>
      <c r="F985" s="947"/>
      <c r="G985" s="942"/>
      <c r="H985" s="947"/>
      <c r="I985" s="983"/>
      <c r="J985" s="300"/>
    </row>
    <row r="986" spans="1:10" x14ac:dyDescent="0.3">
      <c r="A986" s="1161"/>
      <c r="B986" s="942"/>
      <c r="C986" s="927"/>
      <c r="D986" s="18"/>
      <c r="E986" s="984"/>
      <c r="F986" s="947"/>
      <c r="G986" s="942"/>
      <c r="H986" s="947"/>
      <c r="I986" s="983"/>
      <c r="J986" s="300"/>
    </row>
    <row r="987" spans="1:10" x14ac:dyDescent="0.3">
      <c r="A987" s="1086"/>
      <c r="B987" s="942"/>
      <c r="C987" s="927"/>
      <c r="D987" s="18"/>
      <c r="E987" s="984"/>
      <c r="F987" s="947"/>
      <c r="G987" s="942"/>
      <c r="H987" s="947"/>
      <c r="I987" s="983"/>
      <c r="J987" s="300"/>
    </row>
    <row r="988" spans="1:10" x14ac:dyDescent="0.3">
      <c r="A988" s="1086"/>
      <c r="B988" s="359"/>
      <c r="C988" s="359"/>
      <c r="D988" s="359"/>
      <c r="E988" s="359"/>
      <c r="F988" s="359"/>
      <c r="G988" s="359"/>
      <c r="H988" s="359"/>
      <c r="I988" s="359"/>
      <c r="J988" s="300"/>
    </row>
    <row r="989" spans="1:10" x14ac:dyDescent="0.3">
      <c r="A989" s="1086"/>
      <c r="B989" s="942"/>
      <c r="C989" s="927"/>
      <c r="D989" s="18"/>
      <c r="E989" s="984"/>
      <c r="F989" s="947"/>
      <c r="G989" s="942"/>
      <c r="H989" s="947"/>
      <c r="I989" s="983"/>
      <c r="J989" s="300"/>
    </row>
    <row r="990" spans="1:10" x14ac:dyDescent="0.3">
      <c r="A990" s="1159"/>
      <c r="B990" s="954"/>
      <c r="C990" s="349"/>
      <c r="D990" s="954"/>
      <c r="E990" s="954"/>
      <c r="F990" s="954"/>
      <c r="G990" s="954"/>
      <c r="H990" s="954"/>
      <c r="I990" s="977"/>
      <c r="J990" s="300"/>
    </row>
    <row r="991" spans="1:10" x14ac:dyDescent="0.3">
      <c r="A991" s="1164"/>
      <c r="B991" s="999"/>
      <c r="C991" s="1000"/>
      <c r="D991" s="1001"/>
      <c r="E991" s="139"/>
      <c r="F991" s="1000"/>
      <c r="G991" s="1000"/>
      <c r="H991" s="1002"/>
      <c r="I991" s="358"/>
      <c r="J991" s="300"/>
    </row>
    <row r="992" spans="1:10" x14ac:dyDescent="0.3">
      <c r="A992" s="1161"/>
      <c r="B992" s="1066"/>
      <c r="C992" s="1011"/>
      <c r="D992" s="18"/>
      <c r="E992" s="1012"/>
      <c r="F992" s="952"/>
      <c r="G992" s="987"/>
      <c r="H992" s="358"/>
      <c r="I992" s="358"/>
      <c r="J992" s="300"/>
    </row>
    <row r="993" spans="1:10" x14ac:dyDescent="0.3">
      <c r="A993" s="1086"/>
      <c r="B993" s="942"/>
      <c r="C993" s="927"/>
      <c r="D993" s="18"/>
      <c r="E993" s="984"/>
      <c r="F993" s="947"/>
      <c r="G993" s="942"/>
      <c r="H993" s="947"/>
      <c r="I993" s="983"/>
      <c r="J993" s="300"/>
    </row>
    <row r="994" spans="1:10" x14ac:dyDescent="0.3">
      <c r="A994" s="1086"/>
      <c r="B994" s="942"/>
      <c r="C994" s="927"/>
      <c r="D994" s="18"/>
      <c r="E994" s="984"/>
      <c r="F994" s="947"/>
      <c r="G994" s="942"/>
      <c r="H994" s="947"/>
      <c r="I994" s="983"/>
      <c r="J994" s="300"/>
    </row>
    <row r="995" spans="1:10" x14ac:dyDescent="0.3">
      <c r="A995" s="1086"/>
      <c r="B995" s="942"/>
      <c r="C995" s="927"/>
      <c r="D995" s="18"/>
      <c r="E995" s="984"/>
      <c r="F995" s="947"/>
      <c r="G995" s="942"/>
      <c r="H995" s="947"/>
      <c r="I995" s="983"/>
      <c r="J995" s="300"/>
    </row>
    <row r="996" spans="1:10" x14ac:dyDescent="0.3">
      <c r="A996" s="1086"/>
      <c r="B996" s="942"/>
      <c r="C996" s="927"/>
      <c r="D996" s="18"/>
      <c r="E996" s="984"/>
      <c r="F996" s="947"/>
      <c r="G996" s="942"/>
      <c r="H996" s="947"/>
      <c r="I996" s="983"/>
      <c r="J996" s="300"/>
    </row>
    <row r="997" spans="1:10" x14ac:dyDescent="0.3">
      <c r="A997" s="1086"/>
      <c r="B997" s="942"/>
      <c r="C997" s="927"/>
      <c r="D997" s="18"/>
      <c r="E997" s="984"/>
      <c r="F997" s="947"/>
      <c r="G997" s="942"/>
      <c r="H997" s="947"/>
      <c r="I997" s="983"/>
      <c r="J997" s="300"/>
    </row>
    <row r="998" spans="1:10" x14ac:dyDescent="0.3">
      <c r="A998" s="1086"/>
      <c r="B998" s="942"/>
      <c r="C998" s="927"/>
      <c r="D998" s="18"/>
      <c r="E998" s="984"/>
      <c r="F998" s="947"/>
      <c r="G998" s="942"/>
      <c r="H998" s="947"/>
      <c r="I998" s="359"/>
      <c r="J998" s="300"/>
    </row>
    <row r="999" spans="1:10" x14ac:dyDescent="0.3">
      <c r="A999" s="1161"/>
      <c r="B999" s="987"/>
      <c r="C999" s="1011"/>
      <c r="D999" s="18"/>
      <c r="E999" s="1014"/>
      <c r="F999" s="952"/>
      <c r="G999" s="987"/>
      <c r="H999" s="358"/>
      <c r="I999" s="359"/>
      <c r="J999" s="300"/>
    </row>
    <row r="1000" spans="1:10" x14ac:dyDescent="0.3">
      <c r="A1000" s="1086"/>
      <c r="B1000" s="1066"/>
      <c r="C1000" s="927"/>
      <c r="D1000" s="954"/>
      <c r="E1000" s="1004"/>
      <c r="F1000" s="947"/>
      <c r="G1000" s="954"/>
      <c r="H1000" s="952"/>
      <c r="I1000" s="359"/>
      <c r="J1000" s="300"/>
    </row>
    <row r="1001" spans="1:10" x14ac:dyDescent="0.3">
      <c r="A1001" s="1086"/>
      <c r="B1001" s="942"/>
      <c r="C1001" s="927"/>
      <c r="D1001" s="18"/>
      <c r="E1001" s="984"/>
      <c r="F1001" s="947"/>
      <c r="G1001" s="942"/>
      <c r="H1001" s="947"/>
      <c r="I1001" s="983"/>
      <c r="J1001" s="300"/>
    </row>
    <row r="1002" spans="1:10" x14ac:dyDescent="0.3">
      <c r="A1002" s="1086"/>
      <c r="B1002" s="942"/>
      <c r="C1002" s="927"/>
      <c r="D1002" s="18"/>
      <c r="E1002" s="984"/>
      <c r="F1002" s="947"/>
      <c r="G1002" s="942"/>
      <c r="H1002" s="947"/>
      <c r="I1002" s="983"/>
      <c r="J1002" s="300"/>
    </row>
    <row r="1003" spans="1:10" x14ac:dyDescent="0.3">
      <c r="A1003" s="1086"/>
      <c r="B1003" s="1066"/>
      <c r="C1003" s="927"/>
      <c r="D1003" s="1009"/>
      <c r="E1003" s="4"/>
      <c r="F1003" s="947"/>
      <c r="G1003" s="942"/>
      <c r="H1003" s="947"/>
      <c r="I1003" s="983"/>
      <c r="J1003" s="300"/>
    </row>
    <row r="1004" spans="1:10" x14ac:dyDescent="0.3">
      <c r="A1004" s="1086"/>
      <c r="B1004" s="942"/>
      <c r="C1004" s="927"/>
      <c r="D1004" s="18"/>
      <c r="E1004" s="984"/>
      <c r="F1004" s="947"/>
      <c r="G1004" s="942"/>
      <c r="H1004" s="947"/>
      <c r="I1004" s="983"/>
      <c r="J1004" s="300"/>
    </row>
    <row r="1005" spans="1:10" x14ac:dyDescent="0.3">
      <c r="A1005" s="1086"/>
      <c r="B1005" s="942"/>
      <c r="C1005" s="927"/>
      <c r="D1005" s="18"/>
      <c r="E1005" s="984"/>
      <c r="F1005" s="947"/>
      <c r="G1005" s="942"/>
      <c r="H1005" s="947"/>
      <c r="I1005" s="983"/>
      <c r="J1005" s="300"/>
    </row>
    <row r="1006" spans="1:10" x14ac:dyDescent="0.3">
      <c r="A1006" s="1086"/>
      <c r="B1006" s="942"/>
      <c r="C1006" s="927"/>
      <c r="D1006" s="18"/>
      <c r="E1006" s="984"/>
      <c r="F1006" s="947"/>
      <c r="G1006" s="942"/>
      <c r="H1006" s="947"/>
      <c r="I1006" s="983"/>
      <c r="J1006" s="300"/>
    </row>
    <row r="1007" spans="1:10" x14ac:dyDescent="0.3">
      <c r="A1007" s="1086"/>
      <c r="B1007" s="942"/>
      <c r="C1007" s="927"/>
      <c r="D1007" s="18"/>
      <c r="E1007" s="984"/>
      <c r="F1007" s="947"/>
      <c r="G1007" s="942"/>
      <c r="H1007" s="947"/>
      <c r="I1007" s="983"/>
      <c r="J1007" s="300"/>
    </row>
    <row r="1008" spans="1:10" x14ac:dyDescent="0.3">
      <c r="A1008" s="1159"/>
      <c r="B1008" s="954"/>
      <c r="C1008" s="349"/>
      <c r="D1008" s="954"/>
      <c r="E1008" s="954"/>
      <c r="F1008" s="954"/>
      <c r="G1008" s="954"/>
      <c r="H1008" s="954"/>
      <c r="I1008" s="977"/>
      <c r="J1008" s="300"/>
    </row>
    <row r="1009" spans="1:10" x14ac:dyDescent="0.3">
      <c r="A1009" s="1161"/>
      <c r="B1009" s="4"/>
      <c r="C1009" s="944"/>
      <c r="D1009" s="944"/>
      <c r="E1009" s="139"/>
      <c r="F1009" s="944"/>
      <c r="G1009" s="944"/>
      <c r="H1009" s="45"/>
      <c r="I1009" s="1121"/>
      <c r="J1009" s="300"/>
    </row>
    <row r="1010" spans="1:10" x14ac:dyDescent="0.3">
      <c r="A1010" s="1086"/>
      <c r="B1010" s="1066"/>
      <c r="C1010" s="927"/>
      <c r="D1010" s="954"/>
      <c r="E1010" s="1004"/>
      <c r="F1010" s="947"/>
      <c r="G1010" s="954"/>
      <c r="H1010" s="952"/>
      <c r="I1010" s="1121"/>
      <c r="J1010" s="300"/>
    </row>
    <row r="1011" spans="1:10" x14ac:dyDescent="0.3">
      <c r="A1011" s="1086"/>
      <c r="B1011" s="891"/>
      <c r="C1011" s="551"/>
      <c r="D1011" s="890"/>
      <c r="E1011" s="958"/>
      <c r="F1011" s="550"/>
      <c r="G1011" s="895"/>
      <c r="H1011" s="550"/>
      <c r="I1011" s="885"/>
      <c r="J1011" s="300"/>
    </row>
    <row r="1012" spans="1:10" x14ac:dyDescent="0.3">
      <c r="A1012" s="1086"/>
      <c r="B1012" s="895"/>
      <c r="C1012" s="551"/>
      <c r="D1012" s="890"/>
      <c r="E1012" s="958"/>
      <c r="F1012" s="550"/>
      <c r="G1012" s="895"/>
      <c r="H1012" s="550"/>
      <c r="I1012" s="885"/>
      <c r="J1012" s="300"/>
    </row>
    <row r="1013" spans="1:10" x14ac:dyDescent="0.3">
      <c r="A1013" s="1086"/>
      <c r="B1013" s="895"/>
      <c r="C1013" s="551"/>
      <c r="D1013" s="890"/>
      <c r="E1013" s="958"/>
      <c r="F1013" s="550"/>
      <c r="G1013" s="895"/>
      <c r="H1013" s="550"/>
      <c r="I1013" s="885"/>
      <c r="J1013" s="300"/>
    </row>
    <row r="1014" spans="1:10" x14ac:dyDescent="0.3">
      <c r="A1014" s="1086"/>
      <c r="B1014" s="895"/>
      <c r="C1014" s="551"/>
      <c r="D1014" s="890"/>
      <c r="E1014" s="958"/>
      <c r="F1014" s="550"/>
      <c r="G1014" s="895"/>
      <c r="H1014" s="550"/>
      <c r="I1014" s="885"/>
      <c r="J1014" s="300"/>
    </row>
    <row r="1015" spans="1:10" x14ac:dyDescent="0.3">
      <c r="A1015" s="1086"/>
      <c r="B1015" s="895"/>
      <c r="C1015" s="551"/>
      <c r="D1015" s="890"/>
      <c r="E1015" s="958"/>
      <c r="F1015" s="550"/>
      <c r="G1015" s="895"/>
      <c r="H1015" s="550"/>
      <c r="I1015" s="885"/>
      <c r="J1015" s="300"/>
    </row>
    <row r="1016" spans="1:10" x14ac:dyDescent="0.3">
      <c r="A1016" s="1086"/>
      <c r="B1016" s="359"/>
      <c r="C1016" s="359"/>
      <c r="D1016" s="359"/>
      <c r="E1016" s="359"/>
      <c r="F1016" s="359"/>
      <c r="G1016" s="359"/>
      <c r="H1016" s="359"/>
      <c r="I1016" s="359"/>
      <c r="J1016" s="300"/>
    </row>
    <row r="1017" spans="1:10" x14ac:dyDescent="0.3">
      <c r="A1017" s="1086"/>
      <c r="B1017" s="895"/>
      <c r="C1017" s="551"/>
      <c r="D1017" s="890"/>
      <c r="E1017" s="958"/>
      <c r="F1017" s="550"/>
      <c r="G1017" s="895"/>
      <c r="H1017" s="550"/>
      <c r="I1017" s="885"/>
      <c r="J1017" s="300"/>
    </row>
    <row r="1018" spans="1:10" x14ac:dyDescent="0.3">
      <c r="A1018" s="1086"/>
      <c r="B1018" s="895"/>
      <c r="C1018" s="551"/>
      <c r="D1018" s="901"/>
      <c r="E1018" s="1124"/>
      <c r="F1018" s="22"/>
      <c r="G1018" s="901"/>
      <c r="H1018" s="550"/>
      <c r="I1018" s="1131"/>
      <c r="J1018" s="300"/>
    </row>
    <row r="1019" spans="1:10" x14ac:dyDescent="0.3">
      <c r="A1019" s="1086"/>
      <c r="B1019" s="359"/>
      <c r="C1019" s="359"/>
      <c r="D1019" s="359"/>
      <c r="E1019" s="359"/>
      <c r="F1019" s="359"/>
      <c r="G1019" s="359"/>
      <c r="H1019" s="359"/>
      <c r="I1019" s="359"/>
      <c r="J1019" s="300"/>
    </row>
    <row r="1020" spans="1:10" x14ac:dyDescent="0.3">
      <c r="A1020" s="1086"/>
      <c r="B1020" s="895"/>
      <c r="C1020" s="551"/>
      <c r="D1020" s="890"/>
      <c r="E1020" s="958"/>
      <c r="F1020" s="550"/>
      <c r="G1020" s="895"/>
      <c r="H1020" s="550"/>
      <c r="I1020" s="885"/>
      <c r="J1020" s="300"/>
    </row>
    <row r="1021" spans="1:10" x14ac:dyDescent="0.3">
      <c r="A1021" s="1086"/>
      <c r="B1021" s="895"/>
      <c r="C1021" s="551"/>
      <c r="D1021" s="890"/>
      <c r="E1021" s="958"/>
      <c r="F1021" s="550"/>
      <c r="G1021" s="895"/>
      <c r="H1021" s="550"/>
      <c r="I1021" s="885"/>
      <c r="J1021" s="300"/>
    </row>
    <row r="1022" spans="1:10" x14ac:dyDescent="0.3">
      <c r="A1022" s="1086"/>
      <c r="B1022" s="891"/>
      <c r="C1022" s="551"/>
      <c r="D1022" s="890"/>
      <c r="E1022" s="958"/>
      <c r="F1022" s="550"/>
      <c r="G1022" s="895"/>
      <c r="H1022" s="550"/>
      <c r="I1022" s="885"/>
      <c r="J1022" s="300"/>
    </row>
    <row r="1023" spans="1:10" x14ac:dyDescent="0.3">
      <c r="A1023" s="1086"/>
      <c r="B1023" s="895"/>
      <c r="C1023" s="551"/>
      <c r="D1023" s="890"/>
      <c r="E1023" s="958"/>
      <c r="F1023" s="550"/>
      <c r="G1023" s="895"/>
      <c r="H1023" s="550"/>
      <c r="I1023" s="885"/>
      <c r="J1023" s="300"/>
    </row>
    <row r="1024" spans="1:10" x14ac:dyDescent="0.3">
      <c r="A1024" s="1086"/>
      <c r="B1024" s="895"/>
      <c r="C1024" s="551"/>
      <c r="D1024" s="890"/>
      <c r="E1024" s="958"/>
      <c r="F1024" s="550"/>
      <c r="G1024" s="895"/>
      <c r="H1024" s="550"/>
      <c r="I1024" s="885"/>
      <c r="J1024" s="300"/>
    </row>
    <row r="1025" spans="1:10" x14ac:dyDescent="0.3">
      <c r="A1025" s="1086"/>
      <c r="B1025" s="895"/>
      <c r="C1025" s="551"/>
      <c r="D1025" s="890"/>
      <c r="E1025" s="958"/>
      <c r="F1025" s="550"/>
      <c r="G1025" s="895"/>
      <c r="H1025" s="550"/>
      <c r="I1025" s="885"/>
      <c r="J1025" s="300"/>
    </row>
    <row r="1026" spans="1:10" ht="15.6" x14ac:dyDescent="0.3">
      <c r="A1026" s="1159"/>
      <c r="B1026" s="929"/>
      <c r="C1026" s="928"/>
      <c r="D1026" s="929"/>
      <c r="E1026" s="929"/>
      <c r="F1026" s="929"/>
      <c r="G1026" s="929"/>
      <c r="H1026" s="929"/>
      <c r="I1026" s="930"/>
      <c r="J1026" s="300"/>
    </row>
    <row r="1027" spans="1:10" x14ac:dyDescent="0.3">
      <c r="A1027" s="1086"/>
      <c r="B1027" s="895"/>
      <c r="C1027" s="551"/>
      <c r="D1027" s="901"/>
      <c r="E1027" s="1124"/>
      <c r="F1027" s="24"/>
      <c r="G1027" s="901"/>
      <c r="H1027" s="24"/>
      <c r="I1027" s="359"/>
      <c r="J1027" s="300"/>
    </row>
    <row r="1028" spans="1:10" x14ac:dyDescent="0.3">
      <c r="A1028" s="1086"/>
      <c r="B1028" s="895"/>
      <c r="C1028" s="551"/>
      <c r="D1028" s="901"/>
      <c r="E1028" s="896"/>
      <c r="F1028" s="550"/>
      <c r="G1028" s="901"/>
      <c r="H1028" s="550"/>
      <c r="I1028" s="359"/>
      <c r="J1028" s="300"/>
    </row>
    <row r="1029" spans="1:10" x14ac:dyDescent="0.3">
      <c r="A1029" s="1086"/>
      <c r="B1029" s="895"/>
      <c r="C1029" s="551"/>
      <c r="D1029" s="890"/>
      <c r="E1029" s="958"/>
      <c r="F1029" s="550"/>
      <c r="G1029" s="895"/>
      <c r="H1029" s="550"/>
      <c r="I1029" s="885"/>
      <c r="J1029" s="300"/>
    </row>
    <row r="1030" spans="1:10" x14ac:dyDescent="0.3">
      <c r="A1030" s="1086"/>
      <c r="B1030" s="895"/>
      <c r="C1030" s="551"/>
      <c r="D1030" s="962"/>
      <c r="E1030" s="889"/>
      <c r="F1030" s="963"/>
      <c r="G1030" s="550"/>
      <c r="H1030" s="550"/>
      <c r="I1030" s="885"/>
      <c r="J1030" s="300"/>
    </row>
    <row r="1031" spans="1:10" x14ac:dyDescent="0.3">
      <c r="A1031" s="1086"/>
      <c r="B1031" s="895"/>
      <c r="C1031" s="551"/>
      <c r="D1031" s="890"/>
      <c r="E1031" s="958"/>
      <c r="F1031" s="550"/>
      <c r="G1031" s="895"/>
      <c r="H1031" s="550"/>
      <c r="I1031" s="885"/>
      <c r="J1031" s="300"/>
    </row>
    <row r="1032" spans="1:10" x14ac:dyDescent="0.3">
      <c r="A1032" s="1086"/>
      <c r="B1032" s="895"/>
      <c r="C1032" s="551"/>
      <c r="D1032" s="890"/>
      <c r="E1032" s="958"/>
      <c r="F1032" s="550"/>
      <c r="G1032" s="895"/>
      <c r="H1032" s="550"/>
      <c r="I1032" s="885"/>
      <c r="J1032" s="300"/>
    </row>
    <row r="1033" spans="1:10" x14ac:dyDescent="0.3">
      <c r="A1033" s="1086"/>
      <c r="B1033" s="895"/>
      <c r="C1033" s="551"/>
      <c r="D1033" s="890"/>
      <c r="E1033" s="958"/>
      <c r="F1033" s="550"/>
      <c r="G1033" s="895"/>
      <c r="H1033" s="550"/>
      <c r="I1033" s="885"/>
      <c r="J1033" s="300"/>
    </row>
    <row r="1034" spans="1:10" x14ac:dyDescent="0.3">
      <c r="A1034" s="1086"/>
      <c r="B1034" s="895"/>
      <c r="C1034" s="551"/>
      <c r="D1034" s="890"/>
      <c r="E1034" s="958"/>
      <c r="F1034" s="550"/>
      <c r="G1034" s="895"/>
      <c r="H1034" s="550"/>
      <c r="I1034" s="885"/>
      <c r="J1034" s="300"/>
    </row>
    <row r="1035" spans="1:10" x14ac:dyDescent="0.3">
      <c r="A1035" s="1086"/>
      <c r="B1035" s="895"/>
      <c r="C1035" s="551"/>
      <c r="D1035" s="890"/>
      <c r="E1035" s="896"/>
      <c r="F1035" s="550"/>
      <c r="G1035" s="359"/>
      <c r="H1035" s="885"/>
      <c r="I1035" s="359"/>
      <c r="J1035" s="300"/>
    </row>
    <row r="1036" spans="1:10" x14ac:dyDescent="0.3">
      <c r="A1036" s="1086"/>
      <c r="B1036" s="895"/>
      <c r="C1036" s="551"/>
      <c r="D1036" s="901"/>
      <c r="E1036" s="1124"/>
      <c r="F1036" s="24"/>
      <c r="G1036" s="901"/>
      <c r="H1036" s="24"/>
      <c r="I1036" s="359"/>
      <c r="J1036" s="300"/>
    </row>
    <row r="1037" spans="1:10" x14ac:dyDescent="0.3">
      <c r="A1037" s="1086"/>
      <c r="B1037" s="891"/>
      <c r="C1037" s="551"/>
      <c r="D1037" s="962"/>
      <c r="E1037" s="889"/>
      <c r="F1037" s="550"/>
      <c r="G1037" s="895"/>
      <c r="H1037" s="550"/>
      <c r="I1037" s="885"/>
      <c r="J1037" s="300"/>
    </row>
    <row r="1038" spans="1:10" x14ac:dyDescent="0.3">
      <c r="A1038" s="1086"/>
      <c r="B1038" s="891"/>
      <c r="C1038" s="551"/>
      <c r="D1038" s="962"/>
      <c r="E1038" s="889"/>
      <c r="F1038" s="550"/>
      <c r="G1038" s="895"/>
      <c r="H1038" s="550"/>
      <c r="I1038" s="885"/>
      <c r="J1038" s="300"/>
    </row>
    <row r="1039" spans="1:10" x14ac:dyDescent="0.3">
      <c r="A1039" s="1086"/>
      <c r="B1039" s="895"/>
      <c r="C1039" s="551"/>
      <c r="D1039" s="890"/>
      <c r="E1039" s="958"/>
      <c r="F1039" s="550"/>
      <c r="G1039" s="895"/>
      <c r="H1039" s="550"/>
      <c r="I1039" s="885"/>
      <c r="J1039" s="300"/>
    </row>
    <row r="1040" spans="1:10" x14ac:dyDescent="0.3">
      <c r="A1040" s="1086"/>
      <c r="B1040" s="895"/>
      <c r="C1040" s="551"/>
      <c r="D1040" s="962"/>
      <c r="E1040" s="889"/>
      <c r="F1040" s="963"/>
      <c r="G1040" s="550"/>
      <c r="H1040" s="550"/>
      <c r="I1040" s="885"/>
      <c r="J1040" s="300"/>
    </row>
    <row r="1041" spans="1:10" x14ac:dyDescent="0.3">
      <c r="A1041" s="1086"/>
      <c r="B1041" s="895"/>
      <c r="C1041" s="551"/>
      <c r="D1041" s="890"/>
      <c r="E1041" s="958"/>
      <c r="F1041" s="550"/>
      <c r="G1041" s="895"/>
      <c r="H1041" s="550"/>
      <c r="I1041" s="885"/>
      <c r="J1041" s="300"/>
    </row>
    <row r="1042" spans="1:10" x14ac:dyDescent="0.3">
      <c r="A1042" s="1086"/>
      <c r="B1042" s="895"/>
      <c r="C1042" s="551"/>
      <c r="D1042" s="962"/>
      <c r="E1042" s="889"/>
      <c r="F1042" s="963"/>
      <c r="G1042" s="550"/>
      <c r="H1042" s="550"/>
      <c r="I1042" s="885"/>
      <c r="J1042" s="300"/>
    </row>
    <row r="1043" spans="1:10" x14ac:dyDescent="0.3">
      <c r="A1043" s="1086"/>
      <c r="B1043" s="901"/>
      <c r="C1043" s="901"/>
      <c r="D1043" s="901"/>
      <c r="E1043" s="901"/>
      <c r="F1043" s="901"/>
      <c r="G1043" s="359"/>
      <c r="H1043" s="901"/>
      <c r="I1043" s="359"/>
      <c r="J1043" s="300"/>
    </row>
    <row r="1044" spans="1:10" x14ac:dyDescent="0.3">
      <c r="A1044" s="1086"/>
      <c r="B1044" s="1132"/>
      <c r="C1044" s="1133"/>
      <c r="D1044" s="549"/>
      <c r="E1044" s="900"/>
      <c r="F1044" s="1134"/>
      <c r="G1044" s="1133"/>
      <c r="H1044" s="1133"/>
      <c r="I1044" s="359"/>
      <c r="J1044" s="300"/>
    </row>
    <row r="1045" spans="1:10" x14ac:dyDescent="0.3">
      <c r="A1045" s="1086"/>
      <c r="B1045" s="895"/>
      <c r="C1045" s="551"/>
      <c r="D1045" s="962"/>
      <c r="E1045" s="889"/>
      <c r="F1045" s="963"/>
      <c r="G1045" s="550"/>
      <c r="H1045" s="550"/>
      <c r="I1045" s="885"/>
      <c r="J1045" s="300"/>
    </row>
    <row r="1046" spans="1:10" x14ac:dyDescent="0.3">
      <c r="A1046" s="1086"/>
      <c r="B1046" s="895"/>
      <c r="C1046" s="551"/>
      <c r="D1046" s="890"/>
      <c r="E1046" s="958"/>
      <c r="F1046" s="550"/>
      <c r="G1046" s="895"/>
      <c r="H1046" s="550"/>
      <c r="I1046" s="885"/>
      <c r="J1046" s="300"/>
    </row>
    <row r="1047" spans="1:10" x14ac:dyDescent="0.3">
      <c r="A1047" s="1086"/>
      <c r="B1047" s="895"/>
      <c r="C1047" s="551"/>
      <c r="D1047" s="890"/>
      <c r="E1047" s="958"/>
      <c r="F1047" s="550"/>
      <c r="G1047" s="895"/>
      <c r="H1047" s="550"/>
      <c r="I1047" s="885"/>
      <c r="J1047" s="300"/>
    </row>
    <row r="1048" spans="1:10" x14ac:dyDescent="0.3">
      <c r="A1048" s="1086"/>
      <c r="B1048" s="895"/>
      <c r="C1048" s="551"/>
      <c r="D1048" s="890"/>
      <c r="E1048" s="958"/>
      <c r="F1048" s="550"/>
      <c r="G1048" s="895"/>
      <c r="H1048" s="550"/>
      <c r="I1048" s="885"/>
      <c r="J1048" s="300"/>
    </row>
    <row r="1049" spans="1:10" x14ac:dyDescent="0.3">
      <c r="A1049" s="1086"/>
      <c r="B1049" s="895"/>
      <c r="C1049" s="551"/>
      <c r="D1049" s="962"/>
      <c r="E1049" s="889"/>
      <c r="F1049" s="963"/>
      <c r="G1049" s="550"/>
      <c r="H1049" s="550"/>
      <c r="I1049" s="885"/>
      <c r="J1049" s="300"/>
    </row>
    <row r="1050" spans="1:10" x14ac:dyDescent="0.3">
      <c r="A1050" s="1086"/>
      <c r="B1050" s="891"/>
      <c r="C1050" s="551"/>
      <c r="D1050" s="962"/>
      <c r="E1050" s="889"/>
      <c r="F1050" s="550"/>
      <c r="G1050" s="895"/>
      <c r="H1050" s="550"/>
      <c r="I1050" s="885"/>
      <c r="J1050" s="300"/>
    </row>
    <row r="1051" spans="1:10" ht="15.6" x14ac:dyDescent="0.3">
      <c r="A1051" s="1159"/>
      <c r="B1051" s="929"/>
      <c r="C1051" s="928"/>
      <c r="D1051" s="929"/>
      <c r="E1051" s="929"/>
      <c r="F1051" s="929"/>
      <c r="G1051" s="895"/>
      <c r="H1051" s="550"/>
      <c r="I1051" s="896"/>
      <c r="J1051" s="300"/>
    </row>
    <row r="1052" spans="1:10" x14ac:dyDescent="0.3">
      <c r="A1052" s="1086"/>
      <c r="B1052" s="901"/>
      <c r="C1052" s="901"/>
      <c r="D1052" s="901"/>
      <c r="E1052" s="967"/>
      <c r="F1052" s="901"/>
      <c r="G1052" s="359"/>
      <c r="H1052" s="901"/>
      <c r="I1052" s="359"/>
      <c r="J1052" s="300"/>
    </row>
    <row r="1053" spans="1:10" x14ac:dyDescent="0.3">
      <c r="A1053" s="1159"/>
      <c r="B1053" s="359"/>
      <c r="C1053" s="359"/>
      <c r="D1053" s="359"/>
      <c r="E1053" s="359"/>
      <c r="F1053" s="359"/>
      <c r="G1053" s="359"/>
      <c r="H1053" s="359"/>
      <c r="I1053" s="359"/>
      <c r="J1053" s="300"/>
    </row>
    <row r="1054" spans="1:10" x14ac:dyDescent="0.3">
      <c r="A1054" s="1159"/>
      <c r="B1054" s="895"/>
      <c r="C1054" s="551"/>
      <c r="D1054" s="890"/>
      <c r="E1054" s="958"/>
      <c r="F1054" s="550"/>
      <c r="G1054" s="895"/>
      <c r="H1054" s="550"/>
      <c r="I1054" s="885"/>
      <c r="J1054" s="300"/>
    </row>
    <row r="1055" spans="1:10" x14ac:dyDescent="0.3">
      <c r="A1055" s="1159"/>
      <c r="B1055" s="895"/>
      <c r="C1055" s="551"/>
      <c r="D1055" s="890"/>
      <c r="E1055" s="958"/>
      <c r="F1055" s="550"/>
      <c r="G1055" s="895"/>
      <c r="H1055" s="550"/>
      <c r="I1055" s="885"/>
      <c r="J1055" s="300"/>
    </row>
    <row r="1056" spans="1:10" x14ac:dyDescent="0.3">
      <c r="A1056" s="1159"/>
      <c r="B1056" s="895"/>
      <c r="C1056" s="551"/>
      <c r="D1056" s="890"/>
      <c r="E1056" s="958"/>
      <c r="F1056" s="550"/>
      <c r="G1056" s="895"/>
      <c r="H1056" s="550"/>
      <c r="I1056" s="885"/>
      <c r="J1056" s="300"/>
    </row>
    <row r="1057" spans="1:10" x14ac:dyDescent="0.3">
      <c r="A1057" s="1159"/>
      <c r="B1057" s="895"/>
      <c r="C1057" s="551"/>
      <c r="D1057" s="890"/>
      <c r="E1057" s="958"/>
      <c r="F1057" s="550"/>
      <c r="G1057" s="895"/>
      <c r="H1057" s="550"/>
      <c r="I1057" s="885"/>
      <c r="J1057" s="300"/>
    </row>
    <row r="1058" spans="1:10" x14ac:dyDescent="0.3">
      <c r="A1058" s="1159"/>
      <c r="B1058" s="895"/>
      <c r="C1058" s="551"/>
      <c r="D1058" s="890"/>
      <c r="E1058" s="958"/>
      <c r="F1058" s="550"/>
      <c r="G1058" s="895"/>
      <c r="H1058" s="550"/>
      <c r="I1058" s="885"/>
      <c r="J1058" s="300"/>
    </row>
    <row r="1059" spans="1:10" x14ac:dyDescent="0.3">
      <c r="A1059" s="1086"/>
      <c r="B1059" s="966"/>
      <c r="C1059" s="959"/>
      <c r="D1059" s="959"/>
      <c r="E1059" s="966"/>
      <c r="F1059" s="959"/>
      <c r="G1059" s="359"/>
      <c r="H1059" s="901"/>
      <c r="I1059" s="359"/>
      <c r="J1059" s="300"/>
    </row>
    <row r="1060" spans="1:10" x14ac:dyDescent="0.3">
      <c r="A1060" s="1159"/>
      <c r="B1060" s="901"/>
      <c r="C1060" s="901"/>
      <c r="D1060" s="901"/>
      <c r="E1060" s="139"/>
      <c r="F1060" s="901"/>
      <c r="G1060" s="359"/>
      <c r="H1060" s="901"/>
      <c r="I1060" s="359"/>
      <c r="J1060" s="300"/>
    </row>
    <row r="1061" spans="1:10" x14ac:dyDescent="0.3">
      <c r="A1061" s="1086"/>
      <c r="B1061" s="895"/>
      <c r="C1061" s="551"/>
      <c r="D1061" s="890"/>
      <c r="E1061" s="958"/>
      <c r="F1061" s="550"/>
      <c r="G1061" s="895"/>
      <c r="H1061" s="550"/>
      <c r="I1061" s="885"/>
      <c r="J1061" s="300"/>
    </row>
    <row r="1062" spans="1:10" x14ac:dyDescent="0.3">
      <c r="A1062" s="1086"/>
      <c r="B1062" s="895"/>
      <c r="C1062" s="551"/>
      <c r="D1062" s="962"/>
      <c r="E1062" s="889"/>
      <c r="F1062" s="963"/>
      <c r="G1062" s="550"/>
      <c r="H1062" s="550"/>
      <c r="I1062" s="885"/>
      <c r="J1062" s="300"/>
    </row>
    <row r="1063" spans="1:10" x14ac:dyDescent="0.3">
      <c r="A1063" s="1086"/>
      <c r="B1063" s="895"/>
      <c r="C1063" s="551"/>
      <c r="D1063" s="890"/>
      <c r="E1063" s="958"/>
      <c r="F1063" s="550"/>
      <c r="G1063" s="895"/>
      <c r="H1063" s="550"/>
      <c r="I1063" s="885"/>
      <c r="J1063" s="300"/>
    </row>
    <row r="1064" spans="1:10" x14ac:dyDescent="0.3">
      <c r="A1064" s="1086"/>
      <c r="B1064" s="895"/>
      <c r="C1064" s="551"/>
      <c r="D1064" s="890"/>
      <c r="E1064" s="958"/>
      <c r="F1064" s="550"/>
      <c r="G1064" s="895"/>
      <c r="H1064" s="550"/>
      <c r="I1064" s="885"/>
      <c r="J1064" s="300"/>
    </row>
    <row r="1065" spans="1:10" x14ac:dyDescent="0.3">
      <c r="A1065" s="1086"/>
      <c r="B1065" s="895"/>
      <c r="C1065" s="551"/>
      <c r="D1065" s="890"/>
      <c r="E1065" s="958"/>
      <c r="F1065" s="550"/>
      <c r="G1065" s="895"/>
      <c r="H1065" s="550"/>
      <c r="I1065" s="885"/>
      <c r="J1065" s="300"/>
    </row>
    <row r="1066" spans="1:10" x14ac:dyDescent="0.3">
      <c r="A1066" s="1086"/>
      <c r="B1066" s="895"/>
      <c r="C1066" s="551"/>
      <c r="D1066" s="890"/>
      <c r="E1066" s="958"/>
      <c r="F1066" s="550"/>
      <c r="G1066" s="895"/>
      <c r="H1066" s="550"/>
      <c r="I1066" s="885"/>
      <c r="J1066" s="300"/>
    </row>
    <row r="1067" spans="1:10" x14ac:dyDescent="0.3">
      <c r="A1067" s="1086"/>
      <c r="B1067" s="359"/>
      <c r="C1067" s="359"/>
      <c r="D1067" s="359"/>
      <c r="E1067" s="359"/>
      <c r="F1067" s="359"/>
      <c r="G1067" s="359"/>
      <c r="H1067" s="359"/>
      <c r="I1067" s="359"/>
      <c r="J1067" s="300"/>
    </row>
    <row r="1068" spans="1:10" ht="15.6" x14ac:dyDescent="0.3">
      <c r="A1068" s="1159"/>
      <c r="B1068" s="929"/>
      <c r="C1068" s="928"/>
      <c r="D1068" s="929"/>
      <c r="E1068" s="929"/>
      <c r="F1068" s="929"/>
      <c r="G1068" s="895"/>
      <c r="H1068" s="550"/>
      <c r="I1068" s="896"/>
      <c r="J1068" s="300"/>
    </row>
    <row r="1069" spans="1:10" x14ac:dyDescent="0.3">
      <c r="A1069" s="1086"/>
      <c r="B1069" s="895"/>
      <c r="C1069" s="551"/>
      <c r="D1069" s="890"/>
      <c r="E1069" s="1124"/>
      <c r="F1069" s="550"/>
      <c r="G1069" s="359"/>
      <c r="H1069" s="901"/>
      <c r="I1069" s="896"/>
      <c r="J1069" s="300"/>
    </row>
    <row r="1070" spans="1:10" x14ac:dyDescent="0.3">
      <c r="A1070" s="1086"/>
      <c r="B1070" s="895"/>
      <c r="C1070" s="901"/>
      <c r="D1070" s="901"/>
      <c r="E1070" s="932"/>
      <c r="F1070" s="901"/>
      <c r="G1070" s="359"/>
      <c r="H1070" s="901"/>
      <c r="I1070" s="550"/>
      <c r="J1070" s="300"/>
    </row>
    <row r="1071" spans="1:10" x14ac:dyDescent="0.3">
      <c r="A1071" s="1086"/>
      <c r="B1071" s="891"/>
      <c r="C1071" s="551"/>
      <c r="D1071" s="890"/>
      <c r="E1071" s="958"/>
      <c r="F1071" s="550"/>
      <c r="G1071" s="895"/>
      <c r="H1071" s="550"/>
      <c r="I1071" s="885"/>
      <c r="J1071" s="300"/>
    </row>
    <row r="1072" spans="1:10" x14ac:dyDescent="0.3">
      <c r="A1072" s="1086"/>
      <c r="B1072" s="895"/>
      <c r="C1072" s="551"/>
      <c r="D1072" s="890"/>
      <c r="E1072" s="958"/>
      <c r="F1072" s="550"/>
      <c r="G1072" s="895"/>
      <c r="H1072" s="550"/>
      <c r="I1072" s="885"/>
      <c r="J1072" s="300"/>
    </row>
    <row r="1073" spans="1:10" x14ac:dyDescent="0.3">
      <c r="A1073" s="1086"/>
      <c r="B1073" s="895"/>
      <c r="C1073" s="551"/>
      <c r="D1073" s="890"/>
      <c r="E1073" s="958"/>
      <c r="F1073" s="550"/>
      <c r="G1073" s="895"/>
      <c r="H1073" s="550"/>
      <c r="I1073" s="885"/>
      <c r="J1073" s="300"/>
    </row>
    <row r="1074" spans="1:10" x14ac:dyDescent="0.3">
      <c r="A1074" s="1086"/>
      <c r="B1074" s="895"/>
      <c r="C1074" s="551"/>
      <c r="D1074" s="890"/>
      <c r="E1074" s="958"/>
      <c r="F1074" s="550"/>
      <c r="G1074" s="895"/>
      <c r="H1074" s="550"/>
      <c r="I1074" s="885"/>
      <c r="J1074" s="300"/>
    </row>
    <row r="1075" spans="1:10" x14ac:dyDescent="0.3">
      <c r="A1075" s="1086"/>
      <c r="B1075" s="895"/>
      <c r="C1075" s="551"/>
      <c r="D1075" s="890"/>
      <c r="E1075" s="958"/>
      <c r="F1075" s="550"/>
      <c r="G1075" s="895"/>
      <c r="H1075" s="550"/>
      <c r="I1075" s="885"/>
      <c r="J1075" s="300"/>
    </row>
    <row r="1076" spans="1:10" x14ac:dyDescent="0.3">
      <c r="A1076" s="1086"/>
      <c r="B1076" s="895"/>
      <c r="C1076" s="551"/>
      <c r="D1076" s="890"/>
      <c r="E1076" s="958"/>
      <c r="F1076" s="550"/>
      <c r="G1076" s="895"/>
      <c r="H1076" s="550"/>
      <c r="I1076" s="885"/>
      <c r="J1076" s="300"/>
    </row>
    <row r="1077" spans="1:10" x14ac:dyDescent="0.3">
      <c r="A1077" s="1086"/>
      <c r="B1077" s="895"/>
      <c r="C1077" s="551"/>
      <c r="D1077" s="890"/>
      <c r="E1077" s="896"/>
      <c r="F1077" s="550"/>
      <c r="G1077" s="359"/>
      <c r="H1077" s="1135"/>
      <c r="I1077" s="359"/>
      <c r="J1077" s="300"/>
    </row>
    <row r="1078" spans="1:10" x14ac:dyDescent="0.3">
      <c r="A1078" s="1086"/>
      <c r="B1078" s="895"/>
      <c r="C1078" s="551"/>
      <c r="D1078" s="890"/>
      <c r="E1078" s="1124"/>
      <c r="F1078" s="550"/>
      <c r="G1078" s="359"/>
      <c r="H1078" s="901"/>
      <c r="I1078" s="359"/>
      <c r="J1078" s="300"/>
    </row>
    <row r="1079" spans="1:10" x14ac:dyDescent="0.3">
      <c r="A1079" s="1086"/>
      <c r="B1079" s="895"/>
      <c r="C1079" s="551"/>
      <c r="D1079" s="890"/>
      <c r="E1079" s="958"/>
      <c r="F1079" s="550"/>
      <c r="G1079" s="895"/>
      <c r="H1079" s="550"/>
      <c r="I1079" s="885"/>
      <c r="J1079" s="300"/>
    </row>
    <row r="1080" spans="1:10" x14ac:dyDescent="0.3">
      <c r="A1080" s="1086"/>
      <c r="B1080" s="895"/>
      <c r="C1080" s="551"/>
      <c r="D1080" s="890"/>
      <c r="E1080" s="958"/>
      <c r="F1080" s="550"/>
      <c r="G1080" s="895"/>
      <c r="H1080" s="550"/>
      <c r="I1080" s="885"/>
      <c r="J1080" s="300"/>
    </row>
    <row r="1081" spans="1:10" x14ac:dyDescent="0.3">
      <c r="A1081" s="1086"/>
      <c r="B1081" s="895"/>
      <c r="C1081" s="551"/>
      <c r="D1081" s="962"/>
      <c r="E1081" s="889"/>
      <c r="F1081" s="963"/>
      <c r="G1081" s="550"/>
      <c r="H1081" s="550"/>
      <c r="I1081" s="885"/>
      <c r="J1081" s="300"/>
    </row>
    <row r="1082" spans="1:10" x14ac:dyDescent="0.3">
      <c r="A1082" s="1086"/>
      <c r="B1082" s="895"/>
      <c r="C1082" s="551"/>
      <c r="D1082" s="890"/>
      <c r="E1082" s="958"/>
      <c r="F1082" s="550"/>
      <c r="G1082" s="895"/>
      <c r="H1082" s="550"/>
      <c r="I1082" s="885"/>
      <c r="J1082" s="300"/>
    </row>
    <row r="1083" spans="1:10" x14ac:dyDescent="0.3">
      <c r="A1083" s="1086"/>
      <c r="B1083" s="895"/>
      <c r="C1083" s="551"/>
      <c r="D1083" s="890"/>
      <c r="E1083" s="958"/>
      <c r="F1083" s="550"/>
      <c r="G1083" s="895"/>
      <c r="H1083" s="550"/>
      <c r="I1083" s="885"/>
      <c r="J1083" s="300"/>
    </row>
    <row r="1084" spans="1:10" x14ac:dyDescent="0.3">
      <c r="A1084" s="1086"/>
      <c r="B1084" s="895"/>
      <c r="C1084" s="551"/>
      <c r="D1084" s="890"/>
      <c r="E1084" s="958"/>
      <c r="F1084" s="550"/>
      <c r="G1084" s="895"/>
      <c r="H1084" s="550"/>
      <c r="I1084" s="885"/>
      <c r="J1084" s="300"/>
    </row>
    <row r="1085" spans="1:10" x14ac:dyDescent="0.3">
      <c r="A1085" s="1086"/>
      <c r="B1085" s="1136"/>
      <c r="C1085" s="1137"/>
      <c r="D1085" s="890"/>
      <c r="E1085" s="896"/>
      <c r="F1085" s="895"/>
      <c r="G1085" s="359"/>
      <c r="H1085" s="550"/>
      <c r="I1085" s="359"/>
      <c r="J1085" s="300"/>
    </row>
    <row r="1086" spans="1:10" x14ac:dyDescent="0.3">
      <c r="A1086" s="1086"/>
      <c r="B1086" s="895"/>
      <c r="C1086" s="551"/>
      <c r="D1086" s="890"/>
      <c r="E1086" s="1124"/>
      <c r="F1086" s="550"/>
      <c r="G1086" s="359"/>
      <c r="H1086" s="901"/>
      <c r="I1086" s="359"/>
      <c r="J1086" s="300"/>
    </row>
    <row r="1087" spans="1:10" x14ac:dyDescent="0.3">
      <c r="A1087" s="1086"/>
      <c r="B1087" s="895"/>
      <c r="C1087" s="551"/>
      <c r="D1087" s="890"/>
      <c r="E1087" s="958"/>
      <c r="F1087" s="550"/>
      <c r="G1087" s="895"/>
      <c r="H1087" s="550"/>
      <c r="I1087" s="885"/>
      <c r="J1087" s="300"/>
    </row>
    <row r="1088" spans="1:10" x14ac:dyDescent="0.3">
      <c r="A1088" s="1086"/>
      <c r="B1088" s="895"/>
      <c r="C1088" s="551"/>
      <c r="D1088" s="962"/>
      <c r="E1088" s="889"/>
      <c r="F1088" s="963"/>
      <c r="G1088" s="550"/>
      <c r="H1088" s="550"/>
      <c r="I1088" s="885"/>
      <c r="J1088" s="300"/>
    </row>
    <row r="1089" spans="1:10" x14ac:dyDescent="0.3">
      <c r="A1089" s="1086"/>
      <c r="B1089" s="895"/>
      <c r="C1089" s="551"/>
      <c r="D1089" s="890"/>
      <c r="E1089" s="958"/>
      <c r="F1089" s="550"/>
      <c r="G1089" s="895"/>
      <c r="H1089" s="550"/>
      <c r="I1089" s="885"/>
      <c r="J1089" s="300"/>
    </row>
    <row r="1090" spans="1:10" x14ac:dyDescent="0.3">
      <c r="A1090" s="1086"/>
      <c r="B1090" s="895"/>
      <c r="C1090" s="551"/>
      <c r="D1090" s="890"/>
      <c r="E1090" s="958"/>
      <c r="F1090" s="550"/>
      <c r="G1090" s="895"/>
      <c r="H1090" s="550"/>
      <c r="I1090" s="885"/>
      <c r="J1090" s="300"/>
    </row>
    <row r="1091" spans="1:10" x14ac:dyDescent="0.3">
      <c r="A1091" s="1070"/>
      <c r="J1091" s="300"/>
    </row>
    <row r="1092" spans="1:10" x14ac:dyDescent="0.3">
      <c r="A1092" s="1070"/>
      <c r="J1092" s="300"/>
    </row>
    <row r="1093" spans="1:10" x14ac:dyDescent="0.3">
      <c r="A1093" s="1070"/>
      <c r="J1093" s="300"/>
    </row>
    <row r="1094" spans="1:10" x14ac:dyDescent="0.3">
      <c r="A1094" s="1070"/>
      <c r="J1094" s="300"/>
    </row>
    <row r="1095" spans="1:10" x14ac:dyDescent="0.3">
      <c r="A1095" s="1070"/>
      <c r="J1095" s="300"/>
    </row>
    <row r="1096" spans="1:10" x14ac:dyDescent="0.3">
      <c r="A1096" s="1070"/>
      <c r="J1096" s="300"/>
    </row>
    <row r="1097" spans="1:10" x14ac:dyDescent="0.3">
      <c r="A1097" s="1070"/>
      <c r="J1097" s="300"/>
    </row>
    <row r="1098" spans="1:10" x14ac:dyDescent="0.3">
      <c r="A1098" s="1070"/>
      <c r="J1098" s="300"/>
    </row>
    <row r="1099" spans="1:10" x14ac:dyDescent="0.3">
      <c r="A1099" s="1070"/>
      <c r="J1099" s="300"/>
    </row>
    <row r="1100" spans="1:10" x14ac:dyDescent="0.3">
      <c r="A1100" s="1070"/>
      <c r="J1100" s="300"/>
    </row>
    <row r="1101" spans="1:10" x14ac:dyDescent="0.3">
      <c r="A1101" s="1070"/>
      <c r="J1101" s="300"/>
    </row>
    <row r="1102" spans="1:10" x14ac:dyDescent="0.3">
      <c r="A1102" s="1070"/>
      <c r="J1102" s="300"/>
    </row>
    <row r="1103" spans="1:10" x14ac:dyDescent="0.3">
      <c r="A1103" s="1070"/>
      <c r="J1103" s="300"/>
    </row>
    <row r="1104" spans="1:10" x14ac:dyDescent="0.3">
      <c r="A1104" s="1070"/>
      <c r="J1104" s="300"/>
    </row>
    <row r="1105" spans="1:10" x14ac:dyDescent="0.3">
      <c r="A1105" s="1070"/>
      <c r="J1105" s="300"/>
    </row>
    <row r="1106" spans="1:10" x14ac:dyDescent="0.3">
      <c r="A1106" s="1070"/>
      <c r="J1106" s="300"/>
    </row>
    <row r="1107" spans="1:10" x14ac:dyDescent="0.3">
      <c r="A1107" s="1070"/>
      <c r="J1107" s="300"/>
    </row>
    <row r="1108" spans="1:10" x14ac:dyDescent="0.3">
      <c r="A1108" s="1070"/>
      <c r="J1108" s="300"/>
    </row>
    <row r="1109" spans="1:10" x14ac:dyDescent="0.3">
      <c r="A1109" s="1070"/>
      <c r="J1109" s="300"/>
    </row>
    <row r="1110" spans="1:10" x14ac:dyDescent="0.3">
      <c r="A1110" s="1070"/>
      <c r="J1110" s="300"/>
    </row>
    <row r="1111" spans="1:10" x14ac:dyDescent="0.3">
      <c r="A1111" s="1070"/>
      <c r="J1111" s="300"/>
    </row>
    <row r="1112" spans="1:10" x14ac:dyDescent="0.3">
      <c r="A1112" s="1070"/>
      <c r="J1112" s="300"/>
    </row>
    <row r="1113" spans="1:10" x14ac:dyDescent="0.3">
      <c r="A1113" s="1070"/>
      <c r="J1113" s="300"/>
    </row>
    <row r="1114" spans="1:10" x14ac:dyDescent="0.3">
      <c r="A1114" s="1070"/>
      <c r="J1114" s="300"/>
    </row>
    <row r="1115" spans="1:10" x14ac:dyDescent="0.3">
      <c r="A1115" s="1070"/>
      <c r="J1115" s="300"/>
    </row>
    <row r="1116" spans="1:10" x14ac:dyDescent="0.3">
      <c r="A1116" s="1070"/>
      <c r="J1116" s="300"/>
    </row>
    <row r="1117" spans="1:10" x14ac:dyDescent="0.3">
      <c r="A1117" s="1070"/>
      <c r="J1117" s="300"/>
    </row>
    <row r="1118" spans="1:10" x14ac:dyDescent="0.3">
      <c r="A1118" s="1070"/>
      <c r="J1118" s="300"/>
    </row>
    <row r="1119" spans="1:10" x14ac:dyDescent="0.3">
      <c r="A1119" s="1070"/>
      <c r="J1119" s="300"/>
    </row>
    <row r="1120" spans="1:10" x14ac:dyDescent="0.3">
      <c r="A1120" s="1070"/>
      <c r="J1120" s="300"/>
    </row>
    <row r="1121" spans="1:10" x14ac:dyDescent="0.3">
      <c r="A1121" s="1070"/>
      <c r="J1121" s="300"/>
    </row>
    <row r="1122" spans="1:10" x14ac:dyDescent="0.3">
      <c r="A1122" s="1070"/>
      <c r="J1122" s="300"/>
    </row>
    <row r="1123" spans="1:10" x14ac:dyDescent="0.3">
      <c r="A1123" s="1070"/>
      <c r="J1123" s="300"/>
    </row>
    <row r="1124" spans="1:10" x14ac:dyDescent="0.3">
      <c r="A1124" s="1070"/>
      <c r="J1124" s="300"/>
    </row>
    <row r="1125" spans="1:10" x14ac:dyDescent="0.3">
      <c r="A1125" s="1070"/>
      <c r="J1125" s="300"/>
    </row>
    <row r="1126" spans="1:10" x14ac:dyDescent="0.3">
      <c r="A1126" s="1070"/>
      <c r="J1126" s="300"/>
    </row>
    <row r="1127" spans="1:10" x14ac:dyDescent="0.3">
      <c r="A1127" s="1070"/>
      <c r="J1127" s="300"/>
    </row>
    <row r="1128" spans="1:10" x14ac:dyDescent="0.3">
      <c r="A1128" s="1070"/>
      <c r="J1128" s="300"/>
    </row>
    <row r="1129" spans="1:10" x14ac:dyDescent="0.3">
      <c r="A1129" s="1070"/>
      <c r="J1129" s="300"/>
    </row>
    <row r="1130" spans="1:10" x14ac:dyDescent="0.3">
      <c r="A1130" s="1070"/>
      <c r="J1130" s="300"/>
    </row>
    <row r="1131" spans="1:10" x14ac:dyDescent="0.3">
      <c r="A1131" s="1070"/>
      <c r="J1131" s="300"/>
    </row>
    <row r="1132" spans="1:10" x14ac:dyDescent="0.3">
      <c r="A1132" s="1070"/>
      <c r="J1132" s="300"/>
    </row>
    <row r="1133" spans="1:10" x14ac:dyDescent="0.3">
      <c r="A1133" s="1070"/>
      <c r="J1133" s="300"/>
    </row>
    <row r="1134" spans="1:10" x14ac:dyDescent="0.3">
      <c r="A1134" s="1070"/>
      <c r="J1134" s="300"/>
    </row>
    <row r="1135" spans="1:10" x14ac:dyDescent="0.3">
      <c r="A1135" s="1070"/>
      <c r="J1135" s="300"/>
    </row>
    <row r="1136" spans="1:10" x14ac:dyDescent="0.3">
      <c r="A1136" s="1070"/>
      <c r="J1136" s="300"/>
    </row>
    <row r="1137" spans="1:10" x14ac:dyDescent="0.3">
      <c r="A1137" s="1070"/>
      <c r="J1137" s="300"/>
    </row>
    <row r="1138" spans="1:10" x14ac:dyDescent="0.3">
      <c r="A1138" s="1070"/>
      <c r="J1138" s="300"/>
    </row>
    <row r="1139" spans="1:10" x14ac:dyDescent="0.3">
      <c r="A1139" s="1070"/>
      <c r="J1139" s="300"/>
    </row>
    <row r="1140" spans="1:10" x14ac:dyDescent="0.3">
      <c r="A1140" s="1070"/>
      <c r="J1140" s="300"/>
    </row>
    <row r="1141" spans="1:10" x14ac:dyDescent="0.3">
      <c r="A1141" s="1070"/>
      <c r="J1141" s="300"/>
    </row>
    <row r="1142" spans="1:10" x14ac:dyDescent="0.3">
      <c r="A1142" s="1070"/>
      <c r="J1142" s="300"/>
    </row>
    <row r="1143" spans="1:10" x14ac:dyDescent="0.3">
      <c r="A1143" s="1070"/>
      <c r="J1143" s="300"/>
    </row>
    <row r="1144" spans="1:10" x14ac:dyDescent="0.3">
      <c r="A1144" s="1070"/>
      <c r="J1144" s="300"/>
    </row>
    <row r="1145" spans="1:10" x14ac:dyDescent="0.3">
      <c r="A1145" s="1070"/>
      <c r="J1145" s="300"/>
    </row>
    <row r="1146" spans="1:10" x14ac:dyDescent="0.3">
      <c r="A1146" s="1070"/>
      <c r="J1146" s="300"/>
    </row>
    <row r="1147" spans="1:10" x14ac:dyDescent="0.3">
      <c r="A1147" s="1070"/>
      <c r="J1147" s="300"/>
    </row>
    <row r="1148" spans="1:10" x14ac:dyDescent="0.3">
      <c r="A1148" s="1070"/>
      <c r="J1148" s="300"/>
    </row>
    <row r="1149" spans="1:10" x14ac:dyDescent="0.3">
      <c r="A1149" s="1070"/>
      <c r="J1149" s="300"/>
    </row>
    <row r="1150" spans="1:10" x14ac:dyDescent="0.3">
      <c r="A1150" s="1070"/>
      <c r="J1150" s="300"/>
    </row>
    <row r="1151" spans="1:10" x14ac:dyDescent="0.3">
      <c r="A1151" s="1070"/>
      <c r="J1151" s="300"/>
    </row>
    <row r="1152" spans="1:10" x14ac:dyDescent="0.3">
      <c r="A1152" s="1070"/>
      <c r="J1152" s="300"/>
    </row>
    <row r="1153" spans="1:10" x14ac:dyDescent="0.3">
      <c r="A1153" s="1070"/>
      <c r="J1153" s="300"/>
    </row>
    <row r="1154" spans="1:10" x14ac:dyDescent="0.3">
      <c r="A1154" s="1070"/>
      <c r="J1154" s="300"/>
    </row>
    <row r="1155" spans="1:10" x14ac:dyDescent="0.3">
      <c r="A1155" s="1070"/>
      <c r="J1155" s="300"/>
    </row>
    <row r="1156" spans="1:10" x14ac:dyDescent="0.3">
      <c r="A1156" s="1070"/>
      <c r="J1156" s="300"/>
    </row>
    <row r="1157" spans="1:10" x14ac:dyDescent="0.3">
      <c r="A1157" s="1070"/>
      <c r="J1157" s="300"/>
    </row>
    <row r="1158" spans="1:10" x14ac:dyDescent="0.3">
      <c r="A1158" s="1070"/>
      <c r="J1158" s="300"/>
    </row>
    <row r="1159" spans="1:10" x14ac:dyDescent="0.3">
      <c r="A1159" s="1070"/>
      <c r="J1159" s="300"/>
    </row>
    <row r="1160" spans="1:10" x14ac:dyDescent="0.3">
      <c r="A1160" s="1070"/>
      <c r="J1160" s="300"/>
    </row>
    <row r="1161" spans="1:10" x14ac:dyDescent="0.3">
      <c r="A1161" s="1070"/>
      <c r="J1161" s="300"/>
    </row>
    <row r="1162" spans="1:10" x14ac:dyDescent="0.3">
      <c r="A1162" s="1070"/>
      <c r="J1162" s="300"/>
    </row>
    <row r="1163" spans="1:10" x14ac:dyDescent="0.3">
      <c r="A1163" s="1070"/>
      <c r="J1163" s="300"/>
    </row>
    <row r="1164" spans="1:10" x14ac:dyDescent="0.3">
      <c r="A1164" s="1070"/>
      <c r="J1164" s="300"/>
    </row>
    <row r="1165" spans="1:10" x14ac:dyDescent="0.3">
      <c r="A1165" s="1070"/>
      <c r="J1165" s="300"/>
    </row>
    <row r="1166" spans="1:10" x14ac:dyDescent="0.3">
      <c r="A1166" s="1070"/>
      <c r="J1166" s="300"/>
    </row>
    <row r="1167" spans="1:10" x14ac:dyDescent="0.3">
      <c r="A1167" s="1070"/>
      <c r="J1167" s="300"/>
    </row>
    <row r="1168" spans="1:10" x14ac:dyDescent="0.3">
      <c r="A1168" s="1070"/>
      <c r="J1168" s="300"/>
    </row>
    <row r="1169" spans="1:10" x14ac:dyDescent="0.3">
      <c r="A1169" s="1070"/>
      <c r="J1169" s="300"/>
    </row>
    <row r="1170" spans="1:10" x14ac:dyDescent="0.3">
      <c r="A1170" s="1070"/>
      <c r="J1170" s="300"/>
    </row>
    <row r="1171" spans="1:10" x14ac:dyDescent="0.3">
      <c r="A1171" s="1070"/>
      <c r="J1171" s="300"/>
    </row>
    <row r="1172" spans="1:10" x14ac:dyDescent="0.3">
      <c r="A1172" s="1070"/>
      <c r="J1172" s="300"/>
    </row>
    <row r="1173" spans="1:10" x14ac:dyDescent="0.3">
      <c r="A1173" s="1070"/>
      <c r="J1173" s="300"/>
    </row>
    <row r="1174" spans="1:10" x14ac:dyDescent="0.3">
      <c r="A1174" s="1070"/>
      <c r="J1174" s="300"/>
    </row>
    <row r="1175" spans="1:10" x14ac:dyDescent="0.3">
      <c r="A1175" s="1070"/>
      <c r="J1175" s="300"/>
    </row>
    <row r="1176" spans="1:10" x14ac:dyDescent="0.3">
      <c r="A1176" s="1070"/>
      <c r="J1176" s="300"/>
    </row>
    <row r="1177" spans="1:10" x14ac:dyDescent="0.3">
      <c r="A1177" s="1070"/>
      <c r="J1177" s="300"/>
    </row>
    <row r="1178" spans="1:10" x14ac:dyDescent="0.3">
      <c r="A1178" s="1070"/>
      <c r="J1178" s="300"/>
    </row>
    <row r="1179" spans="1:10" x14ac:dyDescent="0.3">
      <c r="A1179" s="1070"/>
      <c r="J1179" s="300"/>
    </row>
    <row r="1180" spans="1:10" x14ac:dyDescent="0.3">
      <c r="A1180" s="1070"/>
      <c r="J1180" s="300"/>
    </row>
    <row r="1181" spans="1:10" x14ac:dyDescent="0.3">
      <c r="A1181" s="1070"/>
      <c r="J1181" s="300"/>
    </row>
    <row r="1182" spans="1:10" x14ac:dyDescent="0.3">
      <c r="A1182" s="1070"/>
      <c r="J1182" s="300"/>
    </row>
    <row r="1183" spans="1:10" x14ac:dyDescent="0.3">
      <c r="A1183" s="1070"/>
      <c r="J1183" s="300"/>
    </row>
    <row r="1184" spans="1:10" x14ac:dyDescent="0.3">
      <c r="A1184" s="1070"/>
      <c r="J1184" s="300"/>
    </row>
    <row r="1185" spans="1:10" x14ac:dyDescent="0.3">
      <c r="A1185" s="1070"/>
      <c r="J1185" s="300"/>
    </row>
    <row r="1186" spans="1:10" x14ac:dyDescent="0.3">
      <c r="A1186" s="1070"/>
      <c r="J1186" s="300"/>
    </row>
    <row r="1187" spans="1:10" x14ac:dyDescent="0.3">
      <c r="A1187" s="1070"/>
      <c r="J1187" s="300"/>
    </row>
    <row r="1188" spans="1:10" x14ac:dyDescent="0.3">
      <c r="A1188" s="1070"/>
      <c r="J1188" s="300"/>
    </row>
    <row r="1189" spans="1:10" x14ac:dyDescent="0.3">
      <c r="A1189" s="1070"/>
      <c r="J1189" s="300"/>
    </row>
    <row r="1190" spans="1:10" x14ac:dyDescent="0.3">
      <c r="A1190" s="1070"/>
      <c r="J1190" s="300"/>
    </row>
    <row r="1191" spans="1:10" x14ac:dyDescent="0.3">
      <c r="A1191" s="1070"/>
      <c r="J1191" s="300"/>
    </row>
    <row r="1192" spans="1:10" x14ac:dyDescent="0.3">
      <c r="A1192" s="1070"/>
      <c r="J1192" s="300"/>
    </row>
    <row r="1193" spans="1:10" x14ac:dyDescent="0.3">
      <c r="A1193" s="1070"/>
      <c r="J1193" s="300"/>
    </row>
    <row r="1194" spans="1:10" x14ac:dyDescent="0.3">
      <c r="A1194" s="1070"/>
      <c r="J1194" s="300"/>
    </row>
    <row r="1195" spans="1:10" x14ac:dyDescent="0.3">
      <c r="A1195" s="1070"/>
      <c r="J1195" s="300"/>
    </row>
    <row r="1196" spans="1:10" x14ac:dyDescent="0.3">
      <c r="A1196" s="1070"/>
      <c r="J1196" s="300"/>
    </row>
    <row r="1197" spans="1:10" x14ac:dyDescent="0.3">
      <c r="A1197" s="1070"/>
      <c r="J1197" s="300"/>
    </row>
    <row r="1198" spans="1:10" x14ac:dyDescent="0.3">
      <c r="A1198" s="1070"/>
      <c r="J1198" s="300"/>
    </row>
    <row r="1199" spans="1:10" x14ac:dyDescent="0.3">
      <c r="A1199" s="1070"/>
      <c r="J1199" s="300"/>
    </row>
    <row r="1200" spans="1:10" x14ac:dyDescent="0.3">
      <c r="A1200" s="1070"/>
      <c r="J1200" s="300"/>
    </row>
    <row r="1201" spans="1:10" x14ac:dyDescent="0.3">
      <c r="A1201" s="1070"/>
      <c r="J1201" s="300"/>
    </row>
    <row r="1202" spans="1:10" x14ac:dyDescent="0.3">
      <c r="A1202" s="1070"/>
      <c r="J1202" s="300"/>
    </row>
    <row r="1203" spans="1:10" x14ac:dyDescent="0.3">
      <c r="A1203" s="1070"/>
      <c r="J1203" s="300"/>
    </row>
    <row r="1204" spans="1:10" x14ac:dyDescent="0.3">
      <c r="A1204" s="1070"/>
      <c r="J1204" s="300"/>
    </row>
    <row r="1205" spans="1:10" x14ac:dyDescent="0.3">
      <c r="A1205" s="1070"/>
      <c r="J1205" s="300"/>
    </row>
    <row r="1206" spans="1:10" x14ac:dyDescent="0.3">
      <c r="A1206" s="1070"/>
      <c r="J1206" s="300"/>
    </row>
    <row r="1207" spans="1:10" x14ac:dyDescent="0.3">
      <c r="A1207" s="1070"/>
      <c r="J1207" s="300"/>
    </row>
    <row r="1208" spans="1:10" x14ac:dyDescent="0.3">
      <c r="A1208" s="1070"/>
      <c r="J1208" s="300"/>
    </row>
    <row r="1209" spans="1:10" x14ac:dyDescent="0.3">
      <c r="A1209" s="1070"/>
      <c r="J1209" s="300"/>
    </row>
    <row r="1210" spans="1:10" x14ac:dyDescent="0.3">
      <c r="A1210" s="1070"/>
      <c r="J1210" s="300"/>
    </row>
    <row r="1211" spans="1:10" x14ac:dyDescent="0.3">
      <c r="A1211" s="1070"/>
      <c r="J1211" s="300"/>
    </row>
    <row r="1212" spans="1:10" x14ac:dyDescent="0.3">
      <c r="A1212" s="1070"/>
      <c r="J1212" s="300"/>
    </row>
    <row r="1213" spans="1:10" x14ac:dyDescent="0.3">
      <c r="J1213" s="300"/>
    </row>
    <row r="1214" spans="1:10" x14ac:dyDescent="0.3">
      <c r="J1214" s="300"/>
    </row>
    <row r="1215" spans="1:10" x14ac:dyDescent="0.3">
      <c r="J1215" s="300"/>
    </row>
    <row r="1216" spans="1:10" x14ac:dyDescent="0.3">
      <c r="J1216" s="300"/>
    </row>
    <row r="1217" spans="10:10" x14ac:dyDescent="0.3">
      <c r="J1217" s="300"/>
    </row>
    <row r="1218" spans="10:10" x14ac:dyDescent="0.3">
      <c r="J1218" s="300"/>
    </row>
    <row r="1219" spans="10:10" x14ac:dyDescent="0.3">
      <c r="J1219" s="300"/>
    </row>
    <row r="1220" spans="10:10" x14ac:dyDescent="0.3">
      <c r="J1220" s="300"/>
    </row>
    <row r="1221" spans="10:10" x14ac:dyDescent="0.3">
      <c r="J1221" s="300"/>
    </row>
    <row r="1222" spans="10:10" x14ac:dyDescent="0.3">
      <c r="J1222" s="300"/>
    </row>
    <row r="1223" spans="10:10" x14ac:dyDescent="0.3">
      <c r="J1223" s="300"/>
    </row>
    <row r="1224" spans="10:10" x14ac:dyDescent="0.3">
      <c r="J1224" s="300"/>
    </row>
    <row r="1225" spans="10:10" x14ac:dyDescent="0.3">
      <c r="J1225" s="300"/>
    </row>
    <row r="1226" spans="10:10" x14ac:dyDescent="0.3">
      <c r="J1226" s="300"/>
    </row>
    <row r="1227" spans="10:10" x14ac:dyDescent="0.3">
      <c r="J1227" s="300"/>
    </row>
    <row r="1228" spans="10:10" x14ac:dyDescent="0.3">
      <c r="J1228" s="300"/>
    </row>
    <row r="1229" spans="10:10" x14ac:dyDescent="0.3">
      <c r="J1229" s="300"/>
    </row>
    <row r="1230" spans="10:10" x14ac:dyDescent="0.3">
      <c r="J1230" s="300"/>
    </row>
    <row r="1231" spans="10:10" x14ac:dyDescent="0.3">
      <c r="J1231" s="300"/>
    </row>
    <row r="1232" spans="10:10" x14ac:dyDescent="0.3">
      <c r="J1232" s="300"/>
    </row>
    <row r="1233" spans="10:10" x14ac:dyDescent="0.3">
      <c r="J1233" s="300"/>
    </row>
    <row r="1234" spans="10:10" x14ac:dyDescent="0.3">
      <c r="J1234" s="300"/>
    </row>
    <row r="1235" spans="10:10" x14ac:dyDescent="0.3">
      <c r="J1235" s="300"/>
    </row>
    <row r="1236" spans="10:10" x14ac:dyDescent="0.3">
      <c r="J1236" s="300"/>
    </row>
    <row r="1237" spans="10:10" x14ac:dyDescent="0.3">
      <c r="J1237" s="300"/>
    </row>
    <row r="1238" spans="10:10" x14ac:dyDescent="0.3">
      <c r="J1238" s="300"/>
    </row>
    <row r="1239" spans="10:10" x14ac:dyDescent="0.3">
      <c r="J1239" s="300"/>
    </row>
    <row r="1240" spans="10:10" x14ac:dyDescent="0.3">
      <c r="J1240" s="300"/>
    </row>
    <row r="1241" spans="10:10" x14ac:dyDescent="0.3">
      <c r="J1241" s="300"/>
    </row>
    <row r="1242" spans="10:10" x14ac:dyDescent="0.3">
      <c r="J1242" s="300"/>
    </row>
    <row r="1243" spans="10:10" x14ac:dyDescent="0.3">
      <c r="J1243" s="300"/>
    </row>
    <row r="1244" spans="10:10" x14ac:dyDescent="0.3">
      <c r="J1244" s="300"/>
    </row>
    <row r="1245" spans="10:10" x14ac:dyDescent="0.3">
      <c r="J1245" s="300"/>
    </row>
  </sheetData>
  <sortState ref="A869:J875">
    <sortCondition ref="I869:I875"/>
  </sortState>
  <mergeCells count="46">
    <mergeCell ref="G344:K344"/>
    <mergeCell ref="A344:C344"/>
    <mergeCell ref="A345:K345"/>
    <mergeCell ref="A22:J22"/>
    <mergeCell ref="A55:J55"/>
    <mergeCell ref="B63:D63"/>
    <mergeCell ref="A342:J342"/>
    <mergeCell ref="A340:J340"/>
    <mergeCell ref="A341:J341"/>
    <mergeCell ref="A99:J99"/>
    <mergeCell ref="A100:J100"/>
    <mergeCell ref="A101:J101"/>
    <mergeCell ref="A103:J103"/>
    <mergeCell ref="G104:J104"/>
    <mergeCell ref="A102:K102"/>
    <mergeCell ref="A104:C104"/>
    <mergeCell ref="A53:J53"/>
    <mergeCell ref="A343:K343"/>
    <mergeCell ref="A105:J105"/>
    <mergeCell ref="C106:D106"/>
    <mergeCell ref="F106:G106"/>
    <mergeCell ref="H106:J106"/>
    <mergeCell ref="K350:K351"/>
    <mergeCell ref="H346:I346"/>
    <mergeCell ref="A346:A347"/>
    <mergeCell ref="B346:B347"/>
    <mergeCell ref="C346:D347"/>
    <mergeCell ref="E346:E347"/>
    <mergeCell ref="F346:G347"/>
    <mergeCell ref="J346:J347"/>
    <mergeCell ref="A1:K1"/>
    <mergeCell ref="A3:K3"/>
    <mergeCell ref="A23:K23"/>
    <mergeCell ref="A2:K2"/>
    <mergeCell ref="E61:F61"/>
    <mergeCell ref="E59:G59"/>
    <mergeCell ref="I59:K59"/>
    <mergeCell ref="A54:K54"/>
    <mergeCell ref="A57:C57"/>
    <mergeCell ref="F57:J57"/>
    <mergeCell ref="A24:K24"/>
    <mergeCell ref="C47:H48"/>
    <mergeCell ref="A25:K25"/>
    <mergeCell ref="A56:K56"/>
    <mergeCell ref="B59:D59"/>
    <mergeCell ref="A58:K58"/>
  </mergeCells>
  <conditionalFormatting sqref="F127:F153">
    <cfRule type="expression" dxfId="106" priority="2">
      <formula>IF(ISBLANK(F127),FALSE,IF(IF(ISNUMBER($G$13),IF(YEAR(TODAY())-$G$13&lt;=F127,FALSE,TRUE),FALSE),TRUE,IF(ISNUMBER($E$13),IF(YEAR(TODAY())-$E$13&lt;F127,TRUE,FALSE),FALSE)))</formula>
    </cfRule>
  </conditionalFormatting>
  <conditionalFormatting sqref="C127:C152">
    <cfRule type="expression" dxfId="105" priority="71692">
      <formula>IF($C127&lt;&gt;$H$11,IF($C127&lt;&gt;$H$12,IF($C127&lt;&gt;$H$13,IF($C127&lt;&gt;$I$11,IF(C127&lt;&gt;$I$12,IF($C127&lt;&gt;$I$13,IF($C127&lt;&gt;#REF!,IF($C127&lt;&gt;#REF!,IF($C127&lt;&gt;#REF!,IF($C127&lt;&gt;#REF!,IF($C127&lt;&gt;#REF!,TRUE)))))))))))</formula>
    </cfRule>
  </conditionalFormatting>
  <conditionalFormatting sqref="B668">
    <cfRule type="expression" dxfId="104" priority="1">
      <formula>IF($B666&lt;&gt;$H$11,IF($B666&lt;&gt;$H$12,IF($B666&lt;&gt;$H$13,IF($B666&lt;&gt;$I$11,IF(B668&lt;&gt;$I$12,IF($B666&lt;&gt;$I$13,IF($B666&lt;&gt;#REF!,IF($B666&lt;&gt;#REF!,IF($B666&lt;&gt;#REF!,IF($B666&lt;&gt;#REF!,IF($B666&lt;&gt;#REF!,TRUE)))))))))))</formula>
    </cfRule>
  </conditionalFormatting>
  <pageMargins left="0" right="0" top="0.35433070866141736" bottom="1.1811023622047245" header="0" footer="0.11811023622047245"/>
  <pageSetup paperSize="9" orientation="portrait" r:id="rId1"/>
  <headerFooter scaleWithDoc="0" alignWithMargins="0">
    <oddHeader>&amp;R&amp;"Times New Roman,курсив"&amp;8Стр. &amp;P из &amp;N</oddHeader>
    <oddFooter>&amp;L&amp;"Times New Roman,полужирный курсив"Главный судья соревнований, судья первой категории
Главный секретарь соревнований, судья всероссийской категории&amp;R&amp;"Times New Roman,полужирный курсив"Устюгова В.Ю. 
Реди Е.В.</oddFooter>
  </headerFooter>
  <rowBreaks count="1" manualBreakCount="1">
    <brk id="52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5">
    <tabColor rgb="FFC00000"/>
  </sheetPr>
  <dimension ref="A1:S158"/>
  <sheetViews>
    <sheetView workbookViewId="0">
      <selection activeCell="E18" sqref="E18"/>
    </sheetView>
  </sheetViews>
  <sheetFormatPr defaultColWidth="9.109375" defaultRowHeight="13.8" x14ac:dyDescent="0.25"/>
  <cols>
    <col min="1" max="3" width="5" style="376" customWidth="1"/>
    <col min="4" max="4" width="9.5546875" style="376" customWidth="1"/>
    <col min="5" max="5" width="4" style="376" customWidth="1"/>
    <col min="6" max="6" width="4.109375" style="376" customWidth="1"/>
    <col min="7" max="7" width="5.109375" style="376" customWidth="1"/>
    <col min="8" max="9" width="4.88671875" style="376" customWidth="1"/>
    <col min="10" max="10" width="5.109375" style="376" customWidth="1"/>
    <col min="11" max="11" width="5.5546875" style="376" customWidth="1"/>
    <col min="12" max="12" width="5.109375" style="376" customWidth="1"/>
    <col min="13" max="13" width="4.88671875" style="376" customWidth="1"/>
    <col min="14" max="15" width="5.109375" style="376" customWidth="1"/>
    <col min="16" max="16" width="4.6640625" style="376" customWidth="1"/>
    <col min="17" max="18" width="5.109375" style="376" customWidth="1"/>
    <col min="19" max="35" width="1.33203125" style="376" customWidth="1"/>
    <col min="36" max="16384" width="9.109375" style="376"/>
  </cols>
  <sheetData>
    <row r="1" spans="1:18" ht="17.399999999999999" x14ac:dyDescent="0.3">
      <c r="M1" s="672" t="s">
        <v>983</v>
      </c>
    </row>
    <row r="2" spans="1:18" ht="15.6" x14ac:dyDescent="0.3">
      <c r="L2" s="668" t="s">
        <v>984</v>
      </c>
    </row>
    <row r="3" spans="1:18" ht="15.6" x14ac:dyDescent="0.3">
      <c r="L3" s="668" t="s">
        <v>985</v>
      </c>
    </row>
    <row r="4" spans="1:18" ht="15.6" x14ac:dyDescent="0.3">
      <c r="L4" s="668" t="s">
        <v>986</v>
      </c>
    </row>
    <row r="5" spans="1:18" ht="15.6" x14ac:dyDescent="0.3">
      <c r="L5" s="374" t="s">
        <v>987</v>
      </c>
      <c r="P5" s="673"/>
    </row>
    <row r="6" spans="1:18" ht="24.75" customHeight="1" x14ac:dyDescent="0.3">
      <c r="R6" s="674" t="s">
        <v>988</v>
      </c>
    </row>
    <row r="8" spans="1:18" ht="17.399999999999999" x14ac:dyDescent="0.3">
      <c r="A8" s="1233" t="s">
        <v>989</v>
      </c>
      <c r="B8" s="1233"/>
      <c r="C8" s="1233"/>
      <c r="D8" s="1233"/>
      <c r="E8" s="1233"/>
      <c r="F8" s="1233"/>
      <c r="G8" s="1233"/>
      <c r="H8" s="1233"/>
      <c r="I8" s="1233"/>
      <c r="J8" s="1233"/>
      <c r="K8" s="1233"/>
      <c r="L8" s="1233"/>
      <c r="M8" s="1233"/>
      <c r="N8" s="1233"/>
      <c r="O8" s="1233"/>
      <c r="P8" s="1233"/>
      <c r="Q8" s="1233"/>
      <c r="R8" s="1233"/>
    </row>
    <row r="9" spans="1:18" ht="17.399999999999999" x14ac:dyDescent="0.3">
      <c r="A9" s="670"/>
      <c r="B9" s="670"/>
      <c r="C9" s="670"/>
      <c r="D9" s="670"/>
      <c r="E9" s="670"/>
      <c r="F9" s="670"/>
      <c r="G9" s="670"/>
      <c r="H9" s="670"/>
      <c r="I9" s="670"/>
      <c r="J9" s="670"/>
      <c r="K9" s="670"/>
      <c r="L9" s="670"/>
      <c r="M9" s="670"/>
      <c r="N9" s="670"/>
      <c r="O9" s="670"/>
    </row>
    <row r="10" spans="1:18" s="174" customFormat="1" ht="18.75" customHeight="1" x14ac:dyDescent="0.3">
      <c r="A10" s="1234" t="str">
        <f>'Краевые Сосновоборск'!A22</f>
        <v xml:space="preserve">Краевые соревнования </v>
      </c>
      <c r="B10" s="1234"/>
      <c r="C10" s="1234"/>
      <c r="D10" s="1234"/>
      <c r="E10" s="1234"/>
      <c r="F10" s="1234"/>
      <c r="G10" s="1234"/>
      <c r="H10" s="1234"/>
      <c r="I10" s="1234"/>
      <c r="J10" s="1234"/>
      <c r="K10" s="1234"/>
      <c r="L10" s="1234"/>
      <c r="M10" s="1234"/>
      <c r="N10" s="1234"/>
      <c r="O10" s="1234"/>
      <c r="P10" s="1234"/>
      <c r="Q10" s="1234"/>
      <c r="R10" s="1234"/>
    </row>
    <row r="11" spans="1:18" s="374" customFormat="1" ht="20.25" customHeight="1" x14ac:dyDescent="0.3">
      <c r="A11" s="1235" t="s">
        <v>990</v>
      </c>
      <c r="B11" s="1235"/>
      <c r="C11" s="1235"/>
      <c r="D11" s="1235"/>
      <c r="E11" s="1235"/>
      <c r="F11" s="1235"/>
      <c r="G11" s="1235"/>
      <c r="H11" s="1235"/>
      <c r="I11" s="1235"/>
      <c r="J11" s="1235"/>
      <c r="K11" s="1235"/>
      <c r="L11" s="1235"/>
      <c r="M11" s="1235"/>
      <c r="N11" s="1235"/>
      <c r="O11" s="1235"/>
      <c r="P11" s="1235"/>
      <c r="Q11" s="1235"/>
    </row>
    <row r="12" spans="1:18" s="374" customFormat="1" ht="18" x14ac:dyDescent="0.35">
      <c r="A12" s="1236" t="str">
        <f>'Краевые Сосновоборск'!A23</f>
        <v xml:space="preserve">по подводному спорту (1460008511Я) (плавание в ластах) </v>
      </c>
      <c r="B12" s="1236"/>
      <c r="C12" s="1236"/>
      <c r="D12" s="1236"/>
      <c r="E12" s="1236"/>
      <c r="F12" s="1236"/>
      <c r="G12" s="1236"/>
      <c r="H12" s="1236"/>
      <c r="I12" s="1236"/>
      <c r="J12" s="1236"/>
      <c r="K12" s="1236"/>
      <c r="L12" s="1236"/>
      <c r="M12" s="1236"/>
      <c r="N12" s="1236"/>
      <c r="O12" s="1236"/>
      <c r="P12" s="1236"/>
      <c r="Q12" s="1236"/>
      <c r="R12" s="1236"/>
    </row>
    <row r="13" spans="1:18" s="374" customFormat="1" ht="16.2" x14ac:dyDescent="0.35">
      <c r="A13" s="668"/>
      <c r="B13" s="1237"/>
      <c r="C13" s="1237"/>
      <c r="D13" s="1237"/>
      <c r="E13" s="1237"/>
      <c r="F13" s="1238"/>
      <c r="G13" s="1238"/>
      <c r="H13" s="1238"/>
      <c r="I13" s="1238"/>
      <c r="J13" s="1238"/>
      <c r="K13" s="1238"/>
      <c r="L13" s="1238"/>
      <c r="M13" s="1238"/>
      <c r="N13" s="1238"/>
      <c r="O13" s="1238"/>
      <c r="P13" s="1238"/>
    </row>
    <row r="14" spans="1:18" s="374" customFormat="1" ht="16.2" x14ac:dyDescent="0.35">
      <c r="A14" s="675" t="s">
        <v>269</v>
      </c>
      <c r="B14" s="675"/>
      <c r="C14" s="675"/>
      <c r="D14" s="675"/>
      <c r="E14" s="676" t="str">
        <f>'Краевые Сосновоборск'!C47</f>
        <v>г. Сосновоборск, 2025 г.</v>
      </c>
      <c r="F14" s="675"/>
      <c r="G14" s="675"/>
      <c r="H14" s="677"/>
      <c r="I14" s="678"/>
      <c r="J14" s="677"/>
      <c r="K14" s="677"/>
      <c r="L14" s="677"/>
      <c r="M14" s="677"/>
      <c r="N14" s="677"/>
      <c r="O14" s="677"/>
      <c r="P14" s="677"/>
      <c r="Q14" s="677"/>
      <c r="R14" s="677"/>
    </row>
    <row r="15" spans="1:18" s="374" customFormat="1" ht="20.25" customHeight="1" x14ac:dyDescent="0.3">
      <c r="A15" s="1208" t="s">
        <v>991</v>
      </c>
      <c r="B15" s="1208"/>
      <c r="C15" s="1208"/>
      <c r="D15" s="1208"/>
      <c r="E15" s="1235"/>
      <c r="F15" s="1235"/>
      <c r="G15" s="1235"/>
      <c r="H15" s="1235"/>
      <c r="I15" s="1235"/>
      <c r="J15" s="1235"/>
      <c r="K15" s="1235"/>
      <c r="L15" s="1235"/>
      <c r="M15" s="1235"/>
      <c r="N15" s="1235"/>
      <c r="O15" s="1235"/>
      <c r="P15" s="1235"/>
      <c r="Q15" s="1235"/>
    </row>
    <row r="16" spans="1:18" s="374" customFormat="1" ht="16.2" x14ac:dyDescent="0.35">
      <c r="A16" s="675" t="s">
        <v>268</v>
      </c>
      <c r="B16" s="675"/>
      <c r="C16" s="675"/>
      <c r="D16" s="675"/>
      <c r="E16" s="676" t="str">
        <f>'Краевые Сосновоборск'!C48&amp;" "&amp;"(четыре дня)"</f>
        <v xml:space="preserve"> (четыре дня)</v>
      </c>
      <c r="F16" s="675"/>
      <c r="G16" s="675"/>
      <c r="H16" s="677"/>
      <c r="I16" s="678"/>
      <c r="J16" s="677"/>
      <c r="K16" s="677"/>
      <c r="L16" s="677"/>
      <c r="M16" s="677"/>
      <c r="N16" s="677"/>
      <c r="O16" s="677"/>
      <c r="P16" s="677"/>
      <c r="Q16" s="677"/>
      <c r="R16" s="677"/>
    </row>
    <row r="17" spans="1:18" s="374" customFormat="1" ht="20.25" customHeight="1" x14ac:dyDescent="0.3">
      <c r="A17" s="1208" t="s">
        <v>992</v>
      </c>
      <c r="B17" s="1208"/>
      <c r="C17" s="1208"/>
      <c r="D17" s="1208"/>
      <c r="E17" s="1208"/>
      <c r="F17" s="1208"/>
      <c r="G17" s="1208"/>
      <c r="H17" s="1208"/>
      <c r="I17" s="1208"/>
      <c r="J17" s="1208"/>
      <c r="K17" s="1208"/>
      <c r="L17" s="1208"/>
      <c r="M17" s="1208"/>
      <c r="N17" s="1208"/>
      <c r="O17" s="1208"/>
      <c r="P17" s="1208"/>
      <c r="Q17" s="1208"/>
    </row>
    <row r="18" spans="1:18" s="374" customFormat="1" ht="18" x14ac:dyDescent="0.35">
      <c r="A18" s="679" t="s">
        <v>993</v>
      </c>
      <c r="B18" s="680" t="s">
        <v>994</v>
      </c>
      <c r="E18" s="681">
        <v>3</v>
      </c>
      <c r="F18" s="677" t="s">
        <v>995</v>
      </c>
      <c r="G18" s="677"/>
      <c r="H18" s="682"/>
      <c r="I18" s="677"/>
      <c r="J18" s="677"/>
      <c r="K18" s="677"/>
      <c r="L18" s="677"/>
      <c r="M18" s="677"/>
      <c r="N18" s="677"/>
      <c r="O18" s="677"/>
      <c r="P18" s="677"/>
      <c r="Q18" s="677"/>
      <c r="R18" s="677"/>
    </row>
    <row r="19" spans="1:18" s="374" customFormat="1" ht="21" customHeight="1" x14ac:dyDescent="0.3">
      <c r="A19" s="668"/>
      <c r="E19" s="683" t="e">
        <f>COUNTIF('Краевые Сосновоборск'!#REF!,"*г.*")+COUNTIF('Краевые Сосновоборск'!#REF!,"*обл*")+COUNTIF('Краевые Сосновоборск'!#REF!,"*край*")+COUNTIF('Краевые Сосновоборск'!#REF!,"*город*")+COUNTIF('Краевые Сосновоборск'!#REF!,"*респ*")</f>
        <v>#REF!</v>
      </c>
      <c r="F19" s="671" t="s">
        <v>996</v>
      </c>
      <c r="G19" s="671"/>
      <c r="H19" s="684" t="e">
        <f>'Краевые Сосновоборск'!#REF!</f>
        <v>#REF!</v>
      </c>
      <c r="I19" s="671" t="s">
        <v>997</v>
      </c>
      <c r="J19" s="671"/>
      <c r="K19" s="671"/>
      <c r="L19" s="671"/>
      <c r="M19" s="671"/>
      <c r="N19" s="671"/>
      <c r="O19" s="671"/>
      <c r="P19" s="671"/>
      <c r="Q19" s="671"/>
      <c r="R19" s="671"/>
    </row>
    <row r="20" spans="1:18" s="374" customFormat="1" ht="15.6" x14ac:dyDescent="0.3">
      <c r="A20" s="668"/>
      <c r="E20" s="685" t="e">
        <f>'Краевые Сосновоборск'!#REF!</f>
        <v>#REF!</v>
      </c>
      <c r="J20" s="674" t="s">
        <v>998</v>
      </c>
      <c r="K20" s="686" t="e">
        <f>COUNTIF('Краевые Сосновоборск'!#REF!,E20)</f>
        <v>#REF!</v>
      </c>
      <c r="L20" s="374" t="s">
        <v>73</v>
      </c>
    </row>
    <row r="21" spans="1:18" s="374" customFormat="1" ht="17.399999999999999" x14ac:dyDescent="0.3">
      <c r="A21" s="668"/>
      <c r="E21" s="685" t="e">
        <f>'Краевые Сосновоборск'!#REF!</f>
        <v>#REF!</v>
      </c>
      <c r="F21" s="136"/>
      <c r="G21" s="136"/>
      <c r="H21" s="136"/>
      <c r="I21" s="136"/>
      <c r="J21" s="674" t="s">
        <v>998</v>
      </c>
      <c r="K21" s="686" t="e">
        <f>COUNTIF('Краевые Сосновоборск'!#REF!,E21)</f>
        <v>#REF!</v>
      </c>
      <c r="L21" s="374" t="s">
        <v>73</v>
      </c>
      <c r="M21" s="136"/>
      <c r="N21" s="136"/>
    </row>
    <row r="22" spans="1:18" s="374" customFormat="1" ht="17.399999999999999" x14ac:dyDescent="0.3">
      <c r="A22" s="668"/>
      <c r="E22" s="685" t="e">
        <f>'Краевые Сосновоборск'!#REF!</f>
        <v>#REF!</v>
      </c>
      <c r="F22" s="136"/>
      <c r="G22" s="136"/>
      <c r="H22" s="136"/>
      <c r="I22" s="136"/>
      <c r="J22" s="674" t="s">
        <v>998</v>
      </c>
      <c r="K22" s="686" t="e">
        <f>COUNTIF('Краевые Сосновоборск'!#REF!,E22)</f>
        <v>#REF!</v>
      </c>
      <c r="L22" s="374" t="s">
        <v>73</v>
      </c>
      <c r="M22" s="136"/>
      <c r="N22" s="136"/>
    </row>
    <row r="23" spans="1:18" s="374" customFormat="1" ht="17.399999999999999" x14ac:dyDescent="0.3">
      <c r="A23" s="668"/>
      <c r="E23" s="685" t="e">
        <f>'Краевые Сосновоборск'!#REF!</f>
        <v>#REF!</v>
      </c>
      <c r="F23" s="136"/>
      <c r="G23" s="136"/>
      <c r="H23" s="136"/>
      <c r="I23" s="136"/>
      <c r="J23" s="674" t="s">
        <v>998</v>
      </c>
      <c r="K23" s="686" t="e">
        <f>COUNTIF('Краевые Сосновоборск'!#REF!,E23)</f>
        <v>#REF!</v>
      </c>
      <c r="L23" s="374" t="s">
        <v>73</v>
      </c>
      <c r="M23" s="136"/>
      <c r="N23" s="136"/>
    </row>
    <row r="24" spans="1:18" s="374" customFormat="1" ht="17.399999999999999" x14ac:dyDescent="0.3">
      <c r="A24" s="668"/>
      <c r="E24" s="685" t="e">
        <f>'Краевые Сосновоборск'!#REF!</f>
        <v>#REF!</v>
      </c>
      <c r="F24" s="136"/>
      <c r="G24" s="136"/>
      <c r="H24" s="136"/>
      <c r="I24" s="136"/>
      <c r="J24" s="674" t="s">
        <v>998</v>
      </c>
      <c r="K24" s="686" t="e">
        <f>COUNTIF('Краевые Сосновоборск'!#REF!,E24)</f>
        <v>#REF!</v>
      </c>
      <c r="L24" s="374" t="s">
        <v>73</v>
      </c>
      <c r="M24" s="136"/>
      <c r="N24" s="136"/>
    </row>
    <row r="25" spans="1:18" s="374" customFormat="1" ht="17.399999999999999" x14ac:dyDescent="0.3">
      <c r="A25" s="668"/>
      <c r="E25" s="685" t="e">
        <f>'Краевые Сосновоборск'!#REF!</f>
        <v>#REF!</v>
      </c>
      <c r="F25" s="136"/>
      <c r="G25" s="136"/>
      <c r="H25" s="136"/>
      <c r="I25" s="136"/>
      <c r="J25" s="674" t="s">
        <v>998</v>
      </c>
      <c r="K25" s="686" t="e">
        <f>COUNTIF('Краевые Сосновоборск'!#REF!,E25)</f>
        <v>#REF!</v>
      </c>
      <c r="L25" s="374" t="s">
        <v>73</v>
      </c>
      <c r="M25" s="136"/>
      <c r="N25" s="136"/>
    </row>
    <row r="26" spans="1:18" s="374" customFormat="1" ht="17.399999999999999" x14ac:dyDescent="0.3">
      <c r="A26" s="668"/>
      <c r="E26" s="685" t="e">
        <f>'Краевые Сосновоборск'!#REF!</f>
        <v>#REF!</v>
      </c>
      <c r="F26" s="136"/>
      <c r="G26" s="136"/>
      <c r="H26" s="136"/>
      <c r="I26" s="136"/>
      <c r="J26" s="674" t="s">
        <v>998</v>
      </c>
      <c r="K26" s="686" t="e">
        <f>COUNTIF('Краевые Сосновоборск'!#REF!,E26)</f>
        <v>#REF!</v>
      </c>
      <c r="L26" s="374" t="s">
        <v>73</v>
      </c>
      <c r="M26" s="136"/>
      <c r="N26" s="136"/>
    </row>
    <row r="27" spans="1:18" s="374" customFormat="1" ht="17.399999999999999" x14ac:dyDescent="0.3">
      <c r="A27" s="668"/>
      <c r="E27" s="685" t="e">
        <f>'Краевые Сосновоборск'!#REF!</f>
        <v>#REF!</v>
      </c>
      <c r="F27" s="136"/>
      <c r="G27" s="136"/>
      <c r="H27" s="136"/>
      <c r="I27" s="136"/>
      <c r="J27" s="674" t="s">
        <v>998</v>
      </c>
      <c r="K27" s="686" t="e">
        <f>COUNTIF('Краевые Сосновоборск'!#REF!,E27)</f>
        <v>#REF!</v>
      </c>
      <c r="L27" s="374" t="s">
        <v>73</v>
      </c>
      <c r="M27" s="136"/>
      <c r="N27" s="136"/>
    </row>
    <row r="28" spans="1:18" s="374" customFormat="1" ht="17.399999999999999" x14ac:dyDescent="0.3">
      <c r="A28" s="668"/>
      <c r="E28" s="685" t="e">
        <f>'Краевые Сосновоборск'!#REF!</f>
        <v>#REF!</v>
      </c>
      <c r="F28" s="136"/>
      <c r="G28" s="136"/>
      <c r="H28" s="136"/>
      <c r="I28" s="136"/>
      <c r="J28" s="674" t="s">
        <v>998</v>
      </c>
      <c r="K28" s="686" t="e">
        <f>COUNTIF('Краевые Сосновоборск'!#REF!,E28)</f>
        <v>#REF!</v>
      </c>
      <c r="L28" s="374" t="s">
        <v>73</v>
      </c>
      <c r="M28" s="136"/>
      <c r="N28" s="136"/>
    </row>
    <row r="29" spans="1:18" s="374" customFormat="1" ht="18.75" customHeight="1" x14ac:dyDescent="0.3">
      <c r="A29" s="668"/>
      <c r="E29" s="685" t="e">
        <f>'Краевые Сосновоборск'!#REF!</f>
        <v>#REF!</v>
      </c>
      <c r="H29" s="385"/>
      <c r="J29" s="674" t="s">
        <v>998</v>
      </c>
      <c r="K29" s="686" t="e">
        <f>COUNTIF('Краевые Сосновоборск'!#REF!,E29)</f>
        <v>#REF!</v>
      </c>
      <c r="L29" s="374" t="s">
        <v>73</v>
      </c>
    </row>
    <row r="30" spans="1:18" s="374" customFormat="1" ht="18.75" customHeight="1" x14ac:dyDescent="0.3">
      <c r="A30" s="668"/>
      <c r="E30" s="685" t="e">
        <f>'Краевые Сосновоборск'!#REF!</f>
        <v>#REF!</v>
      </c>
      <c r="H30" s="385"/>
      <c r="J30" s="674" t="s">
        <v>998</v>
      </c>
      <c r="K30" s="686" t="e">
        <f>COUNTIF('Краевые Сосновоборск'!#REF!,E30)</f>
        <v>#REF!</v>
      </c>
      <c r="L30" s="374" t="s">
        <v>73</v>
      </c>
    </row>
    <row r="31" spans="1:18" s="374" customFormat="1" ht="18.75" customHeight="1" x14ac:dyDescent="0.3">
      <c r="A31" s="668"/>
      <c r="E31" s="685" t="e">
        <f>'Краевые Сосновоборск'!#REF!</f>
        <v>#REF!</v>
      </c>
      <c r="H31" s="385"/>
      <c r="J31" s="674" t="s">
        <v>998</v>
      </c>
      <c r="K31" s="686" t="e">
        <f>COUNTIF('Краевые Сосновоборск'!#REF!,E31)</f>
        <v>#REF!</v>
      </c>
      <c r="L31" s="374" t="s">
        <v>73</v>
      </c>
    </row>
    <row r="32" spans="1:18" s="374" customFormat="1" ht="18.75" customHeight="1" x14ac:dyDescent="0.3">
      <c r="A32" s="668"/>
      <c r="E32" s="685" t="e">
        <f>'Краевые Сосновоборск'!#REF!</f>
        <v>#REF!</v>
      </c>
      <c r="H32" s="385"/>
      <c r="J32" s="674" t="s">
        <v>998</v>
      </c>
      <c r="K32" s="686" t="e">
        <f>COUNTIF('Краевые Сосновоборск'!#REF!,E32)</f>
        <v>#REF!</v>
      </c>
      <c r="L32" s="374" t="s">
        <v>73</v>
      </c>
    </row>
    <row r="33" spans="1:18" s="374" customFormat="1" ht="17.399999999999999" x14ac:dyDescent="0.3">
      <c r="A33" s="668"/>
      <c r="E33" s="685" t="e">
        <f>'Краевые Сосновоборск'!#REF!</f>
        <v>#REF!</v>
      </c>
      <c r="F33" s="136"/>
      <c r="G33" s="136"/>
      <c r="H33" s="136"/>
      <c r="I33" s="136"/>
      <c r="J33" s="674" t="s">
        <v>998</v>
      </c>
      <c r="K33" s="686" t="e">
        <f>COUNTIF('Краевые Сосновоборск'!#REF!,E33)</f>
        <v>#REF!</v>
      </c>
      <c r="L33" s="374" t="s">
        <v>73</v>
      </c>
      <c r="M33" s="136"/>
      <c r="N33" s="136"/>
    </row>
    <row r="34" spans="1:18" s="374" customFormat="1" ht="17.399999999999999" x14ac:dyDescent="0.3">
      <c r="A34" s="668"/>
      <c r="E34" s="685" t="e">
        <f>'Краевые Сосновоборск'!#REF!</f>
        <v>#REF!</v>
      </c>
      <c r="F34" s="136"/>
      <c r="G34" s="136"/>
      <c r="H34" s="136"/>
      <c r="I34" s="136"/>
      <c r="J34" s="674" t="s">
        <v>998</v>
      </c>
      <c r="K34" s="686" t="e">
        <f>COUNTIF('Краевые Сосновоборск'!#REF!,E34)</f>
        <v>#REF!</v>
      </c>
      <c r="L34" s="374" t="s">
        <v>73</v>
      </c>
      <c r="M34" s="136"/>
      <c r="N34" s="136"/>
    </row>
    <row r="35" spans="1:18" s="374" customFormat="1" ht="17.399999999999999" x14ac:dyDescent="0.3">
      <c r="A35" s="668"/>
      <c r="E35" s="685" t="e">
        <f>'Краевые Сосновоборск'!#REF!</f>
        <v>#REF!</v>
      </c>
      <c r="F35" s="136"/>
      <c r="G35" s="136"/>
      <c r="H35" s="136"/>
      <c r="I35" s="136"/>
      <c r="J35" s="674" t="s">
        <v>998</v>
      </c>
      <c r="K35" s="686" t="e">
        <f>COUNTIF('Краевые Сосновоборск'!#REF!,E35)</f>
        <v>#REF!</v>
      </c>
      <c r="L35" s="374" t="s">
        <v>73</v>
      </c>
      <c r="M35" s="136"/>
      <c r="N35" s="136"/>
    </row>
    <row r="36" spans="1:18" s="374" customFormat="1" ht="18.75" customHeight="1" x14ac:dyDescent="0.3">
      <c r="A36" s="668"/>
      <c r="E36" s="685" t="e">
        <f>'Краевые Сосновоборск'!#REF!</f>
        <v>#REF!</v>
      </c>
      <c r="H36" s="385"/>
      <c r="J36" s="674" t="s">
        <v>998</v>
      </c>
      <c r="K36" s="686" t="e">
        <f>COUNTIF('Краевые Сосновоборск'!#REF!,E36)</f>
        <v>#REF!</v>
      </c>
      <c r="L36" s="374" t="s">
        <v>73</v>
      </c>
    </row>
    <row r="37" spans="1:18" s="374" customFormat="1" ht="18.75" customHeight="1" x14ac:dyDescent="0.3">
      <c r="A37" s="668"/>
      <c r="E37" s="685" t="e">
        <f>'Краевые Сосновоборск'!#REF!</f>
        <v>#REF!</v>
      </c>
      <c r="H37" s="385"/>
      <c r="J37" s="674" t="s">
        <v>998</v>
      </c>
      <c r="K37" s="686" t="e">
        <f>COUNTIF('Краевые Сосновоборск'!#REF!,E37)</f>
        <v>#REF!</v>
      </c>
      <c r="L37" s="374" t="s">
        <v>73</v>
      </c>
    </row>
    <row r="38" spans="1:18" s="374" customFormat="1" ht="18.75" customHeight="1" x14ac:dyDescent="0.3">
      <c r="A38" s="668"/>
      <c r="E38" s="685" t="e">
        <f>'Краевые Сосновоборск'!#REF!</f>
        <v>#REF!</v>
      </c>
      <c r="H38" s="385"/>
      <c r="J38" s="674" t="s">
        <v>998</v>
      </c>
      <c r="K38" s="686" t="e">
        <f>COUNTIF('Краевые Сосновоборск'!#REF!,E38)</f>
        <v>#REF!</v>
      </c>
      <c r="L38" s="374" t="s">
        <v>73</v>
      </c>
    </row>
    <row r="39" spans="1:18" s="374" customFormat="1" ht="18.75" customHeight="1" x14ac:dyDescent="0.3">
      <c r="A39" s="668"/>
      <c r="E39" s="685" t="e">
        <f>'Краевые Сосновоборск'!#REF!</f>
        <v>#REF!</v>
      </c>
      <c r="H39" s="385"/>
      <c r="J39" s="674" t="s">
        <v>998</v>
      </c>
      <c r="K39" s="686" t="e">
        <f>COUNTIF('Краевые Сосновоборск'!#REF!,E39)</f>
        <v>#REF!</v>
      </c>
      <c r="L39" s="374" t="s">
        <v>73</v>
      </c>
    </row>
    <row r="40" spans="1:18" s="374" customFormat="1" ht="18.75" customHeight="1" x14ac:dyDescent="0.3">
      <c r="A40" s="668"/>
      <c r="E40" s="687"/>
      <c r="H40" s="385"/>
    </row>
    <row r="41" spans="1:18" s="374" customFormat="1" ht="18.75" customHeight="1" x14ac:dyDescent="0.3">
      <c r="A41" s="1220" t="s">
        <v>999</v>
      </c>
      <c r="B41" s="1220"/>
      <c r="C41" s="1220"/>
      <c r="D41" s="1220" t="s">
        <v>345</v>
      </c>
      <c r="E41" s="1239" t="s">
        <v>1000</v>
      </c>
      <c r="F41" s="1239"/>
      <c r="G41" s="1239"/>
      <c r="H41" s="1239"/>
      <c r="I41" s="1239"/>
      <c r="J41" s="1239"/>
      <c r="K41" s="1239"/>
      <c r="L41" s="1239"/>
      <c r="M41" s="1239"/>
      <c r="N41" s="1239"/>
      <c r="O41" s="1239"/>
      <c r="P41" s="1239"/>
      <c r="Q41" s="1239"/>
      <c r="R41" s="1239"/>
    </row>
    <row r="42" spans="1:18" s="374" customFormat="1" ht="30.75" customHeight="1" x14ac:dyDescent="0.3">
      <c r="A42" s="1220"/>
      <c r="B42" s="1220"/>
      <c r="C42" s="1220"/>
      <c r="D42" s="1220"/>
      <c r="E42" s="1239" t="s">
        <v>31</v>
      </c>
      <c r="F42" s="1239"/>
      <c r="G42" s="1220" t="s">
        <v>32</v>
      </c>
      <c r="H42" s="1220"/>
      <c r="I42" s="1220" t="s">
        <v>33</v>
      </c>
      <c r="J42" s="1220"/>
      <c r="K42" s="1220" t="s">
        <v>6</v>
      </c>
      <c r="L42" s="1220"/>
      <c r="M42" s="1220" t="s">
        <v>23</v>
      </c>
      <c r="N42" s="1220"/>
      <c r="O42" s="1220" t="s">
        <v>24</v>
      </c>
      <c r="P42" s="1220"/>
      <c r="Q42" s="1240" t="s">
        <v>1001</v>
      </c>
      <c r="R42" s="1240"/>
    </row>
    <row r="43" spans="1:18" s="374" customFormat="1" ht="18" x14ac:dyDescent="0.35">
      <c r="A43" s="1230" t="s">
        <v>112</v>
      </c>
      <c r="B43" s="1230"/>
      <c r="C43" s="1230"/>
      <c r="D43" s="688" t="e">
        <f>COUNTIF('Краевые Сосновоборск'!#REF!,"Ж")</f>
        <v>#REF!</v>
      </c>
      <c r="E43" s="1227" t="e">
        <f>COUNTIFS('Краевые Сосновоборск'!#REF!,E42,'Краевые Сосновоборск'!#REF!,"Ж")</f>
        <v>#REF!</v>
      </c>
      <c r="F43" s="1227"/>
      <c r="G43" s="1227" t="e">
        <f>COUNTIFS('Краевые Сосновоборск'!#REF!,G42,'Краевые Сосновоборск'!#REF!,"Ж")</f>
        <v>#REF!</v>
      </c>
      <c r="H43" s="1227"/>
      <c r="I43" s="1227" t="e">
        <f>COUNTIFS('Краевые Сосновоборск'!#REF!,I42,'Краевые Сосновоборск'!#REF!,"Ж")</f>
        <v>#REF!</v>
      </c>
      <c r="J43" s="1227"/>
      <c r="K43" s="1227" t="e">
        <f>COUNTIFS('Краевые Сосновоборск'!#REF!,K42,'Краевые Сосновоборск'!#REF!,"Ж")</f>
        <v>#REF!</v>
      </c>
      <c r="L43" s="1227"/>
      <c r="M43" s="1227" t="e">
        <f>COUNTIFS('Краевые Сосновоборск'!#REF!,M42,'Краевые Сосновоборск'!#REF!,"Ж")</f>
        <v>#REF!</v>
      </c>
      <c r="N43" s="1227"/>
      <c r="O43" s="1227" t="e">
        <f>COUNTIFS('Краевые Сосновоборск'!#REF!,O42,'Краевые Сосновоборск'!#REF!,"Ж")</f>
        <v>#REF!</v>
      </c>
      <c r="P43" s="1227"/>
      <c r="Q43" s="1227" t="e">
        <f>COUNTIFS('Краевые Сосновоборск'!#REF!,"I юн",'Краевые Сосновоборск'!#REF!,"Ж")+COUNTIFS('Краевые Сосновоборск'!#REF!,"II юн",'Краевые Сосновоборск'!#REF!,"Ж")+COUNTIFS('Краевые Сосновоборск'!#REF!,"III юн",'Краевые Сосновоборск'!#REF!,"Ж")</f>
        <v>#REF!</v>
      </c>
      <c r="R43" s="1227"/>
    </row>
    <row r="44" spans="1:18" s="374" customFormat="1" ht="18" x14ac:dyDescent="0.35">
      <c r="A44" s="1230" t="s">
        <v>113</v>
      </c>
      <c r="B44" s="1230"/>
      <c r="C44" s="1230"/>
      <c r="D44" s="688" t="e">
        <f>COUNTIF('Краевые Сосновоборск'!#REF!,"М")</f>
        <v>#REF!</v>
      </c>
      <c r="E44" s="1227" t="e">
        <f>COUNTIFS('Краевые Сосновоборск'!#REF!,E42,'Краевые Сосновоборск'!#REF!,"М")</f>
        <v>#REF!</v>
      </c>
      <c r="F44" s="1227"/>
      <c r="G44" s="1227" t="e">
        <f>COUNTIFS('Краевые Сосновоборск'!#REF!,G42,'Краевые Сосновоборск'!#REF!,"М")</f>
        <v>#REF!</v>
      </c>
      <c r="H44" s="1227"/>
      <c r="I44" s="1227" t="e">
        <f>COUNTIFS('Краевые Сосновоборск'!#REF!,I42,'Краевые Сосновоборск'!#REF!,"М")</f>
        <v>#REF!</v>
      </c>
      <c r="J44" s="1227"/>
      <c r="K44" s="1227" t="e">
        <f>COUNTIFS('Краевые Сосновоборск'!#REF!,K42,'Краевые Сосновоборск'!#REF!,"М")</f>
        <v>#REF!</v>
      </c>
      <c r="L44" s="1227"/>
      <c r="M44" s="1227" t="e">
        <f>COUNTIFS('Краевые Сосновоборск'!#REF!,M42,'Краевые Сосновоборск'!#REF!,"М")</f>
        <v>#REF!</v>
      </c>
      <c r="N44" s="1227"/>
      <c r="O44" s="1227" t="e">
        <f>COUNTIFS('Краевые Сосновоборск'!#REF!,O42,'Краевые Сосновоборск'!#REF!,"М")</f>
        <v>#REF!</v>
      </c>
      <c r="P44" s="1227"/>
      <c r="Q44" s="1227" t="e">
        <f>COUNTIFS('Краевые Сосновоборск'!#REF!,"I юн",'Краевые Сосновоборск'!#REF!,"М")+COUNTIFS('Краевые Сосновоборск'!#REF!,"II юн",'Краевые Сосновоборск'!#REF!,"М")+COUNTIFS('Краевые Сосновоборск'!#REF!,"III юн",'Краевые Сосновоборск'!#REF!,"М")</f>
        <v>#REF!</v>
      </c>
      <c r="R44" s="1227"/>
    </row>
    <row r="45" spans="1:18" s="374" customFormat="1" ht="19.5" customHeight="1" x14ac:dyDescent="0.35">
      <c r="A45" s="1228" t="s">
        <v>1002</v>
      </c>
      <c r="B45" s="1228"/>
      <c r="C45" s="1228"/>
      <c r="D45" s="766" t="e">
        <f>SUM(D43:D44)</f>
        <v>#REF!</v>
      </c>
      <c r="E45" s="1229" t="e">
        <f>SUM(E43:F44)</f>
        <v>#REF!</v>
      </c>
      <c r="F45" s="1229"/>
      <c r="G45" s="1229" t="e">
        <f>SUM(G43:H44)</f>
        <v>#REF!</v>
      </c>
      <c r="H45" s="1229"/>
      <c r="I45" s="1229" t="e">
        <f>SUM(I43:J44)</f>
        <v>#REF!</v>
      </c>
      <c r="J45" s="1229"/>
      <c r="K45" s="1229" t="e">
        <f>SUM(K43:L44)</f>
        <v>#REF!</v>
      </c>
      <c r="L45" s="1229"/>
      <c r="M45" s="1229" t="e">
        <f>SUM(M43:N44)</f>
        <v>#REF!</v>
      </c>
      <c r="N45" s="1229"/>
      <c r="O45" s="1229" t="e">
        <f>SUM(O43:P44)</f>
        <v>#REF!</v>
      </c>
      <c r="P45" s="1229"/>
      <c r="Q45" s="1229" t="e">
        <f>SUM(Q44:R44)</f>
        <v>#REF!</v>
      </c>
      <c r="R45" s="1229"/>
    </row>
    <row r="46" spans="1:18" s="374" customFormat="1" ht="24" customHeight="1" x14ac:dyDescent="0.35">
      <c r="A46" s="689" t="s">
        <v>1003</v>
      </c>
      <c r="B46" s="413"/>
      <c r="C46" s="413"/>
      <c r="D46" s="413"/>
      <c r="E46" s="413"/>
      <c r="F46" s="413"/>
      <c r="G46" s="679"/>
      <c r="H46" s="413"/>
      <c r="I46" s="413"/>
      <c r="J46" s="413"/>
      <c r="K46" s="413"/>
      <c r="L46" s="413"/>
      <c r="M46" s="1231">
        <v>150</v>
      </c>
      <c r="N46" s="1231"/>
      <c r="O46" s="385" t="s">
        <v>402</v>
      </c>
      <c r="P46" s="385"/>
      <c r="Q46" s="385"/>
    </row>
    <row r="47" spans="1:18" s="374" customFormat="1" ht="20.25" customHeight="1" x14ac:dyDescent="0.35">
      <c r="A47" s="689"/>
      <c r="B47" s="385"/>
      <c r="C47" s="385"/>
      <c r="D47" s="385"/>
      <c r="E47" s="385"/>
      <c r="F47" s="385"/>
      <c r="G47" s="385"/>
      <c r="H47" s="385"/>
      <c r="I47" s="385"/>
      <c r="J47" s="690"/>
      <c r="K47" s="679"/>
      <c r="L47" s="385"/>
      <c r="M47" s="679"/>
      <c r="N47" s="385"/>
      <c r="O47" s="679"/>
      <c r="P47" s="385"/>
      <c r="Q47" s="385"/>
    </row>
    <row r="48" spans="1:18" s="374" customFormat="1" ht="18" x14ac:dyDescent="0.35">
      <c r="A48" s="679" t="s">
        <v>1004</v>
      </c>
      <c r="B48" s="680" t="s">
        <v>1005</v>
      </c>
      <c r="C48" s="385"/>
      <c r="D48" s="385"/>
      <c r="E48" s="385"/>
      <c r="F48" s="385"/>
      <c r="G48" s="385"/>
      <c r="H48" s="385"/>
      <c r="I48" s="385"/>
      <c r="J48" s="385"/>
      <c r="K48" s="385"/>
      <c r="L48" s="385"/>
      <c r="M48" s="385"/>
      <c r="N48" s="385"/>
      <c r="O48" s="385"/>
      <c r="P48" s="385"/>
      <c r="Q48" s="385"/>
    </row>
    <row r="49" spans="1:19" s="374" customFormat="1" ht="36" customHeight="1" x14ac:dyDescent="0.3">
      <c r="A49" s="1232" t="s">
        <v>1006</v>
      </c>
      <c r="B49" s="1232"/>
      <c r="C49" s="1232"/>
      <c r="D49" s="1232"/>
      <c r="E49" s="1232"/>
      <c r="F49" s="1232"/>
      <c r="G49" s="1232"/>
      <c r="H49" s="1232"/>
      <c r="I49" s="1232"/>
      <c r="J49" s="1232"/>
      <c r="K49" s="1232"/>
      <c r="L49" s="1232"/>
      <c r="M49" s="1232"/>
      <c r="N49" s="1232"/>
      <c r="O49" s="1232"/>
      <c r="P49" s="1232"/>
      <c r="Q49" s="1232"/>
      <c r="R49" s="1232"/>
    </row>
    <row r="50" spans="1:19" s="374" customFormat="1" ht="15.6" x14ac:dyDescent="0.3">
      <c r="A50" s="387"/>
      <c r="B50" s="1218"/>
      <c r="C50" s="1218"/>
      <c r="D50" s="1218"/>
      <c r="E50" s="1218"/>
      <c r="F50" s="1218"/>
      <c r="G50" s="1218"/>
      <c r="H50" s="1218"/>
      <c r="I50" s="1218"/>
      <c r="J50" s="1218"/>
      <c r="K50" s="1218"/>
      <c r="L50" s="1218"/>
      <c r="M50" s="1218"/>
      <c r="N50" s="1218"/>
      <c r="O50" s="1218"/>
      <c r="S50" s="669"/>
    </row>
    <row r="51" spans="1:19" s="374" customFormat="1" ht="18" x14ac:dyDescent="0.35">
      <c r="A51" s="679" t="s">
        <v>1007</v>
      </c>
      <c r="B51" s="680" t="s">
        <v>1008</v>
      </c>
      <c r="C51" s="385"/>
      <c r="D51" s="385"/>
      <c r="E51" s="385"/>
      <c r="F51" s="385"/>
      <c r="G51" s="385"/>
      <c r="H51" s="385"/>
      <c r="I51" s="385"/>
      <c r="J51" s="385"/>
      <c r="K51" s="385"/>
      <c r="L51" s="385"/>
      <c r="M51" s="385"/>
      <c r="N51" s="385"/>
      <c r="O51" s="385"/>
      <c r="P51" s="385"/>
      <c r="Q51" s="385"/>
    </row>
    <row r="52" spans="1:19" s="374" customFormat="1" ht="15.6" x14ac:dyDescent="0.3">
      <c r="A52" s="668"/>
    </row>
    <row r="53" spans="1:19" s="374" customFormat="1" ht="19.5" customHeight="1" x14ac:dyDescent="0.3">
      <c r="A53" s="1219" t="s">
        <v>26</v>
      </c>
      <c r="B53" s="1220" t="s">
        <v>1009</v>
      </c>
      <c r="C53" s="1220"/>
      <c r="D53" s="1220"/>
      <c r="E53" s="1220"/>
      <c r="F53" s="1220"/>
      <c r="G53" s="1220"/>
      <c r="H53" s="1220"/>
      <c r="I53" s="1220"/>
      <c r="J53" s="1221" t="s">
        <v>1010</v>
      </c>
      <c r="K53" s="1222"/>
      <c r="L53" s="1222"/>
      <c r="M53" s="1222"/>
      <c r="N53" s="1222"/>
      <c r="O53" s="1222"/>
      <c r="P53" s="1222"/>
      <c r="Q53" s="1222"/>
      <c r="R53" s="1223"/>
    </row>
    <row r="54" spans="1:19" s="374" customFormat="1" ht="26.25" customHeight="1" x14ac:dyDescent="0.3">
      <c r="A54" s="1219"/>
      <c r="B54" s="1220"/>
      <c r="C54" s="1220"/>
      <c r="D54" s="1220"/>
      <c r="E54" s="1220"/>
      <c r="F54" s="1220"/>
      <c r="G54" s="1220"/>
      <c r="H54" s="1220"/>
      <c r="I54" s="1220"/>
      <c r="J54" s="1224"/>
      <c r="K54" s="1225"/>
      <c r="L54" s="1225"/>
      <c r="M54" s="1225"/>
      <c r="N54" s="1225"/>
      <c r="O54" s="1225"/>
      <c r="P54" s="1225"/>
      <c r="Q54" s="1225"/>
      <c r="R54" s="1226"/>
    </row>
    <row r="55" spans="1:19" s="374" customFormat="1" ht="18" x14ac:dyDescent="0.35">
      <c r="A55" s="708">
        <v>1</v>
      </c>
      <c r="B55" s="704" t="e">
        <f>'Краевые Сосновоборск'!#REF!</f>
        <v>#REF!</v>
      </c>
      <c r="C55" s="705"/>
      <c r="D55" s="706"/>
      <c r="E55" s="706"/>
      <c r="F55" s="706"/>
      <c r="G55" s="706"/>
      <c r="H55" s="706"/>
      <c r="I55" s="707"/>
      <c r="J55" s="1214" t="s">
        <v>1011</v>
      </c>
      <c r="K55" s="1214"/>
      <c r="L55" s="1214"/>
      <c r="M55" s="1214"/>
      <c r="N55" s="1214"/>
      <c r="O55" s="1214"/>
      <c r="P55" s="1214"/>
      <c r="Q55" s="1214"/>
      <c r="R55" s="1215"/>
    </row>
    <row r="56" spans="1:19" s="374" customFormat="1" ht="18" x14ac:dyDescent="0.35">
      <c r="A56" s="691">
        <v>2</v>
      </c>
      <c r="B56" s="692" t="e">
        <f>'Краевые Сосновоборск'!#REF!</f>
        <v>#REF!</v>
      </c>
      <c r="C56" s="693"/>
      <c r="D56" s="413"/>
      <c r="E56" s="413"/>
      <c r="F56" s="413"/>
      <c r="G56" s="413"/>
      <c r="H56" s="413"/>
      <c r="I56" s="694"/>
      <c r="J56" s="1214"/>
      <c r="K56" s="1214"/>
      <c r="L56" s="1214"/>
      <c r="M56" s="1214"/>
      <c r="N56" s="1214"/>
      <c r="O56" s="1214"/>
      <c r="P56" s="1214"/>
      <c r="Q56" s="1214"/>
      <c r="R56" s="1215"/>
    </row>
    <row r="57" spans="1:19" s="374" customFormat="1" ht="18" x14ac:dyDescent="0.35">
      <c r="A57" s="691">
        <v>3</v>
      </c>
      <c r="B57" s="692" t="e">
        <f>'Краевые Сосновоборск'!#REF!</f>
        <v>#REF!</v>
      </c>
      <c r="C57" s="693"/>
      <c r="D57" s="413"/>
      <c r="E57" s="413"/>
      <c r="F57" s="413"/>
      <c r="G57" s="413"/>
      <c r="H57" s="413"/>
      <c r="I57" s="694"/>
      <c r="J57" s="1214"/>
      <c r="K57" s="1214"/>
      <c r="L57" s="1214"/>
      <c r="M57" s="1214"/>
      <c r="N57" s="1214"/>
      <c r="O57" s="1214"/>
      <c r="P57" s="1214"/>
      <c r="Q57" s="1214"/>
      <c r="R57" s="1215"/>
    </row>
    <row r="58" spans="1:19" s="374" customFormat="1" ht="18" x14ac:dyDescent="0.35">
      <c r="A58" s="691">
        <v>4</v>
      </c>
      <c r="B58" s="692" t="e">
        <f>'Краевые Сосновоборск'!#REF!</f>
        <v>#REF!</v>
      </c>
      <c r="C58" s="693"/>
      <c r="D58" s="413"/>
      <c r="E58" s="413"/>
      <c r="F58" s="413"/>
      <c r="G58" s="413"/>
      <c r="H58" s="413"/>
      <c r="I58" s="694"/>
      <c r="J58" s="1214"/>
      <c r="K58" s="1214"/>
      <c r="L58" s="1214"/>
      <c r="M58" s="1214"/>
      <c r="N58" s="1214"/>
      <c r="O58" s="1214"/>
      <c r="P58" s="1214"/>
      <c r="Q58" s="1214"/>
      <c r="R58" s="1215"/>
    </row>
    <row r="59" spans="1:19" s="374" customFormat="1" ht="18" x14ac:dyDescent="0.35">
      <c r="A59" s="691">
        <v>5</v>
      </c>
      <c r="B59" s="692" t="e">
        <f>'Краевые Сосновоборск'!#REF!</f>
        <v>#REF!</v>
      </c>
      <c r="C59" s="693"/>
      <c r="D59" s="413"/>
      <c r="E59" s="413"/>
      <c r="F59" s="413"/>
      <c r="G59" s="413"/>
      <c r="H59" s="413"/>
      <c r="I59" s="694"/>
      <c r="J59" s="1214"/>
      <c r="K59" s="1214"/>
      <c r="L59" s="1214"/>
      <c r="M59" s="1214"/>
      <c r="N59" s="1214"/>
      <c r="O59" s="1214"/>
      <c r="P59" s="1214"/>
      <c r="Q59" s="1214"/>
      <c r="R59" s="1215"/>
    </row>
    <row r="60" spans="1:19" s="374" customFormat="1" ht="18" x14ac:dyDescent="0.35">
      <c r="A60" s="691">
        <v>6</v>
      </c>
      <c r="B60" s="692" t="e">
        <f>'Краевые Сосновоборск'!#REF!</f>
        <v>#REF!</v>
      </c>
      <c r="C60" s="693"/>
      <c r="D60" s="413"/>
      <c r="E60" s="413"/>
      <c r="F60" s="413"/>
      <c r="G60" s="413"/>
      <c r="H60" s="413"/>
      <c r="I60" s="694"/>
      <c r="J60" s="1214"/>
      <c r="K60" s="1214"/>
      <c r="L60" s="1214"/>
      <c r="M60" s="1214"/>
      <c r="N60" s="1214"/>
      <c r="O60" s="1214"/>
      <c r="P60" s="1214"/>
      <c r="Q60" s="1214"/>
      <c r="R60" s="1215"/>
    </row>
    <row r="61" spans="1:19" s="374" customFormat="1" ht="18" x14ac:dyDescent="0.35">
      <c r="A61" s="691">
        <v>7</v>
      </c>
      <c r="B61" s="692" t="e">
        <f>'Краевые Сосновоборск'!#REF!</f>
        <v>#REF!</v>
      </c>
      <c r="C61" s="693"/>
      <c r="D61" s="413"/>
      <c r="E61" s="413"/>
      <c r="F61" s="413"/>
      <c r="G61" s="413"/>
      <c r="H61" s="413"/>
      <c r="I61" s="694"/>
      <c r="J61" s="1214"/>
      <c r="K61" s="1214"/>
      <c r="L61" s="1214"/>
      <c r="M61" s="1214"/>
      <c r="N61" s="1214"/>
      <c r="O61" s="1214"/>
      <c r="P61" s="1214"/>
      <c r="Q61" s="1214"/>
      <c r="R61" s="1215"/>
    </row>
    <row r="62" spans="1:19" s="374" customFormat="1" ht="18" x14ac:dyDescent="0.35">
      <c r="A62" s="691">
        <v>8</v>
      </c>
      <c r="B62" s="692" t="e">
        <f>'Краевые Сосновоборск'!#REF!</f>
        <v>#REF!</v>
      </c>
      <c r="C62" s="693"/>
      <c r="D62" s="413"/>
      <c r="E62" s="413"/>
      <c r="F62" s="413"/>
      <c r="G62" s="413"/>
      <c r="H62" s="413"/>
      <c r="I62" s="694"/>
      <c r="J62" s="1214"/>
      <c r="K62" s="1214"/>
      <c r="L62" s="1214"/>
      <c r="M62" s="1214"/>
      <c r="N62" s="1214"/>
      <c r="O62" s="1214"/>
      <c r="P62" s="1214"/>
      <c r="Q62" s="1214"/>
      <c r="R62" s="1215"/>
    </row>
    <row r="63" spans="1:19" s="374" customFormat="1" ht="18" x14ac:dyDescent="0.35">
      <c r="A63" s="691">
        <v>9</v>
      </c>
      <c r="B63" s="692" t="e">
        <f>'Краевые Сосновоборск'!#REF!</f>
        <v>#REF!</v>
      </c>
      <c r="C63" s="693"/>
      <c r="D63" s="413"/>
      <c r="E63" s="413"/>
      <c r="F63" s="413"/>
      <c r="G63" s="413"/>
      <c r="H63" s="413"/>
      <c r="I63" s="694"/>
      <c r="J63" s="1214"/>
      <c r="K63" s="1214"/>
      <c r="L63" s="1214"/>
      <c r="M63" s="1214"/>
      <c r="N63" s="1214"/>
      <c r="O63" s="1214"/>
      <c r="P63" s="1214"/>
      <c r="Q63" s="1214"/>
      <c r="R63" s="1215"/>
    </row>
    <row r="64" spans="1:19" s="374" customFormat="1" ht="18" x14ac:dyDescent="0.35">
      <c r="A64" s="691">
        <v>10</v>
      </c>
      <c r="B64" s="692" t="e">
        <f>'Краевые Сосновоборск'!#REF!</f>
        <v>#REF!</v>
      </c>
      <c r="C64" s="693"/>
      <c r="D64" s="413"/>
      <c r="E64" s="413"/>
      <c r="F64" s="413"/>
      <c r="G64" s="413"/>
      <c r="H64" s="413"/>
      <c r="I64" s="694"/>
      <c r="J64" s="1214"/>
      <c r="K64" s="1214"/>
      <c r="L64" s="1214"/>
      <c r="M64" s="1214"/>
      <c r="N64" s="1214"/>
      <c r="O64" s="1214"/>
      <c r="P64" s="1214"/>
      <c r="Q64" s="1214"/>
      <c r="R64" s="1215"/>
    </row>
    <row r="65" spans="1:18" s="374" customFormat="1" ht="18" x14ac:dyDescent="0.35">
      <c r="A65" s="691">
        <v>3</v>
      </c>
      <c r="B65" s="692" t="e">
        <f>'Краевые Сосновоборск'!#REF!</f>
        <v>#REF!</v>
      </c>
      <c r="C65" s="693"/>
      <c r="D65" s="413"/>
      <c r="E65" s="413"/>
      <c r="F65" s="413"/>
      <c r="G65" s="413"/>
      <c r="H65" s="413"/>
      <c r="I65" s="694"/>
      <c r="J65" s="1214"/>
      <c r="K65" s="1214"/>
      <c r="L65" s="1214"/>
      <c r="M65" s="1214"/>
      <c r="N65" s="1214"/>
      <c r="O65" s="1214"/>
      <c r="P65" s="1214"/>
      <c r="Q65" s="1214"/>
      <c r="R65" s="1215"/>
    </row>
    <row r="66" spans="1:18" s="374" customFormat="1" ht="18" x14ac:dyDescent="0.35">
      <c r="A66" s="691">
        <v>4</v>
      </c>
      <c r="B66" s="692" t="e">
        <f>'Краевые Сосновоборск'!#REF!</f>
        <v>#REF!</v>
      </c>
      <c r="C66" s="693"/>
      <c r="D66" s="413"/>
      <c r="E66" s="413"/>
      <c r="F66" s="413"/>
      <c r="G66" s="413"/>
      <c r="H66" s="413"/>
      <c r="I66" s="694"/>
      <c r="J66" s="1214"/>
      <c r="K66" s="1214"/>
      <c r="L66" s="1214"/>
      <c r="M66" s="1214"/>
      <c r="N66" s="1214"/>
      <c r="O66" s="1214"/>
      <c r="P66" s="1214"/>
      <c r="Q66" s="1214"/>
      <c r="R66" s="1215"/>
    </row>
    <row r="67" spans="1:18" s="374" customFormat="1" ht="18" x14ac:dyDescent="0.35">
      <c r="A67" s="691">
        <v>5</v>
      </c>
      <c r="B67" s="692" t="e">
        <f>'Краевые Сосновоборск'!#REF!</f>
        <v>#REF!</v>
      </c>
      <c r="C67" s="693"/>
      <c r="D67" s="413"/>
      <c r="E67" s="413"/>
      <c r="F67" s="413"/>
      <c r="G67" s="413"/>
      <c r="H67" s="413"/>
      <c r="I67" s="694"/>
      <c r="J67" s="1214"/>
      <c r="K67" s="1214"/>
      <c r="L67" s="1214"/>
      <c r="M67" s="1214"/>
      <c r="N67" s="1214"/>
      <c r="O67" s="1214"/>
      <c r="P67" s="1214"/>
      <c r="Q67" s="1214"/>
      <c r="R67" s="1215"/>
    </row>
    <row r="68" spans="1:18" s="374" customFormat="1" ht="18" x14ac:dyDescent="0.35">
      <c r="A68" s="691">
        <v>6</v>
      </c>
      <c r="B68" s="692" t="e">
        <f>'Краевые Сосновоборск'!#REF!</f>
        <v>#REF!</v>
      </c>
      <c r="C68" s="693"/>
      <c r="D68" s="413"/>
      <c r="E68" s="413"/>
      <c r="F68" s="413"/>
      <c r="G68" s="413"/>
      <c r="H68" s="413"/>
      <c r="I68" s="694"/>
      <c r="J68" s="1214"/>
      <c r="K68" s="1214"/>
      <c r="L68" s="1214"/>
      <c r="M68" s="1214"/>
      <c r="N68" s="1214"/>
      <c r="O68" s="1214"/>
      <c r="P68" s="1214"/>
      <c r="Q68" s="1214"/>
      <c r="R68" s="1215"/>
    </row>
    <row r="69" spans="1:18" s="374" customFormat="1" ht="18" x14ac:dyDescent="0.35">
      <c r="A69" s="691">
        <v>7</v>
      </c>
      <c r="B69" s="692" t="e">
        <f>'Краевые Сосновоборск'!#REF!</f>
        <v>#REF!</v>
      </c>
      <c r="C69" s="693"/>
      <c r="D69" s="413"/>
      <c r="E69" s="413"/>
      <c r="F69" s="413"/>
      <c r="G69" s="413"/>
      <c r="H69" s="413"/>
      <c r="I69" s="694"/>
      <c r="J69" s="1214"/>
      <c r="K69" s="1214"/>
      <c r="L69" s="1214"/>
      <c r="M69" s="1214"/>
      <c r="N69" s="1214"/>
      <c r="O69" s="1214"/>
      <c r="P69" s="1214"/>
      <c r="Q69" s="1214"/>
      <c r="R69" s="1215"/>
    </row>
    <row r="70" spans="1:18" s="374" customFormat="1" ht="18" x14ac:dyDescent="0.35">
      <c r="A70" s="691">
        <v>8</v>
      </c>
      <c r="B70" s="692" t="e">
        <f>'Краевые Сосновоборск'!#REF!</f>
        <v>#REF!</v>
      </c>
      <c r="C70" s="693"/>
      <c r="D70" s="413"/>
      <c r="E70" s="413"/>
      <c r="F70" s="413"/>
      <c r="G70" s="413"/>
      <c r="H70" s="413"/>
      <c r="I70" s="694"/>
      <c r="J70" s="1214"/>
      <c r="K70" s="1214"/>
      <c r="L70" s="1214"/>
      <c r="M70" s="1214"/>
      <c r="N70" s="1214"/>
      <c r="O70" s="1214"/>
      <c r="P70" s="1214"/>
      <c r="Q70" s="1214"/>
      <c r="R70" s="1215"/>
    </row>
    <row r="71" spans="1:18" s="374" customFormat="1" ht="18" x14ac:dyDescent="0.35">
      <c r="A71" s="691">
        <v>9</v>
      </c>
      <c r="B71" s="692" t="e">
        <f>'Краевые Сосновоборск'!#REF!</f>
        <v>#REF!</v>
      </c>
      <c r="C71" s="693"/>
      <c r="D71" s="413"/>
      <c r="E71" s="413"/>
      <c r="F71" s="413"/>
      <c r="G71" s="413"/>
      <c r="H71" s="413"/>
      <c r="I71" s="694"/>
      <c r="J71" s="1214"/>
      <c r="K71" s="1214"/>
      <c r="L71" s="1214"/>
      <c r="M71" s="1214"/>
      <c r="N71" s="1214"/>
      <c r="O71" s="1214"/>
      <c r="P71" s="1214"/>
      <c r="Q71" s="1214"/>
      <c r="R71" s="1215"/>
    </row>
    <row r="72" spans="1:18" s="374" customFormat="1" ht="18" x14ac:dyDescent="0.35">
      <c r="A72" s="691">
        <v>8</v>
      </c>
      <c r="B72" s="692" t="e">
        <f>'Краевые Сосновоборск'!#REF!</f>
        <v>#REF!</v>
      </c>
      <c r="C72" s="693"/>
      <c r="D72" s="413"/>
      <c r="E72" s="413"/>
      <c r="F72" s="413"/>
      <c r="G72" s="413"/>
      <c r="H72" s="413"/>
      <c r="I72" s="694"/>
      <c r="J72" s="1214"/>
      <c r="K72" s="1214"/>
      <c r="L72" s="1214"/>
      <c r="M72" s="1214"/>
      <c r="N72" s="1214"/>
      <c r="O72" s="1214"/>
      <c r="P72" s="1214"/>
      <c r="Q72" s="1214"/>
      <c r="R72" s="1215"/>
    </row>
    <row r="73" spans="1:18" s="374" customFormat="1" ht="18" x14ac:dyDescent="0.35">
      <c r="A73" s="691">
        <v>9</v>
      </c>
      <c r="B73" s="692" t="e">
        <f>'Краевые Сосновоборск'!#REF!</f>
        <v>#REF!</v>
      </c>
      <c r="C73" s="693"/>
      <c r="D73" s="413"/>
      <c r="E73" s="413"/>
      <c r="F73" s="413"/>
      <c r="G73" s="413"/>
      <c r="H73" s="413"/>
      <c r="I73" s="694"/>
      <c r="J73" s="1214"/>
      <c r="K73" s="1214"/>
      <c r="L73" s="1214"/>
      <c r="M73" s="1214"/>
      <c r="N73" s="1214"/>
      <c r="O73" s="1214"/>
      <c r="P73" s="1214"/>
      <c r="Q73" s="1214"/>
      <c r="R73" s="1215"/>
    </row>
    <row r="74" spans="1:18" s="374" customFormat="1" ht="18" x14ac:dyDescent="0.35">
      <c r="A74" s="695">
        <v>10</v>
      </c>
      <c r="B74" s="703" t="e">
        <f>'Краевые Сосновоборск'!#REF!</f>
        <v>#REF!</v>
      </c>
      <c r="C74" s="696"/>
      <c r="D74" s="675"/>
      <c r="E74" s="675"/>
      <c r="F74" s="675"/>
      <c r="G74" s="675"/>
      <c r="H74" s="675"/>
      <c r="I74" s="697"/>
      <c r="J74" s="1216"/>
      <c r="K74" s="1216"/>
      <c r="L74" s="1216"/>
      <c r="M74" s="1216"/>
      <c r="N74" s="1216"/>
      <c r="O74" s="1216"/>
      <c r="P74" s="1216"/>
      <c r="Q74" s="1216"/>
      <c r="R74" s="1217"/>
    </row>
    <row r="75" spans="1:18" s="374" customFormat="1" ht="15.6" x14ac:dyDescent="0.3">
      <c r="A75" s="668"/>
    </row>
    <row r="76" spans="1:18" s="374" customFormat="1" ht="18" x14ac:dyDescent="0.35">
      <c r="A76" s="679" t="s">
        <v>1012</v>
      </c>
      <c r="B76" s="680" t="s">
        <v>1013</v>
      </c>
      <c r="C76" s="385"/>
      <c r="D76" s="385"/>
      <c r="E76" s="385"/>
      <c r="F76" s="385"/>
      <c r="G76" s="385"/>
      <c r="H76" s="385"/>
      <c r="I76" s="385"/>
      <c r="J76" s="385"/>
      <c r="K76" s="385"/>
      <c r="L76" s="385"/>
      <c r="M76" s="385"/>
      <c r="N76" s="385"/>
      <c r="O76" s="385"/>
      <c r="P76" s="385"/>
      <c r="Q76" s="385"/>
    </row>
    <row r="77" spans="1:18" s="374" customFormat="1" ht="11.25" customHeight="1" x14ac:dyDescent="0.3"/>
    <row r="78" spans="1:18" s="374" customFormat="1" ht="18.75" customHeight="1" x14ac:dyDescent="0.3">
      <c r="A78" s="698" t="s">
        <v>1014</v>
      </c>
      <c r="B78" s="677"/>
      <c r="C78" s="677"/>
      <c r="D78" s="677"/>
      <c r="E78" s="677"/>
      <c r="F78" s="677"/>
      <c r="G78" s="677"/>
      <c r="H78" s="677"/>
      <c r="I78" s="677"/>
      <c r="J78" s="677"/>
      <c r="K78" s="677"/>
      <c r="L78" s="677"/>
      <c r="M78" s="677"/>
      <c r="N78" s="677"/>
      <c r="O78" s="677"/>
      <c r="P78" s="677"/>
      <c r="Q78" s="677"/>
      <c r="R78" s="677"/>
    </row>
    <row r="79" spans="1:18" s="385" customFormat="1" ht="16.5" customHeight="1" x14ac:dyDescent="0.3">
      <c r="A79" s="1208" t="s">
        <v>1015</v>
      </c>
      <c r="B79" s="1208"/>
      <c r="C79" s="1208"/>
      <c r="D79" s="1208"/>
      <c r="E79" s="1208"/>
      <c r="F79" s="1208"/>
      <c r="G79" s="1208"/>
      <c r="H79" s="1208"/>
      <c r="I79" s="1208"/>
      <c r="J79" s="1208"/>
      <c r="K79" s="1208"/>
      <c r="L79" s="1208"/>
      <c r="M79" s="1208"/>
      <c r="N79" s="1208"/>
      <c r="O79" s="1208"/>
      <c r="P79" s="1208"/>
      <c r="Q79" s="1208"/>
      <c r="R79" s="1208"/>
    </row>
    <row r="80" spans="1:18" s="374" customFormat="1" ht="18" x14ac:dyDescent="0.35">
      <c r="A80" s="679" t="s">
        <v>1016</v>
      </c>
      <c r="B80" s="680" t="s">
        <v>1017</v>
      </c>
      <c r="C80" s="385"/>
      <c r="D80" s="385"/>
      <c r="E80" s="385"/>
      <c r="F80" s="385"/>
      <c r="G80" s="385"/>
      <c r="H80" s="385"/>
      <c r="I80" s="385"/>
      <c r="J80" s="385"/>
      <c r="K80" s="385"/>
      <c r="L80" s="385"/>
      <c r="M80" s="385"/>
      <c r="N80" s="385"/>
      <c r="O80" s="385"/>
      <c r="P80" s="385"/>
      <c r="Q80" s="385"/>
    </row>
    <row r="81" spans="1:18" s="699" customFormat="1" ht="30.75" customHeight="1" x14ac:dyDescent="0.3"/>
    <row r="82" spans="1:18" s="699" customFormat="1" ht="31.2" x14ac:dyDescent="0.3">
      <c r="A82" s="700" t="s">
        <v>1</v>
      </c>
      <c r="B82" s="1213" t="s">
        <v>1018</v>
      </c>
      <c r="C82" s="1213"/>
      <c r="D82" s="1213"/>
      <c r="E82" s="1213"/>
      <c r="F82" s="1213"/>
      <c r="G82" s="1213"/>
      <c r="H82" s="1213"/>
      <c r="I82" s="1213"/>
      <c r="J82" s="1213" t="s">
        <v>1019</v>
      </c>
      <c r="K82" s="1213"/>
      <c r="L82" s="1213" t="s">
        <v>1020</v>
      </c>
      <c r="M82" s="1213"/>
      <c r="N82" s="1213"/>
      <c r="O82" s="1213"/>
      <c r="P82" s="1213"/>
      <c r="Q82" s="1213" t="s">
        <v>1021</v>
      </c>
      <c r="R82" s="1213"/>
    </row>
    <row r="83" spans="1:18" s="699" customFormat="1" ht="15.6" x14ac:dyDescent="0.3">
      <c r="A83" s="700">
        <f>'Краевые Сосновоборск'!A61</f>
        <v>1</v>
      </c>
      <c r="B83" s="1211" t="str">
        <f>'Краевые Сосновоборск'!E61</f>
        <v>Устюгова Василина Юрьевна</v>
      </c>
      <c r="C83" s="1211"/>
      <c r="D83" s="1211"/>
      <c r="E83" s="1211"/>
      <c r="F83" s="1211"/>
      <c r="G83" s="1211"/>
      <c r="H83" s="1211"/>
      <c r="I83" s="1211"/>
      <c r="J83" s="1212" t="str">
        <f>'Краевые Сосновоборск'!H61</f>
        <v>СС1К</v>
      </c>
      <c r="K83" s="1213"/>
      <c r="L83" s="1213" t="str">
        <f>'Краевые Сосновоборск'!B61</f>
        <v>Главный судья</v>
      </c>
      <c r="M83" s="1213"/>
      <c r="N83" s="1213"/>
      <c r="O83" s="1213"/>
      <c r="P83" s="1213"/>
      <c r="Q83" s="1213" t="s">
        <v>1022</v>
      </c>
      <c r="R83" s="1213"/>
    </row>
    <row r="84" spans="1:18" s="699" customFormat="1" ht="32.25" customHeight="1" x14ac:dyDescent="0.3">
      <c r="A84" s="700" t="e">
        <f>'Краевые Сосновоборск'!#REF!</f>
        <v>#REF!</v>
      </c>
      <c r="B84" s="1211" t="e">
        <f>'Краевые Сосновоборск'!#REF!</f>
        <v>#REF!</v>
      </c>
      <c r="C84" s="1211"/>
      <c r="D84" s="1211"/>
      <c r="E84" s="1211"/>
      <c r="F84" s="1211"/>
      <c r="G84" s="1211"/>
      <c r="H84" s="1211"/>
      <c r="I84" s="1211"/>
      <c r="J84" s="1212" t="e">
        <f>'Краевые Сосновоборск'!#REF!</f>
        <v>#REF!</v>
      </c>
      <c r="K84" s="1213"/>
      <c r="L84" s="1213" t="e">
        <f>'Краевые Сосновоборск'!#REF!</f>
        <v>#REF!</v>
      </c>
      <c r="M84" s="1213"/>
      <c r="N84" s="1213"/>
      <c r="O84" s="1213"/>
      <c r="P84" s="1213"/>
      <c r="Q84" s="1213" t="s">
        <v>1022</v>
      </c>
      <c r="R84" s="1213"/>
    </row>
    <row r="85" spans="1:18" s="699" customFormat="1" ht="30.75" customHeight="1" x14ac:dyDescent="0.3">
      <c r="A85" s="700">
        <f>'Краевые Сосновоборск'!A62</f>
        <v>2</v>
      </c>
      <c r="B85" s="1211" t="str">
        <f>'Краевые Сосновоборск'!E62</f>
        <v>Реди Елена Владимировна</v>
      </c>
      <c r="C85" s="1211"/>
      <c r="D85" s="1211"/>
      <c r="E85" s="1211"/>
      <c r="F85" s="1211"/>
      <c r="G85" s="1211"/>
      <c r="H85" s="1211"/>
      <c r="I85" s="1211"/>
      <c r="J85" s="1212" t="str">
        <f>'Краевые Сосновоборск'!H62</f>
        <v>ССВК</v>
      </c>
      <c r="K85" s="1213"/>
      <c r="L85" s="1213" t="str">
        <f>'Краевые Сосновоборск'!B62</f>
        <v>Главный секретарь</v>
      </c>
      <c r="M85" s="1213"/>
      <c r="N85" s="1213"/>
      <c r="O85" s="1213"/>
      <c r="P85" s="1213"/>
      <c r="Q85" s="1213" t="s">
        <v>1022</v>
      </c>
      <c r="R85" s="1213"/>
    </row>
    <row r="86" spans="1:18" s="699" customFormat="1" ht="15.75" customHeight="1" x14ac:dyDescent="0.3">
      <c r="A86" s="700" t="e">
        <f>'Краевые Сосновоборск'!#REF!</f>
        <v>#REF!</v>
      </c>
      <c r="B86" s="1211" t="e">
        <f>'Краевые Сосновоборск'!#REF!</f>
        <v>#REF!</v>
      </c>
      <c r="C86" s="1211"/>
      <c r="D86" s="1211"/>
      <c r="E86" s="1211"/>
      <c r="F86" s="1211"/>
      <c r="G86" s="1211"/>
      <c r="H86" s="1211"/>
      <c r="I86" s="1211"/>
      <c r="J86" s="1212" t="e">
        <f>'Краевые Сосновоборск'!#REF!</f>
        <v>#REF!</v>
      </c>
      <c r="K86" s="1213"/>
      <c r="L86" s="1213" t="e">
        <f>'Краевые Сосновоборск'!#REF!</f>
        <v>#REF!</v>
      </c>
      <c r="M86" s="1213"/>
      <c r="N86" s="1213"/>
      <c r="O86" s="1213"/>
      <c r="P86" s="1213"/>
      <c r="Q86" s="1213" t="s">
        <v>1022</v>
      </c>
      <c r="R86" s="1213"/>
    </row>
    <row r="87" spans="1:18" s="699" customFormat="1" ht="34.5" customHeight="1" x14ac:dyDescent="0.3">
      <c r="A87" s="700">
        <f>'Краевые Сосновоборск'!A64</f>
        <v>4</v>
      </c>
      <c r="B87" s="1211" t="str">
        <f>'Краевые Сосновоборск'!E64</f>
        <v>Фалеева Елена Александровна</v>
      </c>
      <c r="C87" s="1211"/>
      <c r="D87" s="1211"/>
      <c r="E87" s="1211"/>
      <c r="F87" s="1211"/>
      <c r="G87" s="1211"/>
      <c r="H87" s="1211"/>
      <c r="I87" s="1211"/>
      <c r="J87" s="1212" t="str">
        <f>'Краевые Сосновоборск'!H64</f>
        <v>СС1К</v>
      </c>
      <c r="K87" s="1213"/>
      <c r="L87" s="1213" t="str">
        <f>'Краевые Сосновоборск'!B64</f>
        <v>Судья информатор</v>
      </c>
      <c r="M87" s="1213"/>
      <c r="N87" s="1213"/>
      <c r="O87" s="1213"/>
      <c r="P87" s="1213"/>
      <c r="Q87" s="1213" t="s">
        <v>1022</v>
      </c>
      <c r="R87" s="1213"/>
    </row>
    <row r="88" spans="1:18" s="699" customFormat="1" ht="15.75" customHeight="1" x14ac:dyDescent="0.3">
      <c r="A88" s="700" t="e">
        <f>'Краевые Сосновоборск'!#REF!</f>
        <v>#REF!</v>
      </c>
      <c r="B88" s="1211" t="e">
        <f>'Краевые Сосновоборск'!#REF!</f>
        <v>#REF!</v>
      </c>
      <c r="C88" s="1211"/>
      <c r="D88" s="1211"/>
      <c r="E88" s="1211"/>
      <c r="F88" s="1211"/>
      <c r="G88" s="1211"/>
      <c r="H88" s="1211"/>
      <c r="I88" s="1211"/>
      <c r="J88" s="1212" t="e">
        <f>'Краевые Сосновоборск'!#REF!</f>
        <v>#REF!</v>
      </c>
      <c r="K88" s="1213"/>
      <c r="L88" s="1213" t="e">
        <f>'Краевые Сосновоборск'!#REF!</f>
        <v>#REF!</v>
      </c>
      <c r="M88" s="1213"/>
      <c r="N88" s="1213"/>
      <c r="O88" s="1213"/>
      <c r="P88" s="1213"/>
      <c r="Q88" s="1213" t="s">
        <v>1022</v>
      </c>
      <c r="R88" s="1213"/>
    </row>
    <row r="89" spans="1:18" s="699" customFormat="1" ht="15.75" customHeight="1" x14ac:dyDescent="0.3">
      <c r="A89" s="700">
        <f>'Краевые Сосновоборск'!A65</f>
        <v>5</v>
      </c>
      <c r="B89" s="1211" t="str">
        <f>'Краевые Сосновоборск'!E65</f>
        <v>Потапова Анна Евгеньевна</v>
      </c>
      <c r="C89" s="1211"/>
      <c r="D89" s="1211"/>
      <c r="E89" s="1211"/>
      <c r="F89" s="1211"/>
      <c r="G89" s="1211"/>
      <c r="H89" s="1211"/>
      <c r="I89" s="1211"/>
      <c r="J89" s="1212" t="str">
        <f>'Краевые Сосновоборск'!H65</f>
        <v>СС2К</v>
      </c>
      <c r="K89" s="1213"/>
      <c r="L89" s="1213" t="str">
        <f>'Краевые Сосновоборск'!B65</f>
        <v>Старший секундометрист</v>
      </c>
      <c r="M89" s="1213"/>
      <c r="N89" s="1213"/>
      <c r="O89" s="1213"/>
      <c r="P89" s="1213"/>
      <c r="Q89" s="1213" t="s">
        <v>1022</v>
      </c>
      <c r="R89" s="1213"/>
    </row>
    <row r="90" spans="1:18" s="699" customFormat="1" ht="15.75" customHeight="1" x14ac:dyDescent="0.3">
      <c r="A90" s="700" t="e">
        <f>'Краевые Сосновоборск'!#REF!</f>
        <v>#REF!</v>
      </c>
      <c r="B90" s="1211" t="e">
        <f>'Краевые Сосновоборск'!#REF!</f>
        <v>#REF!</v>
      </c>
      <c r="C90" s="1211"/>
      <c r="D90" s="1211"/>
      <c r="E90" s="1211"/>
      <c r="F90" s="1211"/>
      <c r="G90" s="1211"/>
      <c r="H90" s="1211"/>
      <c r="I90" s="1211"/>
      <c r="J90" s="1212" t="e">
        <f>'Краевые Сосновоборск'!#REF!</f>
        <v>#REF!</v>
      </c>
      <c r="K90" s="1213"/>
      <c r="L90" s="1213" t="e">
        <f>'Краевые Сосновоборск'!#REF!</f>
        <v>#REF!</v>
      </c>
      <c r="M90" s="1213"/>
      <c r="N90" s="1213"/>
      <c r="O90" s="1213"/>
      <c r="P90" s="1213"/>
      <c r="Q90" s="1213" t="s">
        <v>1022</v>
      </c>
      <c r="R90" s="1213"/>
    </row>
    <row r="91" spans="1:18" s="699" customFormat="1" ht="15.75" customHeight="1" x14ac:dyDescent="0.3">
      <c r="A91" s="700">
        <f>'Краевые Сосновоборск'!A67</f>
        <v>7</v>
      </c>
      <c r="B91" s="1211" t="str">
        <f>'Краевые Сосновоборск'!E67</f>
        <v>Крутяков Андрей Владимирович</v>
      </c>
      <c r="C91" s="1211"/>
      <c r="D91" s="1211"/>
      <c r="E91" s="1211"/>
      <c r="F91" s="1211"/>
      <c r="G91" s="1211"/>
      <c r="H91" s="1211"/>
      <c r="I91" s="1211"/>
      <c r="J91" s="1212" t="str">
        <f>'Краевые Сосновоборск'!H67</f>
        <v>СС1К</v>
      </c>
      <c r="K91" s="1213"/>
      <c r="L91" s="1213" t="str">
        <f>'Краевые Сосновоборск'!B67</f>
        <v>Старший судья на дистанции</v>
      </c>
      <c r="M91" s="1213"/>
      <c r="N91" s="1213"/>
      <c r="O91" s="1213"/>
      <c r="P91" s="1213"/>
      <c r="Q91" s="1213" t="s">
        <v>1022</v>
      </c>
      <c r="R91" s="1213"/>
    </row>
    <row r="92" spans="1:18" s="699" customFormat="1" ht="15.75" customHeight="1" x14ac:dyDescent="0.3">
      <c r="A92" s="700" t="e">
        <f>'Краевые Сосновоборск'!#REF!</f>
        <v>#REF!</v>
      </c>
      <c r="B92" s="1211" t="e">
        <f>'Краевые Сосновоборск'!#REF!</f>
        <v>#REF!</v>
      </c>
      <c r="C92" s="1211"/>
      <c r="D92" s="1211"/>
      <c r="E92" s="1211"/>
      <c r="F92" s="1211"/>
      <c r="G92" s="1211"/>
      <c r="H92" s="1211"/>
      <c r="I92" s="1211"/>
      <c r="J92" s="1212" t="e">
        <f>'Краевые Сосновоборск'!#REF!</f>
        <v>#REF!</v>
      </c>
      <c r="K92" s="1213"/>
      <c r="L92" s="1213" t="e">
        <f>'Краевые Сосновоборск'!#REF!</f>
        <v>#REF!</v>
      </c>
      <c r="M92" s="1213"/>
      <c r="N92" s="1213"/>
      <c r="O92" s="1213"/>
      <c r="P92" s="1213"/>
      <c r="Q92" s="1213" t="s">
        <v>1022</v>
      </c>
      <c r="R92" s="1213"/>
    </row>
    <row r="93" spans="1:18" s="699" customFormat="1" ht="15.75" customHeight="1" x14ac:dyDescent="0.3">
      <c r="A93" s="700">
        <f>'Краевые Сосновоборск'!A68</f>
        <v>8</v>
      </c>
      <c r="B93" s="1211" t="str">
        <f>'Краевые Сосновоборск'!E68</f>
        <v>Дьячуков Роман Игоревич</v>
      </c>
      <c r="C93" s="1211"/>
      <c r="D93" s="1211"/>
      <c r="E93" s="1211"/>
      <c r="F93" s="1211"/>
      <c r="G93" s="1211"/>
      <c r="H93" s="1211"/>
      <c r="I93" s="1211"/>
      <c r="J93" s="1212" t="str">
        <f>'Краевые Сосновоборск'!H68</f>
        <v>СС1К</v>
      </c>
      <c r="K93" s="1213"/>
      <c r="L93" s="1213" t="str">
        <f>'Краевые Сосновоборск'!B68</f>
        <v>Старший судья на финише</v>
      </c>
      <c r="M93" s="1213"/>
      <c r="N93" s="1213"/>
      <c r="O93" s="1213"/>
      <c r="P93" s="1213"/>
      <c r="Q93" s="1213" t="s">
        <v>1022</v>
      </c>
      <c r="R93" s="1213"/>
    </row>
    <row r="94" spans="1:18" s="699" customFormat="1" ht="15.75" customHeight="1" x14ac:dyDescent="0.3">
      <c r="A94" s="700">
        <f>'Краевые Сосновоборск'!A69</f>
        <v>9</v>
      </c>
      <c r="B94" s="1211" t="str">
        <f>'Краевые Сосновоборск'!E69</f>
        <v>Солодкая Полина Вадимовна</v>
      </c>
      <c r="C94" s="1211"/>
      <c r="D94" s="1211"/>
      <c r="E94" s="1211"/>
      <c r="F94" s="1211"/>
      <c r="G94" s="1211"/>
      <c r="H94" s="1211"/>
      <c r="I94" s="1211"/>
      <c r="J94" s="1212" t="str">
        <f>'Краевые Сосновоборск'!H69</f>
        <v>СС</v>
      </c>
      <c r="K94" s="1213"/>
      <c r="L94" s="1213" t="str">
        <f>'Краевые Сосновоборск'!B69</f>
        <v>Старший судья при участниках</v>
      </c>
      <c r="M94" s="1213"/>
      <c r="N94" s="1213"/>
      <c r="O94" s="1213"/>
      <c r="P94" s="1213"/>
      <c r="Q94" s="1213" t="s">
        <v>1022</v>
      </c>
      <c r="R94" s="1213"/>
    </row>
    <row r="95" spans="1:18" s="699" customFormat="1" ht="15.75" customHeight="1" x14ac:dyDescent="0.3">
      <c r="A95" s="700">
        <f>'Краевые Сосновоборск'!A70</f>
        <v>10</v>
      </c>
      <c r="B95" s="1211" t="str">
        <f>'Краевые Сосновоборск'!E70</f>
        <v>Швецова Нина Васильевна</v>
      </c>
      <c r="C95" s="1211"/>
      <c r="D95" s="1211"/>
      <c r="E95" s="1211"/>
      <c r="F95" s="1211"/>
      <c r="G95" s="1211"/>
      <c r="H95" s="1211"/>
      <c r="I95" s="1211"/>
      <c r="J95" s="1212" t="str">
        <f>'Краевые Сосновоборск'!H70</f>
        <v>СС1К</v>
      </c>
      <c r="K95" s="1213"/>
      <c r="L95" s="1213" t="str">
        <f>'Краевые Сосновоборск'!B70</f>
        <v>Старший судья по награждению</v>
      </c>
      <c r="M95" s="1213"/>
      <c r="N95" s="1213"/>
      <c r="O95" s="1213"/>
      <c r="P95" s="1213"/>
      <c r="Q95" s="1213" t="s">
        <v>1022</v>
      </c>
      <c r="R95" s="1213"/>
    </row>
    <row r="96" spans="1:18" s="699" customFormat="1" ht="15.75" customHeight="1" x14ac:dyDescent="0.3">
      <c r="A96" s="700">
        <f>'Краевые Сосновоборск'!A71</f>
        <v>11</v>
      </c>
      <c r="B96" s="1211" t="str">
        <f>'Краевые Сосновоборск'!E71</f>
        <v>Ермолаева Софья Егоровна</v>
      </c>
      <c r="C96" s="1211"/>
      <c r="D96" s="1211"/>
      <c r="E96" s="1211"/>
      <c r="F96" s="1211"/>
      <c r="G96" s="1211"/>
      <c r="H96" s="1211"/>
      <c r="I96" s="1211"/>
      <c r="J96" s="1212" t="str">
        <f>'Краевые Сосновоборск'!H71</f>
        <v>СС3К</v>
      </c>
      <c r="K96" s="1213"/>
      <c r="L96" s="1213" t="str">
        <f>'Краевые Сосновоборск'!B71</f>
        <v>Пом.ст. секундометриста</v>
      </c>
      <c r="M96" s="1213"/>
      <c r="N96" s="1213"/>
      <c r="O96" s="1213"/>
      <c r="P96" s="1213"/>
      <c r="Q96" s="1213" t="s">
        <v>1022</v>
      </c>
      <c r="R96" s="1213"/>
    </row>
    <row r="97" spans="1:18" s="699" customFormat="1" ht="15.75" customHeight="1" x14ac:dyDescent="0.3">
      <c r="A97" s="700">
        <f>'Краевые Сосновоборск'!A72</f>
        <v>12</v>
      </c>
      <c r="B97" s="1211" t="str">
        <f>'Краевые Сосновоборск'!E72</f>
        <v>Ветошкин Вячеслав Владиславович</v>
      </c>
      <c r="C97" s="1211"/>
      <c r="D97" s="1211"/>
      <c r="E97" s="1211"/>
      <c r="F97" s="1211"/>
      <c r="G97" s="1211"/>
      <c r="H97" s="1211"/>
      <c r="I97" s="1211"/>
      <c r="J97" s="1212" t="str">
        <f>'Краевые Сосновоборск'!H72</f>
        <v>СС</v>
      </c>
      <c r="K97" s="1213"/>
      <c r="L97" s="1213" t="str">
        <f>'Краевые Сосновоборск'!B72</f>
        <v>Секундометрист</v>
      </c>
      <c r="M97" s="1213"/>
      <c r="N97" s="1213"/>
      <c r="O97" s="1213"/>
      <c r="P97" s="1213"/>
      <c r="Q97" s="1213" t="s">
        <v>1022</v>
      </c>
      <c r="R97" s="1213"/>
    </row>
    <row r="98" spans="1:18" s="699" customFormat="1" ht="15.75" customHeight="1" x14ac:dyDescent="0.3">
      <c r="A98" s="700">
        <f>'Краевые Сосновоборск'!A73</f>
        <v>13</v>
      </c>
      <c r="B98" s="1211" t="str">
        <f>'Краевые Сосновоборск'!E73</f>
        <v>Симановская Светлана Петровна</v>
      </c>
      <c r="C98" s="1211"/>
      <c r="D98" s="1211"/>
      <c r="E98" s="1211"/>
      <c r="F98" s="1211"/>
      <c r="G98" s="1211"/>
      <c r="H98" s="1211"/>
      <c r="I98" s="1211"/>
      <c r="J98" s="1212" t="str">
        <f>'Краевые Сосновоборск'!H73</f>
        <v>СС2К</v>
      </c>
      <c r="K98" s="1213"/>
      <c r="L98" s="1213" t="str">
        <f>'Краевые Сосновоборск'!B73</f>
        <v>Секундометрист</v>
      </c>
      <c r="M98" s="1213"/>
      <c r="N98" s="1213"/>
      <c r="O98" s="1213"/>
      <c r="P98" s="1213"/>
      <c r="Q98" s="1213" t="s">
        <v>1022</v>
      </c>
      <c r="R98" s="1213"/>
    </row>
    <row r="99" spans="1:18" s="699" customFormat="1" ht="15.75" customHeight="1" x14ac:dyDescent="0.3">
      <c r="A99" s="700">
        <f>'Краевые Сосновоборск'!A74</f>
        <v>14</v>
      </c>
      <c r="B99" s="1211" t="str">
        <f>'Краевые Сосновоборск'!E74</f>
        <v>Жихарева София Игоревна</v>
      </c>
      <c r="C99" s="1211"/>
      <c r="D99" s="1211"/>
      <c r="E99" s="1211"/>
      <c r="F99" s="1211"/>
      <c r="G99" s="1211"/>
      <c r="H99" s="1211"/>
      <c r="I99" s="1211"/>
      <c r="J99" s="1212" t="str">
        <f>'Краевые Сосновоборск'!H74</f>
        <v>СС</v>
      </c>
      <c r="K99" s="1213"/>
      <c r="L99" s="1213" t="str">
        <f>'Краевые Сосновоборск'!B74</f>
        <v>Секундометрист</v>
      </c>
      <c r="M99" s="1213"/>
      <c r="N99" s="1213"/>
      <c r="O99" s="1213"/>
      <c r="P99" s="1213"/>
      <c r="Q99" s="1213" t="s">
        <v>1022</v>
      </c>
      <c r="R99" s="1213"/>
    </row>
    <row r="100" spans="1:18" s="699" customFormat="1" ht="15.75" customHeight="1" x14ac:dyDescent="0.3">
      <c r="A100" s="700" t="e">
        <f>'Краевые Сосновоборск'!#REF!</f>
        <v>#REF!</v>
      </c>
      <c r="B100" s="1211" t="e">
        <f>'Краевые Сосновоборск'!#REF!</f>
        <v>#REF!</v>
      </c>
      <c r="C100" s="1211"/>
      <c r="D100" s="1211"/>
      <c r="E100" s="1211"/>
      <c r="F100" s="1211"/>
      <c r="G100" s="1211"/>
      <c r="H100" s="1211"/>
      <c r="I100" s="1211"/>
      <c r="J100" s="1212" t="e">
        <f>'Краевые Сосновоборск'!#REF!</f>
        <v>#REF!</v>
      </c>
      <c r="K100" s="1213"/>
      <c r="L100" s="1213" t="e">
        <f>'Краевые Сосновоборск'!#REF!</f>
        <v>#REF!</v>
      </c>
      <c r="M100" s="1213"/>
      <c r="N100" s="1213"/>
      <c r="O100" s="1213"/>
      <c r="P100" s="1213"/>
      <c r="Q100" s="1213" t="s">
        <v>1022</v>
      </c>
      <c r="R100" s="1213"/>
    </row>
    <row r="101" spans="1:18" s="699" customFormat="1" ht="15.75" customHeight="1" x14ac:dyDescent="0.3">
      <c r="A101" s="700" t="e">
        <f>'Краевые Сосновоборск'!#REF!</f>
        <v>#REF!</v>
      </c>
      <c r="B101" s="1211" t="e">
        <f>'Краевые Сосновоборск'!#REF!</f>
        <v>#REF!</v>
      </c>
      <c r="C101" s="1211"/>
      <c r="D101" s="1211"/>
      <c r="E101" s="1211"/>
      <c r="F101" s="1211"/>
      <c r="G101" s="1211"/>
      <c r="H101" s="1211"/>
      <c r="I101" s="1211"/>
      <c r="J101" s="1212" t="e">
        <f>'Краевые Сосновоборск'!#REF!</f>
        <v>#REF!</v>
      </c>
      <c r="K101" s="1213"/>
      <c r="L101" s="1213" t="e">
        <f>'Краевые Сосновоборск'!#REF!</f>
        <v>#REF!</v>
      </c>
      <c r="M101" s="1213"/>
      <c r="N101" s="1213"/>
      <c r="O101" s="1213"/>
      <c r="P101" s="1213"/>
      <c r="Q101" s="1213" t="s">
        <v>1022</v>
      </c>
      <c r="R101" s="1213"/>
    </row>
    <row r="102" spans="1:18" s="699" customFormat="1" ht="15.75" customHeight="1" x14ac:dyDescent="0.3">
      <c r="A102" s="700" t="e">
        <f>'Краевые Сосновоборск'!#REF!</f>
        <v>#REF!</v>
      </c>
      <c r="B102" s="1211" t="e">
        <f>'Краевые Сосновоборск'!#REF!</f>
        <v>#REF!</v>
      </c>
      <c r="C102" s="1211"/>
      <c r="D102" s="1211"/>
      <c r="E102" s="1211"/>
      <c r="F102" s="1211"/>
      <c r="G102" s="1211"/>
      <c r="H102" s="1211"/>
      <c r="I102" s="1211"/>
      <c r="J102" s="1212" t="e">
        <f>'Краевые Сосновоборск'!#REF!</f>
        <v>#REF!</v>
      </c>
      <c r="K102" s="1213"/>
      <c r="L102" s="1213" t="e">
        <f>'Краевые Сосновоборск'!#REF!</f>
        <v>#REF!</v>
      </c>
      <c r="M102" s="1213"/>
      <c r="N102" s="1213"/>
      <c r="O102" s="1213"/>
      <c r="P102" s="1213"/>
      <c r="Q102" s="1213" t="s">
        <v>1022</v>
      </c>
      <c r="R102" s="1213"/>
    </row>
    <row r="103" spans="1:18" s="699" customFormat="1" ht="15.75" customHeight="1" x14ac:dyDescent="0.3">
      <c r="A103" s="700">
        <f>'Краевые Сосновоборск'!A76</f>
        <v>16</v>
      </c>
      <c r="B103" s="1211" t="str">
        <f>'Краевые Сосновоборск'!E76</f>
        <v>Ворошилов Алексей Леонидович</v>
      </c>
      <c r="C103" s="1211"/>
      <c r="D103" s="1211"/>
      <c r="E103" s="1211"/>
      <c r="F103" s="1211"/>
      <c r="G103" s="1211"/>
      <c r="H103" s="1211"/>
      <c r="I103" s="1211"/>
      <c r="J103" s="1212" t="str">
        <f>'Краевые Сосновоборск'!H76</f>
        <v>СС</v>
      </c>
      <c r="K103" s="1213"/>
      <c r="L103" s="1213" t="str">
        <f>'Краевые Сосновоборск'!B76</f>
        <v>Секундометрист</v>
      </c>
      <c r="M103" s="1213"/>
      <c r="N103" s="1213"/>
      <c r="O103" s="1213"/>
      <c r="P103" s="1213"/>
      <c r="Q103" s="1213" t="s">
        <v>1022</v>
      </c>
      <c r="R103" s="1213"/>
    </row>
    <row r="104" spans="1:18" s="699" customFormat="1" ht="15.75" customHeight="1" x14ac:dyDescent="0.3">
      <c r="A104" s="700">
        <f>'Краевые Сосновоборск'!A77</f>
        <v>17</v>
      </c>
      <c r="B104" s="1211" t="str">
        <f>'Краевые Сосновоборск'!E77</f>
        <v>Потапов Демид Евгеньевич</v>
      </c>
      <c r="C104" s="1211"/>
      <c r="D104" s="1211"/>
      <c r="E104" s="1211"/>
      <c r="F104" s="1211"/>
      <c r="G104" s="1211"/>
      <c r="H104" s="1211"/>
      <c r="I104" s="1211"/>
      <c r="J104" s="1212" t="str">
        <f>'Краевые Сосновоборск'!H77</f>
        <v>СС</v>
      </c>
      <c r="K104" s="1213"/>
      <c r="L104" s="1213" t="str">
        <f>'Краевые Сосновоборск'!B77</f>
        <v>Секундометрист</v>
      </c>
      <c r="M104" s="1213"/>
      <c r="N104" s="1213"/>
      <c r="O104" s="1213"/>
      <c r="P104" s="1213"/>
      <c r="Q104" s="1213" t="s">
        <v>1022</v>
      </c>
      <c r="R104" s="1213"/>
    </row>
    <row r="105" spans="1:18" s="699" customFormat="1" ht="15.75" customHeight="1" x14ac:dyDescent="0.3">
      <c r="A105" s="700">
        <f>'Краевые Сосновоборск'!A78</f>
        <v>18</v>
      </c>
      <c r="B105" s="1211" t="str">
        <f>'Краевые Сосновоборск'!E78</f>
        <v>Лукьянова Валерия Алексеевна</v>
      </c>
      <c r="C105" s="1211"/>
      <c r="D105" s="1211"/>
      <c r="E105" s="1211"/>
      <c r="F105" s="1211"/>
      <c r="G105" s="1211"/>
      <c r="H105" s="1211"/>
      <c r="I105" s="1211"/>
      <c r="J105" s="1212" t="str">
        <f>'Краевые Сосновоборск'!H78</f>
        <v>СС</v>
      </c>
      <c r="K105" s="1213"/>
      <c r="L105" s="1213" t="str">
        <f>'Краевые Сосновоборск'!B78</f>
        <v xml:space="preserve">Судья при участниках </v>
      </c>
      <c r="M105" s="1213"/>
      <c r="N105" s="1213"/>
      <c r="O105" s="1213"/>
      <c r="P105" s="1213"/>
      <c r="Q105" s="1213" t="s">
        <v>1022</v>
      </c>
      <c r="R105" s="1213"/>
    </row>
    <row r="106" spans="1:18" s="699" customFormat="1" ht="15.75" customHeight="1" x14ac:dyDescent="0.3">
      <c r="A106" s="700">
        <f>'Краевые Сосновоборск'!A79</f>
        <v>19</v>
      </c>
      <c r="B106" s="1211" t="str">
        <f>'Краевые Сосновоборск'!E79</f>
        <v>Непомнящая Маргарита Артемовна</v>
      </c>
      <c r="C106" s="1211"/>
      <c r="D106" s="1211"/>
      <c r="E106" s="1211"/>
      <c r="F106" s="1211"/>
      <c r="G106" s="1211"/>
      <c r="H106" s="1211"/>
      <c r="I106" s="1211"/>
      <c r="J106" s="1212" t="str">
        <f>'Краевые Сосновоборск'!H79</f>
        <v>СС</v>
      </c>
      <c r="K106" s="1213"/>
      <c r="L106" s="1213" t="str">
        <f>'Краевые Сосновоборск'!B79</f>
        <v xml:space="preserve">Судья при участниках </v>
      </c>
      <c r="M106" s="1213"/>
      <c r="N106" s="1213"/>
      <c r="O106" s="1213"/>
      <c r="P106" s="1213"/>
      <c r="Q106" s="1213" t="s">
        <v>1022</v>
      </c>
      <c r="R106" s="1213"/>
    </row>
    <row r="107" spans="1:18" s="699" customFormat="1" ht="15.75" customHeight="1" x14ac:dyDescent="0.3">
      <c r="A107" s="700">
        <f>'Краевые Сосновоборск'!A80</f>
        <v>20</v>
      </c>
      <c r="B107" s="1211" t="str">
        <f>'Краевые Сосновоборск'!E80</f>
        <v>Степанов Ярослав Денисович</v>
      </c>
      <c r="C107" s="1211"/>
      <c r="D107" s="1211"/>
      <c r="E107" s="1211"/>
      <c r="F107" s="1211"/>
      <c r="G107" s="1211"/>
      <c r="H107" s="1211"/>
      <c r="I107" s="1211"/>
      <c r="J107" s="1212" t="str">
        <f>'Краевые Сосновоборск'!H80</f>
        <v>СС</v>
      </c>
      <c r="K107" s="1213"/>
      <c r="L107" s="1213" t="str">
        <f>'Краевые Сосновоборск'!B80</f>
        <v>Судья на финише</v>
      </c>
      <c r="M107" s="1213"/>
      <c r="N107" s="1213"/>
      <c r="O107" s="1213"/>
      <c r="P107" s="1213"/>
      <c r="Q107" s="1213" t="s">
        <v>1022</v>
      </c>
      <c r="R107" s="1213"/>
    </row>
    <row r="108" spans="1:18" s="699" customFormat="1" ht="15.75" customHeight="1" x14ac:dyDescent="0.3">
      <c r="A108" s="700">
        <f>'Краевые Сосновоборск'!A81</f>
        <v>21</v>
      </c>
      <c r="B108" s="1211" t="str">
        <f>'Краевые Сосновоборск'!E81</f>
        <v>Беляев Максим Артемович</v>
      </c>
      <c r="C108" s="1211"/>
      <c r="D108" s="1211"/>
      <c r="E108" s="1211"/>
      <c r="F108" s="1211"/>
      <c r="G108" s="1211"/>
      <c r="H108" s="1211"/>
      <c r="I108" s="1211"/>
      <c r="J108" s="1212" t="str">
        <f>'Краевые Сосновоборск'!H81</f>
        <v>СС</v>
      </c>
      <c r="K108" s="1213"/>
      <c r="L108" s="1213" t="str">
        <f>'Краевые Сосновоборск'!B81</f>
        <v>Судья на финише</v>
      </c>
      <c r="M108" s="1213"/>
      <c r="N108" s="1213"/>
      <c r="O108" s="1213"/>
      <c r="P108" s="1213"/>
      <c r="Q108" s="1213" t="s">
        <v>1022</v>
      </c>
      <c r="R108" s="1213"/>
    </row>
    <row r="109" spans="1:18" s="699" customFormat="1" ht="15.75" customHeight="1" x14ac:dyDescent="0.3">
      <c r="A109" s="700" t="e">
        <f>'Краевые Сосновоборск'!#REF!</f>
        <v>#REF!</v>
      </c>
      <c r="B109" s="1211" t="e">
        <f>'Краевые Сосновоборск'!#REF!</f>
        <v>#REF!</v>
      </c>
      <c r="C109" s="1211"/>
      <c r="D109" s="1211"/>
      <c r="E109" s="1211"/>
      <c r="F109" s="1211"/>
      <c r="G109" s="1211"/>
      <c r="H109" s="1211"/>
      <c r="I109" s="1211"/>
      <c r="J109" s="1212" t="e">
        <f>'Краевые Сосновоборск'!#REF!</f>
        <v>#REF!</v>
      </c>
      <c r="K109" s="1213"/>
      <c r="L109" s="1213" t="e">
        <f>'Краевые Сосновоборск'!#REF!</f>
        <v>#REF!</v>
      </c>
      <c r="M109" s="1213"/>
      <c r="N109" s="1213"/>
      <c r="O109" s="1213"/>
      <c r="P109" s="1213"/>
      <c r="Q109" s="1213" t="s">
        <v>1022</v>
      </c>
      <c r="R109" s="1213"/>
    </row>
    <row r="110" spans="1:18" s="699" customFormat="1" ht="15.75" customHeight="1" x14ac:dyDescent="0.3">
      <c r="A110" s="700">
        <f>'Краевые Сосновоборск'!A83</f>
        <v>23</v>
      </c>
      <c r="B110" s="1211" t="str">
        <f>'Краевые Сосновоборск'!E83</f>
        <v>Иващенко Надежда Николаевна</v>
      </c>
      <c r="C110" s="1211"/>
      <c r="D110" s="1211"/>
      <c r="E110" s="1211"/>
      <c r="F110" s="1211"/>
      <c r="G110" s="1211"/>
      <c r="H110" s="1211"/>
      <c r="I110" s="1211"/>
      <c r="J110" s="1212" t="str">
        <f>'Краевые Сосновоборск'!H83</f>
        <v>СС</v>
      </c>
      <c r="K110" s="1213"/>
      <c r="L110" s="1213" t="str">
        <f>'Краевые Сосновоборск'!B83</f>
        <v>Судья по награждению</v>
      </c>
      <c r="M110" s="1213"/>
      <c r="N110" s="1213"/>
      <c r="O110" s="1213"/>
      <c r="P110" s="1213"/>
      <c r="Q110" s="1213" t="s">
        <v>1022</v>
      </c>
      <c r="R110" s="1213"/>
    </row>
    <row r="111" spans="1:18" s="699" customFormat="1" ht="15.75" customHeight="1" x14ac:dyDescent="0.3">
      <c r="A111" s="700">
        <f>'Краевые Сосновоборск'!A84</f>
        <v>24</v>
      </c>
      <c r="B111" s="1211" t="str">
        <f>'Краевые Сосновоборск'!E84</f>
        <v>Токарева Ольга Николаевна</v>
      </c>
      <c r="C111" s="1211"/>
      <c r="D111" s="1211"/>
      <c r="E111" s="1211"/>
      <c r="F111" s="1211"/>
      <c r="G111" s="1211"/>
      <c r="H111" s="1211"/>
      <c r="I111" s="1211"/>
      <c r="J111" s="1212" t="str">
        <f>'Краевые Сосновоборск'!H84</f>
        <v>СС</v>
      </c>
      <c r="K111" s="1213"/>
      <c r="L111" s="1213" t="str">
        <f>'Краевые Сосновоборск'!B84</f>
        <v>Судья на повороте</v>
      </c>
      <c r="M111" s="1213"/>
      <c r="N111" s="1213"/>
      <c r="O111" s="1213"/>
      <c r="P111" s="1213"/>
      <c r="Q111" s="1213" t="s">
        <v>1022</v>
      </c>
      <c r="R111" s="1213"/>
    </row>
    <row r="112" spans="1:18" s="699" customFormat="1" ht="15.75" customHeight="1" x14ac:dyDescent="0.3">
      <c r="A112" s="700">
        <f>'Краевые Сосновоборск'!A85</f>
        <v>25</v>
      </c>
      <c r="B112" s="1211" t="str">
        <f>'Краевые Сосновоборск'!E85</f>
        <v>Фалеева Елена Александровна</v>
      </c>
      <c r="C112" s="1211"/>
      <c r="D112" s="1211"/>
      <c r="E112" s="1211"/>
      <c r="F112" s="1211"/>
      <c r="G112" s="1211"/>
      <c r="H112" s="1211"/>
      <c r="I112" s="1211"/>
      <c r="J112" s="1212" t="str">
        <f>'Краевые Сосновоборск'!H85</f>
        <v>СС3К</v>
      </c>
      <c r="K112" s="1213"/>
      <c r="L112" s="1213" t="str">
        <f>'Краевые Сосновоборск'!B85</f>
        <v>Секретарь</v>
      </c>
      <c r="M112" s="1213"/>
      <c r="N112" s="1213"/>
      <c r="O112" s="1213"/>
      <c r="P112" s="1213"/>
      <c r="Q112" s="1213" t="s">
        <v>1022</v>
      </c>
      <c r="R112" s="1213"/>
    </row>
    <row r="113" spans="1:18" s="699" customFormat="1" ht="15.75" customHeight="1" x14ac:dyDescent="0.3">
      <c r="A113" s="700" t="e">
        <f>'Краевые Сосновоборск'!#REF!</f>
        <v>#REF!</v>
      </c>
      <c r="B113" s="1211" t="e">
        <f>'Краевые Сосновоборск'!#REF!</f>
        <v>#REF!</v>
      </c>
      <c r="C113" s="1211"/>
      <c r="D113" s="1211"/>
      <c r="E113" s="1211"/>
      <c r="F113" s="1211"/>
      <c r="G113" s="1211"/>
      <c r="H113" s="1211"/>
      <c r="I113" s="1211"/>
      <c r="J113" s="1212" t="e">
        <f>'Краевые Сосновоборск'!#REF!</f>
        <v>#REF!</v>
      </c>
      <c r="K113" s="1213"/>
      <c r="L113" s="1213" t="e">
        <f>'Краевые Сосновоборск'!#REF!</f>
        <v>#REF!</v>
      </c>
      <c r="M113" s="1213"/>
      <c r="N113" s="1213"/>
      <c r="O113" s="1213"/>
      <c r="P113" s="1213"/>
      <c r="Q113" s="1213" t="s">
        <v>1022</v>
      </c>
      <c r="R113" s="1213"/>
    </row>
    <row r="114" spans="1:18" s="699" customFormat="1" ht="15.75" customHeight="1" x14ac:dyDescent="0.3">
      <c r="A114" s="700" t="e">
        <f>'Краевые Сосновоборск'!#REF!</f>
        <v>#REF!</v>
      </c>
      <c r="B114" s="1211" t="e">
        <f>'Краевые Сосновоборск'!#REF!</f>
        <v>#REF!</v>
      </c>
      <c r="C114" s="1211"/>
      <c r="D114" s="1211"/>
      <c r="E114" s="1211"/>
      <c r="F114" s="1211"/>
      <c r="G114" s="1211"/>
      <c r="H114" s="1211"/>
      <c r="I114" s="1211"/>
      <c r="J114" s="1212" t="e">
        <f>'Краевые Сосновоборск'!#REF!</f>
        <v>#REF!</v>
      </c>
      <c r="K114" s="1213"/>
      <c r="L114" s="1213" t="e">
        <f>'Краевые Сосновоборск'!#REF!</f>
        <v>#REF!</v>
      </c>
      <c r="M114" s="1213"/>
      <c r="N114" s="1213"/>
      <c r="O114" s="1213"/>
      <c r="P114" s="1213"/>
      <c r="Q114" s="1213" t="s">
        <v>1022</v>
      </c>
      <c r="R114" s="1213"/>
    </row>
    <row r="115" spans="1:18" s="699" customFormat="1" ht="15.75" customHeight="1" x14ac:dyDescent="0.3">
      <c r="A115" s="700" t="e">
        <f>'Краевые Сосновоборск'!#REF!</f>
        <v>#REF!</v>
      </c>
      <c r="B115" s="1211" t="e">
        <f>'Краевые Сосновоборск'!#REF!</f>
        <v>#REF!</v>
      </c>
      <c r="C115" s="1211"/>
      <c r="D115" s="1211"/>
      <c r="E115" s="1211"/>
      <c r="F115" s="1211"/>
      <c r="G115" s="1211"/>
      <c r="H115" s="1211"/>
      <c r="I115" s="1211"/>
      <c r="J115" s="1212" t="e">
        <f>'Краевые Сосновоборск'!#REF!</f>
        <v>#REF!</v>
      </c>
      <c r="K115" s="1213"/>
      <c r="L115" s="1213" t="e">
        <f>'Краевые Сосновоборск'!#REF!</f>
        <v>#REF!</v>
      </c>
      <c r="M115" s="1213"/>
      <c r="N115" s="1213"/>
      <c r="O115" s="1213"/>
      <c r="P115" s="1213"/>
      <c r="Q115" s="1213" t="s">
        <v>1022</v>
      </c>
      <c r="R115" s="1213"/>
    </row>
    <row r="116" spans="1:18" s="699" customFormat="1" ht="16.5" customHeight="1" x14ac:dyDescent="0.3">
      <c r="A116" s="700">
        <f>'Краевые Сосновоборск'!A82</f>
        <v>22</v>
      </c>
      <c r="B116" s="1211" t="str">
        <f>'Краевые Сосновоборск'!E82</f>
        <v>Шарыпова Валерия Сергеевна</v>
      </c>
      <c r="C116" s="1211"/>
      <c r="D116" s="1211"/>
      <c r="E116" s="1211"/>
      <c r="F116" s="1211"/>
      <c r="G116" s="1211"/>
      <c r="H116" s="1211"/>
      <c r="I116" s="1211"/>
      <c r="J116" s="1212" t="str">
        <f>'Краевые Сосновоборск'!H82</f>
        <v>СС</v>
      </c>
      <c r="K116" s="1213"/>
      <c r="L116" s="1213" t="str">
        <f>'Краевые Сосновоборск'!B82</f>
        <v>Судья на дистанции</v>
      </c>
      <c r="M116" s="1213"/>
      <c r="N116" s="1213"/>
      <c r="O116" s="1213"/>
      <c r="P116" s="1213"/>
      <c r="Q116" s="1213" t="s">
        <v>1022</v>
      </c>
      <c r="R116" s="1213"/>
    </row>
    <row r="117" spans="1:18" s="699" customFormat="1" ht="15.6" x14ac:dyDescent="0.3">
      <c r="A117" s="700" t="e">
        <f>'Краевые Сосновоборск'!#REF!</f>
        <v>#REF!</v>
      </c>
      <c r="B117" s="1211" t="e">
        <f>'Краевые Сосновоборск'!#REF!</f>
        <v>#REF!</v>
      </c>
      <c r="C117" s="1211"/>
      <c r="D117" s="1211"/>
      <c r="E117" s="1211"/>
      <c r="F117" s="1211"/>
      <c r="G117" s="1211"/>
      <c r="H117" s="1211"/>
      <c r="I117" s="1211"/>
      <c r="J117" s="1212" t="e">
        <f>'Краевые Сосновоборск'!#REF!</f>
        <v>#REF!</v>
      </c>
      <c r="K117" s="1213"/>
      <c r="L117" s="1213" t="e">
        <f>'Краевые Сосновоборск'!#REF!</f>
        <v>#REF!</v>
      </c>
      <c r="M117" s="1213"/>
      <c r="N117" s="1213"/>
      <c r="O117" s="1213"/>
      <c r="P117" s="1213"/>
      <c r="Q117" s="1213" t="s">
        <v>1022</v>
      </c>
      <c r="R117" s="1213"/>
    </row>
    <row r="118" spans="1:18" s="699" customFormat="1" ht="15.6" x14ac:dyDescent="0.3">
      <c r="A118" s="700" t="e">
        <f>IF(ISBLANK('Краевые Сосновоборск'!#REF!)," ",'Краевые Сосновоборск'!#REF!)</f>
        <v>#REF!</v>
      </c>
      <c r="B118" s="1211" t="e">
        <f>'Краевые Сосновоборск'!#REF!</f>
        <v>#REF!</v>
      </c>
      <c r="C118" s="1211"/>
      <c r="D118" s="1211"/>
      <c r="E118" s="1211"/>
      <c r="F118" s="1211"/>
      <c r="G118" s="1211"/>
      <c r="H118" s="1211"/>
      <c r="I118" s="1211"/>
      <c r="J118" s="1212" t="e">
        <f>IF(ISBLANK('Краевые Сосновоборск'!#REF!)," ",'Краевые Сосновоборск'!#REF!)</f>
        <v>#REF!</v>
      </c>
      <c r="K118" s="1213"/>
      <c r="L118" s="1213" t="e">
        <f>'Краевые Сосновоборск'!#REF!</f>
        <v>#REF!</v>
      </c>
      <c r="M118" s="1213"/>
      <c r="N118" s="1213"/>
      <c r="O118" s="1213"/>
      <c r="P118" s="1213"/>
      <c r="Q118" s="1213" t="s">
        <v>1022</v>
      </c>
      <c r="R118" s="1213"/>
    </row>
    <row r="119" spans="1:18" s="699" customFormat="1" ht="15.6" x14ac:dyDescent="0.3">
      <c r="A119" s="700" t="e">
        <f>IF(ISBLANK('Краевые Сосновоборск'!#REF!)," ",'Краевые Сосновоборск'!#REF!)</f>
        <v>#REF!</v>
      </c>
      <c r="B119" s="1211" t="e">
        <f>'Краевые Сосновоборск'!#REF!</f>
        <v>#REF!</v>
      </c>
      <c r="C119" s="1211"/>
      <c r="D119" s="1211"/>
      <c r="E119" s="1211"/>
      <c r="F119" s="1211"/>
      <c r="G119" s="1211"/>
      <c r="H119" s="1211"/>
      <c r="I119" s="1211"/>
      <c r="J119" s="1212" t="e">
        <f>'Краевые Сосновоборск'!#REF!</f>
        <v>#REF!</v>
      </c>
      <c r="K119" s="1213"/>
      <c r="L119" s="1213" t="e">
        <f>'Краевые Сосновоборск'!#REF!</f>
        <v>#REF!</v>
      </c>
      <c r="M119" s="1213"/>
      <c r="N119" s="1213"/>
      <c r="O119" s="1213"/>
      <c r="P119" s="1213"/>
      <c r="Q119" s="1213" t="s">
        <v>1022</v>
      </c>
      <c r="R119" s="1213"/>
    </row>
    <row r="120" spans="1:18" s="374" customFormat="1" ht="15.6" x14ac:dyDescent="0.3">
      <c r="A120" s="669"/>
      <c r="Q120" s="699"/>
      <c r="R120" s="699"/>
    </row>
    <row r="121" spans="1:18" s="374" customFormat="1" ht="38.25" customHeight="1" x14ac:dyDescent="0.35">
      <c r="A121" s="1209">
        <f>'Краевые Сосновоборск'!A44</f>
        <v>0</v>
      </c>
      <c r="B121" s="1209"/>
      <c r="C121" s="1209"/>
      <c r="D121" s="1209"/>
      <c r="E121" s="1209"/>
      <c r="F121" s="1209"/>
      <c r="G121" s="1209"/>
      <c r="H121" s="382"/>
      <c r="I121" s="1210">
        <f>'Краевые Сосновоборск'!J44</f>
        <v>0</v>
      </c>
      <c r="J121" s="1210"/>
      <c r="K121" s="1210"/>
      <c r="L121" s="1210"/>
      <c r="M121" s="701"/>
      <c r="N121" s="56"/>
      <c r="O121" s="56"/>
      <c r="P121" s="56"/>
      <c r="Q121" s="56"/>
      <c r="R121" s="56"/>
    </row>
    <row r="122" spans="1:18" s="374" customFormat="1" ht="15.6" x14ac:dyDescent="0.3">
      <c r="A122" s="702"/>
      <c r="B122" s="702"/>
      <c r="C122" s="702"/>
      <c r="D122" s="702"/>
      <c r="E122" s="382"/>
      <c r="F122" s="382"/>
      <c r="G122" s="382"/>
      <c r="H122" s="382"/>
      <c r="I122" s="1208" t="s">
        <v>442</v>
      </c>
      <c r="J122" s="1208"/>
      <c r="K122" s="1208"/>
      <c r="L122" s="1208"/>
      <c r="M122" s="413"/>
      <c r="N122" s="1208" t="s">
        <v>440</v>
      </c>
      <c r="O122" s="1208"/>
      <c r="P122" s="1208"/>
      <c r="Q122" s="1208"/>
      <c r="R122" s="1208"/>
    </row>
    <row r="123" spans="1:18" s="374" customFormat="1" ht="15.6" x14ac:dyDescent="0.3">
      <c r="A123" s="702"/>
      <c r="B123" s="702"/>
      <c r="C123" s="702"/>
      <c r="D123" s="702"/>
      <c r="E123" s="382"/>
      <c r="F123" s="382"/>
      <c r="G123" s="382"/>
      <c r="H123" s="382"/>
      <c r="I123" s="669"/>
      <c r="L123" s="669"/>
      <c r="M123" s="690"/>
      <c r="N123" s="669"/>
      <c r="O123" s="669"/>
      <c r="P123" s="669"/>
      <c r="Q123" s="669"/>
      <c r="R123" s="669"/>
    </row>
    <row r="124" spans="1:18" s="374" customFormat="1" ht="43.5" customHeight="1" x14ac:dyDescent="0.35">
      <c r="A124" s="1209">
        <f>'Краевые Сосновоборск'!A46</f>
        <v>0</v>
      </c>
      <c r="B124" s="1209"/>
      <c r="C124" s="1209"/>
      <c r="D124" s="1209"/>
      <c r="E124" s="1209"/>
      <c r="F124" s="1209"/>
      <c r="G124" s="1209"/>
      <c r="H124" s="382"/>
      <c r="I124" s="1210">
        <f>'Краевые Сосновоборск'!J46</f>
        <v>0</v>
      </c>
      <c r="J124" s="1210"/>
      <c r="K124" s="1210"/>
      <c r="L124" s="1210"/>
      <c r="M124" s="701"/>
      <c r="N124" s="56"/>
      <c r="O124" s="56"/>
      <c r="P124" s="56"/>
      <c r="Q124" s="56"/>
      <c r="R124" s="56"/>
    </row>
    <row r="125" spans="1:18" s="374" customFormat="1" ht="15.6" x14ac:dyDescent="0.3">
      <c r="A125" s="382"/>
      <c r="B125" s="382"/>
      <c r="C125" s="382"/>
      <c r="D125" s="382"/>
      <c r="E125" s="382"/>
      <c r="F125" s="382"/>
      <c r="G125" s="382"/>
      <c r="H125" s="382"/>
      <c r="I125" s="1208" t="s">
        <v>442</v>
      </c>
      <c r="J125" s="1208"/>
      <c r="K125" s="1208"/>
      <c r="L125" s="1208"/>
      <c r="M125" s="413"/>
      <c r="N125" s="1208" t="s">
        <v>440</v>
      </c>
      <c r="O125" s="1208"/>
      <c r="P125" s="1208"/>
      <c r="Q125" s="1208"/>
      <c r="R125" s="1208"/>
    </row>
    <row r="126" spans="1:18" s="374" customFormat="1" ht="27.75" customHeight="1" x14ac:dyDescent="0.3">
      <c r="B126" s="56"/>
      <c r="C126" s="56"/>
      <c r="D126" s="56"/>
      <c r="E126" s="56"/>
      <c r="F126" s="56"/>
      <c r="G126" s="56"/>
      <c r="H126" s="56"/>
      <c r="I126" s="56"/>
      <c r="J126" s="56"/>
      <c r="K126" s="56"/>
      <c r="L126" s="56"/>
      <c r="M126" s="56"/>
      <c r="N126" s="56"/>
      <c r="O126" s="56"/>
    </row>
    <row r="127" spans="1:18" s="374" customFormat="1" ht="16.2" x14ac:dyDescent="0.35">
      <c r="A127" s="1209" t="s">
        <v>1023</v>
      </c>
      <c r="B127" s="1209"/>
      <c r="C127" s="1209"/>
      <c r="D127" s="1209"/>
      <c r="E127" s="1209"/>
      <c r="F127" s="1209"/>
      <c r="G127" s="1209"/>
      <c r="I127" s="1210" t="s">
        <v>1024</v>
      </c>
      <c r="J127" s="1210"/>
      <c r="K127" s="1210"/>
      <c r="L127" s="1210"/>
      <c r="M127" s="701"/>
      <c r="N127" s="56"/>
      <c r="O127" s="56"/>
      <c r="P127" s="56"/>
      <c r="Q127" s="56"/>
      <c r="R127" s="56"/>
    </row>
    <row r="128" spans="1:18" s="374" customFormat="1" ht="15.6" x14ac:dyDescent="0.3">
      <c r="I128" s="1208" t="s">
        <v>442</v>
      </c>
      <c r="J128" s="1208"/>
      <c r="K128" s="1208"/>
      <c r="L128" s="1208"/>
      <c r="M128" s="413"/>
      <c r="N128" s="1208" t="s">
        <v>440</v>
      </c>
      <c r="O128" s="1208"/>
      <c r="P128" s="1208"/>
      <c r="Q128" s="1208"/>
      <c r="R128" s="1208"/>
    </row>
    <row r="129" spans="1:1" s="374" customFormat="1" ht="15.6" x14ac:dyDescent="0.3"/>
    <row r="130" spans="1:1" s="374" customFormat="1" ht="15.6" x14ac:dyDescent="0.3"/>
    <row r="131" spans="1:1" s="374" customFormat="1" ht="15.6" x14ac:dyDescent="0.3"/>
    <row r="132" spans="1:1" s="374" customFormat="1" ht="15.6" x14ac:dyDescent="0.3"/>
    <row r="133" spans="1:1" s="374" customFormat="1" ht="15.6" x14ac:dyDescent="0.3"/>
    <row r="134" spans="1:1" s="374" customFormat="1" ht="15.6" x14ac:dyDescent="0.3"/>
    <row r="135" spans="1:1" s="374" customFormat="1" ht="15.6" x14ac:dyDescent="0.3"/>
    <row r="136" spans="1:1" s="374" customFormat="1" ht="15.6" x14ac:dyDescent="0.3">
      <c r="A136" s="56"/>
    </row>
    <row r="137" spans="1:1" s="374" customFormat="1" ht="15.6" x14ac:dyDescent="0.3"/>
    <row r="138" spans="1:1" s="374" customFormat="1" ht="15.6" x14ac:dyDescent="0.3"/>
    <row r="139" spans="1:1" s="374" customFormat="1" ht="15.6" x14ac:dyDescent="0.3"/>
    <row r="140" spans="1:1" s="374" customFormat="1" ht="15.6" x14ac:dyDescent="0.3"/>
    <row r="141" spans="1:1" s="374" customFormat="1" ht="15.6" x14ac:dyDescent="0.3"/>
    <row r="142" spans="1:1" s="374" customFormat="1" ht="15.6" x14ac:dyDescent="0.3"/>
    <row r="143" spans="1:1" s="374" customFormat="1" ht="15.6" x14ac:dyDescent="0.3"/>
    <row r="144" spans="1:1" s="374" customFormat="1" ht="15.6" x14ac:dyDescent="0.3"/>
    <row r="145" spans="17:18" s="374" customFormat="1" ht="15.6" x14ac:dyDescent="0.3"/>
    <row r="146" spans="17:18" s="374" customFormat="1" ht="15.6" x14ac:dyDescent="0.3"/>
    <row r="147" spans="17:18" s="374" customFormat="1" ht="15.6" x14ac:dyDescent="0.3"/>
    <row r="148" spans="17:18" s="374" customFormat="1" ht="15.6" x14ac:dyDescent="0.3"/>
    <row r="149" spans="17:18" s="374" customFormat="1" ht="15.6" x14ac:dyDescent="0.3"/>
    <row r="150" spans="17:18" s="374" customFormat="1" ht="15.6" x14ac:dyDescent="0.3"/>
    <row r="151" spans="17:18" s="374" customFormat="1" ht="15.6" x14ac:dyDescent="0.3"/>
    <row r="152" spans="17:18" s="374" customFormat="1" ht="15.6" x14ac:dyDescent="0.3"/>
    <row r="153" spans="17:18" s="374" customFormat="1" ht="15.6" x14ac:dyDescent="0.3"/>
    <row r="154" spans="17:18" s="374" customFormat="1" ht="15.6" x14ac:dyDescent="0.3"/>
    <row r="155" spans="17:18" ht="15.6" x14ac:dyDescent="0.3">
      <c r="Q155" s="374"/>
      <c r="R155" s="374"/>
    </row>
    <row r="156" spans="17:18" ht="15.6" x14ac:dyDescent="0.3">
      <c r="Q156" s="374"/>
      <c r="R156" s="374"/>
    </row>
    <row r="157" spans="17:18" ht="15.6" x14ac:dyDescent="0.3">
      <c r="Q157" s="374"/>
      <c r="R157" s="374"/>
    </row>
    <row r="158" spans="17:18" ht="15.6" x14ac:dyDescent="0.3">
      <c r="Q158" s="374"/>
      <c r="R158" s="374"/>
    </row>
  </sheetData>
  <mergeCells count="214">
    <mergeCell ref="I43:J43"/>
    <mergeCell ref="K43:L43"/>
    <mergeCell ref="M43:N43"/>
    <mergeCell ref="O43:P43"/>
    <mergeCell ref="M46:N46"/>
    <mergeCell ref="A49:R49"/>
    <mergeCell ref="A8:R8"/>
    <mergeCell ref="A10:R10"/>
    <mergeCell ref="A11:Q11"/>
    <mergeCell ref="A12:R12"/>
    <mergeCell ref="B13:E13"/>
    <mergeCell ref="F13:P13"/>
    <mergeCell ref="A15:Q15"/>
    <mergeCell ref="A17:Q17"/>
    <mergeCell ref="A41:C42"/>
    <mergeCell ref="D41:D42"/>
    <mergeCell ref="E41:R41"/>
    <mergeCell ref="E42:F42"/>
    <mergeCell ref="G42:H42"/>
    <mergeCell ref="I42:J42"/>
    <mergeCell ref="K42:L42"/>
    <mergeCell ref="M42:N42"/>
    <mergeCell ref="O42:P42"/>
    <mergeCell ref="Q42:R42"/>
    <mergeCell ref="B50:O50"/>
    <mergeCell ref="A53:A54"/>
    <mergeCell ref="B53:I54"/>
    <mergeCell ref="J53:R54"/>
    <mergeCell ref="O44:P44"/>
    <mergeCell ref="Q43:R43"/>
    <mergeCell ref="A45:C45"/>
    <mergeCell ref="E45:F45"/>
    <mergeCell ref="G45:H45"/>
    <mergeCell ref="I45:J45"/>
    <mergeCell ref="K45:L45"/>
    <mergeCell ref="M45:N45"/>
    <mergeCell ref="O45:P45"/>
    <mergeCell ref="Q45:R45"/>
    <mergeCell ref="A44:C44"/>
    <mergeCell ref="E44:F44"/>
    <mergeCell ref="G44:H44"/>
    <mergeCell ref="I44:J44"/>
    <mergeCell ref="K44:L44"/>
    <mergeCell ref="M44:N44"/>
    <mergeCell ref="Q44:R44"/>
    <mergeCell ref="A43:C43"/>
    <mergeCell ref="E43:F43"/>
    <mergeCell ref="G43:H43"/>
    <mergeCell ref="B83:I83"/>
    <mergeCell ref="J83:K83"/>
    <mergeCell ref="L83:P83"/>
    <mergeCell ref="Q83:R83"/>
    <mergeCell ref="J55:R74"/>
    <mergeCell ref="A79:R79"/>
    <mergeCell ref="B82:I82"/>
    <mergeCell ref="J82:K82"/>
    <mergeCell ref="L82:P82"/>
    <mergeCell ref="Q82:R82"/>
    <mergeCell ref="B86:I86"/>
    <mergeCell ref="J86:K86"/>
    <mergeCell ref="L86:P86"/>
    <mergeCell ref="Q86:R86"/>
    <mergeCell ref="B87:I87"/>
    <mergeCell ref="J87:K87"/>
    <mergeCell ref="L87:P87"/>
    <mergeCell ref="Q87:R87"/>
    <mergeCell ref="B84:I84"/>
    <mergeCell ref="J84:K84"/>
    <mergeCell ref="L84:P84"/>
    <mergeCell ref="Q84:R84"/>
    <mergeCell ref="B85:I85"/>
    <mergeCell ref="J85:K85"/>
    <mergeCell ref="L85:P85"/>
    <mergeCell ref="Q85:R85"/>
    <mergeCell ref="B90:I90"/>
    <mergeCell ref="J90:K90"/>
    <mergeCell ref="L90:P90"/>
    <mergeCell ref="Q90:R90"/>
    <mergeCell ref="B91:I91"/>
    <mergeCell ref="J91:K91"/>
    <mergeCell ref="L91:P91"/>
    <mergeCell ref="Q91:R91"/>
    <mergeCell ref="B88:I88"/>
    <mergeCell ref="J88:K88"/>
    <mergeCell ref="L88:P88"/>
    <mergeCell ref="Q88:R88"/>
    <mergeCell ref="B89:I89"/>
    <mergeCell ref="J89:K89"/>
    <mergeCell ref="L89:P89"/>
    <mergeCell ref="Q89:R89"/>
    <mergeCell ref="B94:I94"/>
    <mergeCell ref="J94:K94"/>
    <mergeCell ref="L94:P94"/>
    <mergeCell ref="Q94:R94"/>
    <mergeCell ref="B95:I95"/>
    <mergeCell ref="J95:K95"/>
    <mergeCell ref="L95:P95"/>
    <mergeCell ref="Q95:R95"/>
    <mergeCell ref="B92:I92"/>
    <mergeCell ref="J92:K92"/>
    <mergeCell ref="L92:P92"/>
    <mergeCell ref="Q92:R92"/>
    <mergeCell ref="B93:I93"/>
    <mergeCell ref="J93:K93"/>
    <mergeCell ref="L93:P93"/>
    <mergeCell ref="Q93:R93"/>
    <mergeCell ref="B98:I98"/>
    <mergeCell ref="J98:K98"/>
    <mergeCell ref="L98:P98"/>
    <mergeCell ref="Q98:R98"/>
    <mergeCell ref="B99:I99"/>
    <mergeCell ref="J99:K99"/>
    <mergeCell ref="L99:P99"/>
    <mergeCell ref="Q99:R99"/>
    <mergeCell ref="B96:I96"/>
    <mergeCell ref="J96:K96"/>
    <mergeCell ref="L96:P96"/>
    <mergeCell ref="Q96:R96"/>
    <mergeCell ref="B97:I97"/>
    <mergeCell ref="J97:K97"/>
    <mergeCell ref="L97:P97"/>
    <mergeCell ref="Q97:R97"/>
    <mergeCell ref="B102:I102"/>
    <mergeCell ref="J102:K102"/>
    <mergeCell ref="L102:P102"/>
    <mergeCell ref="Q102:R102"/>
    <mergeCell ref="B103:I103"/>
    <mergeCell ref="J103:K103"/>
    <mergeCell ref="L103:P103"/>
    <mergeCell ref="Q103:R103"/>
    <mergeCell ref="B100:I100"/>
    <mergeCell ref="J100:K100"/>
    <mergeCell ref="L100:P100"/>
    <mergeCell ref="Q100:R100"/>
    <mergeCell ref="B101:I101"/>
    <mergeCell ref="J101:K101"/>
    <mergeCell ref="L101:P101"/>
    <mergeCell ref="Q101:R101"/>
    <mergeCell ref="B106:I106"/>
    <mergeCell ref="J106:K106"/>
    <mergeCell ref="L106:P106"/>
    <mergeCell ref="Q106:R106"/>
    <mergeCell ref="B107:I107"/>
    <mergeCell ref="J107:K107"/>
    <mergeCell ref="L107:P107"/>
    <mergeCell ref="Q107:R107"/>
    <mergeCell ref="B104:I104"/>
    <mergeCell ref="J104:K104"/>
    <mergeCell ref="L104:P104"/>
    <mergeCell ref="Q104:R104"/>
    <mergeCell ref="B105:I105"/>
    <mergeCell ref="J105:K105"/>
    <mergeCell ref="L105:P105"/>
    <mergeCell ref="Q105:R105"/>
    <mergeCell ref="B110:I110"/>
    <mergeCell ref="J110:K110"/>
    <mergeCell ref="L110:P110"/>
    <mergeCell ref="Q110:R110"/>
    <mergeCell ref="B111:I111"/>
    <mergeCell ref="J111:K111"/>
    <mergeCell ref="L111:P111"/>
    <mergeCell ref="Q111:R111"/>
    <mergeCell ref="B108:I108"/>
    <mergeCell ref="J108:K108"/>
    <mergeCell ref="L108:P108"/>
    <mergeCell ref="Q108:R108"/>
    <mergeCell ref="B109:I109"/>
    <mergeCell ref="J109:K109"/>
    <mergeCell ref="L109:P109"/>
    <mergeCell ref="Q109:R109"/>
    <mergeCell ref="B114:I114"/>
    <mergeCell ref="J114:K114"/>
    <mergeCell ref="L114:P114"/>
    <mergeCell ref="Q114:R114"/>
    <mergeCell ref="B115:I115"/>
    <mergeCell ref="J115:K115"/>
    <mergeCell ref="L115:P115"/>
    <mergeCell ref="Q115:R115"/>
    <mergeCell ref="B112:I112"/>
    <mergeCell ref="J112:K112"/>
    <mergeCell ref="L112:P112"/>
    <mergeCell ref="Q112:R112"/>
    <mergeCell ref="B113:I113"/>
    <mergeCell ref="J113:K113"/>
    <mergeCell ref="L113:P113"/>
    <mergeCell ref="Q113:R113"/>
    <mergeCell ref="B118:I118"/>
    <mergeCell ref="J118:K118"/>
    <mergeCell ref="L118:P118"/>
    <mergeCell ref="Q118:R118"/>
    <mergeCell ref="B119:I119"/>
    <mergeCell ref="J119:K119"/>
    <mergeCell ref="L119:P119"/>
    <mergeCell ref="Q119:R119"/>
    <mergeCell ref="B116:I116"/>
    <mergeCell ref="J116:K116"/>
    <mergeCell ref="L116:P116"/>
    <mergeCell ref="Q116:R116"/>
    <mergeCell ref="B117:I117"/>
    <mergeCell ref="J117:K117"/>
    <mergeCell ref="L117:P117"/>
    <mergeCell ref="Q117:R117"/>
    <mergeCell ref="I125:L125"/>
    <mergeCell ref="N125:R125"/>
    <mergeCell ref="A127:G127"/>
    <mergeCell ref="I127:L127"/>
    <mergeCell ref="I128:L128"/>
    <mergeCell ref="N128:R128"/>
    <mergeCell ref="A121:G121"/>
    <mergeCell ref="I121:L121"/>
    <mergeCell ref="I122:L122"/>
    <mergeCell ref="N122:R122"/>
    <mergeCell ref="A124:G124"/>
    <mergeCell ref="I124:L124"/>
  </mergeCells>
  <pageMargins left="0.59055118110236227" right="0.31496062992125984" top="0.31496062992125984" bottom="0.51181102362204722" header="0" footer="0.19685039370078741"/>
  <pageSetup paperSize="9" orientation="portrait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">
    <tabColor rgb="FFC00000"/>
  </sheetPr>
  <dimension ref="A1:AA350"/>
  <sheetViews>
    <sheetView topLeftCell="A65" workbookViewId="0">
      <selection activeCell="A71" sqref="A71"/>
    </sheetView>
  </sheetViews>
  <sheetFormatPr defaultColWidth="9.109375" defaultRowHeight="13.8" x14ac:dyDescent="0.25"/>
  <cols>
    <col min="1" max="1" width="4" style="376" customWidth="1"/>
    <col min="2" max="14" width="6" style="376" customWidth="1"/>
    <col min="15" max="15" width="8.5546875" style="376" customWidth="1"/>
    <col min="16" max="26" width="1.5546875" style="376" customWidth="1"/>
    <col min="27" max="16384" width="9.109375" style="376"/>
  </cols>
  <sheetData>
    <row r="1" spans="1:15" s="104" customFormat="1" x14ac:dyDescent="0.25">
      <c r="A1" s="1169">
        <f>'Краевые Сосновоборск'!A1:K1</f>
        <v>0</v>
      </c>
      <c r="B1" s="1169"/>
      <c r="C1" s="1169"/>
      <c r="D1" s="1169"/>
      <c r="E1" s="1169"/>
      <c r="F1" s="1169"/>
      <c r="G1" s="1169"/>
      <c r="H1" s="1169"/>
      <c r="I1" s="1169"/>
      <c r="J1" s="1169"/>
      <c r="K1" s="1169"/>
      <c r="L1" s="1169"/>
      <c r="M1" s="1169"/>
      <c r="N1" s="1169"/>
      <c r="O1" s="1169"/>
    </row>
    <row r="2" spans="1:15" s="104" customFormat="1" x14ac:dyDescent="0.25">
      <c r="A2" s="1169">
        <f>'Краевые Сосновоборск'!A2:K2</f>
        <v>0</v>
      </c>
      <c r="B2" s="1169"/>
      <c r="C2" s="1169"/>
      <c r="D2" s="1169"/>
      <c r="E2" s="1169"/>
      <c r="F2" s="1169"/>
      <c r="G2" s="1169"/>
      <c r="H2" s="1169"/>
      <c r="I2" s="1169"/>
      <c r="J2" s="1169"/>
      <c r="K2" s="1169"/>
      <c r="L2" s="1169"/>
      <c r="M2" s="1169"/>
      <c r="N2" s="1169"/>
      <c r="O2" s="1169"/>
    </row>
    <row r="3" spans="1:15" s="104" customFormat="1" x14ac:dyDescent="0.25">
      <c r="A3" s="1169">
        <f>'Краевые Сосновоборск'!A3:K3</f>
        <v>0</v>
      </c>
      <c r="B3" s="1169"/>
      <c r="C3" s="1169"/>
      <c r="D3" s="1169"/>
      <c r="E3" s="1169"/>
      <c r="F3" s="1169"/>
      <c r="G3" s="1169"/>
      <c r="H3" s="1169"/>
      <c r="I3" s="1169"/>
      <c r="J3" s="1169"/>
      <c r="K3" s="1169"/>
      <c r="L3" s="1169"/>
      <c r="M3" s="1169"/>
      <c r="N3" s="1169"/>
      <c r="O3" s="1169"/>
    </row>
    <row r="4" spans="1:15" s="104" customFormat="1" ht="12.75" customHeight="1" x14ac:dyDescent="0.25">
      <c r="A4" s="357"/>
      <c r="B4" s="354"/>
      <c r="C4" s="354"/>
      <c r="D4" s="355"/>
      <c r="E4" s="371"/>
      <c r="F4" s="354"/>
      <c r="G4" s="354"/>
      <c r="H4" s="353"/>
      <c r="I4" s="353"/>
      <c r="J4" s="355"/>
      <c r="K4" s="379"/>
    </row>
    <row r="5" spans="1:15" s="104" customFormat="1" ht="12.75" customHeight="1" x14ac:dyDescent="0.25">
      <c r="A5" s="357"/>
      <c r="B5" s="354"/>
      <c r="C5" s="354"/>
      <c r="D5" s="355"/>
      <c r="E5" s="371"/>
      <c r="F5" s="354"/>
      <c r="G5" s="354"/>
      <c r="H5" s="353"/>
      <c r="I5" s="353"/>
      <c r="J5" s="355"/>
      <c r="K5" s="379"/>
    </row>
    <row r="6" spans="1:15" s="104" customFormat="1" ht="12.75" customHeight="1" x14ac:dyDescent="0.25">
      <c r="A6" s="357"/>
      <c r="B6" s="354"/>
      <c r="C6" s="354"/>
      <c r="D6" s="355"/>
      <c r="E6" s="371"/>
      <c r="F6" s="354"/>
      <c r="G6" s="354"/>
      <c r="H6" s="353"/>
      <c r="I6" s="353"/>
      <c r="J6" s="355"/>
      <c r="K6" s="379"/>
    </row>
    <row r="7" spans="1:15" s="104" customFormat="1" ht="12.75" customHeight="1" x14ac:dyDescent="0.25">
      <c r="A7" s="357"/>
      <c r="B7" s="354"/>
      <c r="C7" s="354"/>
      <c r="D7" s="355"/>
      <c r="E7" s="371"/>
      <c r="F7" s="354"/>
      <c r="G7" s="354"/>
      <c r="H7" s="353"/>
      <c r="I7" s="353"/>
      <c r="J7" s="355"/>
      <c r="K7" s="379"/>
    </row>
    <row r="8" spans="1:15" s="104" customFormat="1" ht="12.75" customHeight="1" x14ac:dyDescent="0.25">
      <c r="A8" s="357"/>
      <c r="B8" s="354"/>
      <c r="C8" s="354"/>
      <c r="D8" s="355"/>
      <c r="E8" s="371"/>
      <c r="F8" s="354"/>
      <c r="G8" s="354"/>
      <c r="H8" s="353"/>
      <c r="I8" s="353"/>
      <c r="J8" s="355"/>
      <c r="K8" s="379"/>
    </row>
    <row r="9" spans="1:15" s="104" customFormat="1" ht="12.75" customHeight="1" x14ac:dyDescent="0.25">
      <c r="A9" s="357"/>
      <c r="B9" s="354"/>
      <c r="C9" s="354"/>
      <c r="D9" s="355"/>
      <c r="E9" s="371"/>
      <c r="F9" s="354"/>
      <c r="G9" s="354"/>
      <c r="H9" s="353"/>
      <c r="I9" s="353"/>
      <c r="J9" s="355"/>
      <c r="K9" s="379"/>
    </row>
    <row r="10" spans="1:15" s="104" customFormat="1" ht="12.75" customHeight="1" x14ac:dyDescent="0.25">
      <c r="A10" s="357"/>
      <c r="B10" s="354"/>
      <c r="C10" s="354"/>
      <c r="D10" s="355"/>
      <c r="E10" s="371"/>
      <c r="F10" s="354"/>
      <c r="G10" s="354"/>
      <c r="H10" s="353"/>
      <c r="I10" s="353"/>
      <c r="J10" s="355"/>
      <c r="K10" s="379"/>
    </row>
    <row r="11" spans="1:15" s="104" customFormat="1" ht="12.75" customHeight="1" x14ac:dyDescent="0.25">
      <c r="A11" s="354"/>
      <c r="B11" s="354"/>
      <c r="C11" s="354"/>
      <c r="D11" s="354"/>
      <c r="E11" s="354"/>
      <c r="F11" s="354"/>
      <c r="G11" s="354"/>
      <c r="H11" s="354"/>
      <c r="I11" s="354"/>
      <c r="J11" s="354"/>
      <c r="K11" s="354"/>
    </row>
    <row r="12" spans="1:15" s="104" customFormat="1" ht="12.75" customHeight="1" x14ac:dyDescent="0.25">
      <c r="A12" s="354"/>
      <c r="B12" s="354"/>
      <c r="C12" s="354"/>
      <c r="D12" s="354"/>
      <c r="E12" s="354"/>
      <c r="F12" s="354"/>
      <c r="G12" s="354"/>
      <c r="H12" s="354"/>
      <c r="I12" s="354"/>
      <c r="J12" s="354"/>
      <c r="K12" s="354"/>
    </row>
    <row r="13" spans="1:15" s="104" customFormat="1" ht="12.75" customHeight="1" x14ac:dyDescent="0.25">
      <c r="A13" s="354"/>
      <c r="B13" s="354"/>
      <c r="C13" s="354"/>
      <c r="D13" s="354"/>
      <c r="E13" s="354"/>
      <c r="F13" s="354"/>
      <c r="G13" s="354"/>
      <c r="H13" s="354"/>
      <c r="I13" s="354"/>
      <c r="J13" s="354"/>
      <c r="K13" s="354"/>
    </row>
    <row r="14" spans="1:15" s="104" customFormat="1" ht="12.75" customHeight="1" x14ac:dyDescent="0.25">
      <c r="A14" s="354"/>
      <c r="B14" s="354"/>
      <c r="C14" s="354"/>
      <c r="D14" s="354"/>
      <c r="E14" s="354"/>
      <c r="F14" s="354"/>
      <c r="G14" s="354"/>
      <c r="H14" s="354"/>
      <c r="I14" s="354"/>
      <c r="J14" s="354"/>
      <c r="K14" s="354"/>
    </row>
    <row r="15" spans="1:15" s="104" customFormat="1" ht="30.75" customHeight="1" x14ac:dyDescent="0.25">
      <c r="A15" s="1250" t="s">
        <v>339</v>
      </c>
      <c r="B15" s="1250"/>
      <c r="C15" s="1250"/>
      <c r="D15" s="1250"/>
      <c r="E15" s="1250"/>
      <c r="F15" s="1250"/>
      <c r="G15" s="1250"/>
      <c r="H15" s="1250"/>
      <c r="I15" s="1250"/>
      <c r="J15" s="1250"/>
      <c r="K15" s="1250"/>
      <c r="L15" s="1250"/>
      <c r="M15" s="1250"/>
      <c r="N15" s="1250"/>
      <c r="O15" s="1250"/>
    </row>
    <row r="16" spans="1:15" s="104" customFormat="1" ht="24.6" x14ac:dyDescent="0.25">
      <c r="A16" s="1251" t="s">
        <v>357</v>
      </c>
      <c r="B16" s="1251"/>
      <c r="C16" s="1251"/>
      <c r="D16" s="1251"/>
      <c r="E16" s="1251"/>
      <c r="F16" s="1251"/>
      <c r="G16" s="1251"/>
      <c r="H16" s="1251"/>
      <c r="I16" s="1251"/>
      <c r="J16" s="1251"/>
      <c r="K16" s="1251"/>
      <c r="L16" s="1251"/>
      <c r="M16" s="1251"/>
      <c r="N16" s="1251"/>
      <c r="O16" s="1251"/>
    </row>
    <row r="17" spans="1:15" s="104" customFormat="1" ht="12.75" customHeight="1" x14ac:dyDescent="0.25">
      <c r="A17" s="1242"/>
      <c r="B17" s="1242"/>
      <c r="C17" s="1242"/>
      <c r="D17" s="1242"/>
      <c r="E17" s="1242"/>
      <c r="F17" s="1242"/>
      <c r="G17" s="1242"/>
      <c r="H17" s="1242"/>
      <c r="I17" s="1242"/>
      <c r="J17" s="1242"/>
      <c r="K17" s="1242"/>
      <c r="L17" s="1242"/>
      <c r="M17" s="1242"/>
      <c r="N17" s="1242"/>
      <c r="O17" s="1242"/>
    </row>
    <row r="18" spans="1:15" s="104" customFormat="1" ht="12.75" customHeight="1" x14ac:dyDescent="0.25">
      <c r="A18" s="1242"/>
      <c r="B18" s="1242"/>
      <c r="C18" s="1242"/>
      <c r="D18" s="1242"/>
      <c r="E18" s="1242"/>
      <c r="F18" s="1242"/>
      <c r="G18" s="1242"/>
      <c r="H18" s="1242"/>
      <c r="I18" s="1242"/>
      <c r="J18" s="1242"/>
      <c r="K18" s="1242"/>
      <c r="L18" s="1242"/>
      <c r="M18" s="1242"/>
      <c r="N18" s="1242"/>
      <c r="O18" s="1242"/>
    </row>
    <row r="19" spans="1:15" s="104" customFormat="1" ht="42" customHeight="1" x14ac:dyDescent="0.25">
      <c r="A19" s="1246" t="str">
        <f>'Краевые Сосновоборск'!A22:K22</f>
        <v xml:space="preserve">Краевые соревнования </v>
      </c>
      <c r="B19" s="1246"/>
      <c r="C19" s="1246"/>
      <c r="D19" s="1246"/>
      <c r="E19" s="1246"/>
      <c r="F19" s="1246"/>
      <c r="G19" s="1246"/>
      <c r="H19" s="1246"/>
      <c r="I19" s="1246"/>
      <c r="J19" s="1246"/>
      <c r="K19" s="1246"/>
      <c r="L19" s="1246"/>
      <c r="M19" s="1246"/>
      <c r="N19" s="1246"/>
      <c r="O19" s="1246"/>
    </row>
    <row r="20" spans="1:15" s="104" customFormat="1" ht="12.75" customHeight="1" x14ac:dyDescent="0.25">
      <c r="A20" s="380"/>
      <c r="B20" s="380"/>
      <c r="C20" s="380"/>
      <c r="D20" s="380"/>
      <c r="E20" s="380"/>
      <c r="F20" s="380"/>
      <c r="G20" s="380"/>
      <c r="H20" s="380"/>
      <c r="I20" s="380"/>
      <c r="J20" s="380"/>
      <c r="K20" s="380"/>
    </row>
    <row r="21" spans="1:15" s="104" customFormat="1" ht="22.5" customHeight="1" x14ac:dyDescent="0.25">
      <c r="A21" s="1247" t="str">
        <f>'Краевые Сосновоборск'!A23:K23</f>
        <v xml:space="preserve">по подводному спорту (1460008511Я) (плавание в ластах) </v>
      </c>
      <c r="B21" s="1247"/>
      <c r="C21" s="1247"/>
      <c r="D21" s="1247"/>
      <c r="E21" s="1247"/>
      <c r="F21" s="1247"/>
      <c r="G21" s="1247"/>
      <c r="H21" s="1247"/>
      <c r="I21" s="1247"/>
      <c r="J21" s="1247"/>
      <c r="K21" s="1247"/>
      <c r="L21" s="1247"/>
      <c r="M21" s="1247"/>
      <c r="N21" s="1247"/>
      <c r="O21" s="1247"/>
    </row>
    <row r="22" spans="1:15" s="104" customFormat="1" ht="12.75" customHeight="1" x14ac:dyDescent="0.25">
      <c r="A22" s="380"/>
      <c r="B22" s="380"/>
      <c r="C22" s="380"/>
      <c r="D22" s="380"/>
      <c r="E22" s="380"/>
      <c r="F22" s="380"/>
      <c r="G22" s="380"/>
      <c r="H22" s="380"/>
      <c r="I22" s="380"/>
      <c r="J22" s="380"/>
      <c r="K22" s="380"/>
    </row>
    <row r="23" spans="1:15" s="104" customFormat="1" ht="12.75" customHeight="1" x14ac:dyDescent="0.25">
      <c r="A23" s="354"/>
      <c r="B23" s="354"/>
      <c r="C23" s="354"/>
      <c r="D23" s="354"/>
      <c r="E23" s="354"/>
      <c r="F23" s="354"/>
      <c r="G23" s="354"/>
      <c r="H23" s="354"/>
      <c r="I23" s="354"/>
      <c r="J23" s="354"/>
      <c r="K23" s="354"/>
    </row>
    <row r="26" spans="1:15" s="104" customFormat="1" ht="12.75" customHeight="1" x14ac:dyDescent="0.25">
      <c r="A26" s="357"/>
      <c r="B26" s="354"/>
      <c r="C26" s="354"/>
      <c r="D26" s="355"/>
      <c r="E26" s="371"/>
      <c r="F26" s="354"/>
      <c r="G26" s="354"/>
      <c r="H26" s="353"/>
      <c r="I26" s="353"/>
      <c r="J26" s="355"/>
      <c r="K26" s="379"/>
    </row>
    <row r="27" spans="1:15" s="104" customFormat="1" ht="12.75" customHeight="1" x14ac:dyDescent="0.25">
      <c r="A27" s="357"/>
      <c r="B27" s="354"/>
      <c r="C27" s="354"/>
      <c r="D27" s="355"/>
      <c r="E27" s="371"/>
      <c r="F27" s="354"/>
      <c r="G27" s="354"/>
      <c r="H27" s="353"/>
      <c r="I27" s="353"/>
      <c r="J27" s="355"/>
      <c r="K27" s="379"/>
    </row>
    <row r="28" spans="1:15" s="104" customFormat="1" ht="12.75" customHeight="1" x14ac:dyDescent="0.25">
      <c r="A28" s="357"/>
      <c r="B28" s="354"/>
      <c r="C28" s="354"/>
      <c r="D28" s="355"/>
      <c r="E28" s="371"/>
      <c r="F28" s="354"/>
      <c r="G28" s="354"/>
      <c r="H28" s="353"/>
      <c r="I28" s="353"/>
      <c r="J28" s="355"/>
      <c r="K28" s="379"/>
    </row>
    <row r="29" spans="1:15" s="104" customFormat="1" ht="12.75" customHeight="1" x14ac:dyDescent="0.25">
      <c r="A29" s="357"/>
      <c r="B29" s="354"/>
      <c r="C29" s="354"/>
      <c r="D29" s="355"/>
      <c r="E29" s="371"/>
      <c r="F29" s="354"/>
      <c r="G29" s="354"/>
      <c r="H29" s="353"/>
      <c r="I29" s="353"/>
      <c r="J29" s="355"/>
      <c r="K29" s="379"/>
    </row>
    <row r="30" spans="1:15" s="104" customFormat="1" ht="12.75" customHeight="1" x14ac:dyDescent="0.25">
      <c r="A30" s="357"/>
      <c r="B30" s="354"/>
      <c r="C30" s="354"/>
      <c r="D30" s="355"/>
      <c r="E30" s="371"/>
      <c r="F30" s="354"/>
      <c r="G30" s="354"/>
      <c r="H30" s="353"/>
      <c r="I30" s="353"/>
      <c r="J30" s="355"/>
      <c r="K30" s="379"/>
    </row>
    <row r="31" spans="1:15" s="104" customFormat="1" ht="4.5" hidden="1" customHeight="1" x14ac:dyDescent="0.25">
      <c r="A31" s="357"/>
      <c r="B31" s="354"/>
      <c r="C31" s="354"/>
      <c r="D31" s="355"/>
      <c r="E31" s="371"/>
      <c r="F31" s="354"/>
      <c r="G31" s="354"/>
      <c r="H31" s="353"/>
      <c r="I31" s="353"/>
      <c r="J31" s="355"/>
      <c r="K31" s="379"/>
    </row>
    <row r="32" spans="1:15" s="104" customFormat="1" ht="12.75" customHeight="1" x14ac:dyDescent="0.25">
      <c r="A32" s="357"/>
      <c r="B32" s="354"/>
      <c r="C32" s="354"/>
      <c r="D32" s="355"/>
      <c r="E32" s="371"/>
      <c r="F32" s="354"/>
      <c r="G32" s="354"/>
      <c r="H32" s="353"/>
      <c r="I32" s="353"/>
      <c r="J32" s="355"/>
      <c r="K32" s="379"/>
    </row>
    <row r="33" spans="1:11" s="104" customFormat="1" ht="12.75" customHeight="1" x14ac:dyDescent="0.25">
      <c r="A33" s="357"/>
      <c r="B33" s="354"/>
      <c r="C33" s="354"/>
      <c r="D33" s="355"/>
      <c r="E33" s="371"/>
      <c r="F33" s="354"/>
      <c r="G33" s="354"/>
      <c r="H33" s="353"/>
      <c r="I33" s="353"/>
      <c r="J33" s="355"/>
      <c r="K33" s="379"/>
    </row>
    <row r="34" spans="1:11" s="104" customFormat="1" ht="12.75" customHeight="1" x14ac:dyDescent="0.25">
      <c r="A34" s="357"/>
      <c r="B34" s="354"/>
      <c r="C34" s="354"/>
      <c r="D34" s="355"/>
      <c r="E34" s="371"/>
      <c r="F34" s="354"/>
      <c r="G34" s="354"/>
      <c r="H34" s="353"/>
      <c r="I34" s="353"/>
      <c r="J34" s="355"/>
      <c r="K34" s="379"/>
    </row>
    <row r="35" spans="1:11" s="104" customFormat="1" ht="12.75" customHeight="1" x14ac:dyDescent="0.25">
      <c r="A35" s="357"/>
      <c r="B35" s="354"/>
      <c r="C35" s="354"/>
      <c r="D35" s="355"/>
      <c r="E35" s="371"/>
      <c r="F35" s="354"/>
      <c r="G35" s="354"/>
      <c r="H35" s="353"/>
      <c r="I35" s="353"/>
      <c r="J35" s="355"/>
      <c r="K35" s="379"/>
    </row>
    <row r="36" spans="1:11" s="104" customFormat="1" ht="12.75" customHeight="1" x14ac:dyDescent="0.25">
      <c r="A36" s="357"/>
      <c r="B36" s="354"/>
      <c r="C36" s="354"/>
      <c r="D36" s="355"/>
      <c r="E36" s="371"/>
      <c r="F36" s="354"/>
      <c r="G36" s="354"/>
      <c r="H36" s="353"/>
      <c r="I36" s="353"/>
      <c r="J36" s="355"/>
      <c r="K36" s="379"/>
    </row>
    <row r="37" spans="1:11" s="104" customFormat="1" ht="12.75" customHeight="1" x14ac:dyDescent="0.25">
      <c r="A37" s="357"/>
      <c r="B37" s="354"/>
      <c r="C37" s="354"/>
      <c r="D37" s="355"/>
      <c r="E37" s="371"/>
      <c r="F37" s="354"/>
      <c r="G37" s="354"/>
      <c r="H37" s="353"/>
      <c r="I37" s="353"/>
      <c r="J37" s="355"/>
      <c r="K37" s="379"/>
    </row>
    <row r="38" spans="1:11" s="104" customFormat="1" ht="12.75" customHeight="1" x14ac:dyDescent="0.25">
      <c r="A38" s="357"/>
      <c r="B38" s="354"/>
      <c r="C38" s="354"/>
      <c r="D38" s="355"/>
      <c r="E38" s="371"/>
      <c r="F38" s="354"/>
      <c r="G38" s="354"/>
      <c r="H38" s="353"/>
      <c r="I38" s="353"/>
      <c r="J38" s="355"/>
      <c r="K38" s="379"/>
    </row>
    <row r="39" spans="1:11" s="104" customFormat="1" ht="12.75" customHeight="1" x14ac:dyDescent="0.25">
      <c r="A39" s="357"/>
      <c r="B39" s="354"/>
      <c r="C39" s="354"/>
      <c r="D39" s="355"/>
      <c r="E39" s="371"/>
      <c r="F39" s="354"/>
      <c r="G39" s="354"/>
      <c r="H39" s="353"/>
      <c r="I39" s="353"/>
      <c r="J39" s="355"/>
      <c r="K39" s="379"/>
    </row>
    <row r="40" spans="1:11" s="104" customFormat="1" ht="12.75" customHeight="1" x14ac:dyDescent="0.25">
      <c r="A40" s="357"/>
      <c r="B40" s="354"/>
      <c r="C40" s="354"/>
      <c r="D40" s="355"/>
      <c r="E40" s="371"/>
      <c r="F40" s="354"/>
      <c r="G40" s="354"/>
      <c r="H40" s="353"/>
      <c r="I40" s="353"/>
      <c r="J40" s="355"/>
      <c r="K40" s="379"/>
    </row>
    <row r="41" spans="1:11" s="104" customFormat="1" ht="12.75" customHeight="1" x14ac:dyDescent="0.25">
      <c r="A41" s="357"/>
      <c r="B41" s="354"/>
      <c r="C41" s="354"/>
      <c r="D41" s="355"/>
      <c r="E41" s="371"/>
      <c r="F41" s="354"/>
      <c r="G41" s="354"/>
      <c r="H41" s="353"/>
      <c r="I41" s="353"/>
      <c r="J41" s="355"/>
      <c r="K41" s="379"/>
    </row>
    <row r="42" spans="1:11" s="104" customFormat="1" ht="12.75" customHeight="1" x14ac:dyDescent="0.25">
      <c r="A42" s="357"/>
      <c r="B42" s="354"/>
      <c r="C42" s="354"/>
      <c r="D42" s="355"/>
      <c r="E42" s="371"/>
      <c r="F42" s="354"/>
      <c r="G42" s="354"/>
      <c r="H42" s="353"/>
      <c r="I42" s="353"/>
      <c r="J42" s="355"/>
      <c r="K42" s="379"/>
    </row>
    <row r="43" spans="1:11" s="104" customFormat="1" ht="12.75" customHeight="1" x14ac:dyDescent="0.25">
      <c r="A43" s="357"/>
      <c r="B43" s="354"/>
      <c r="C43" s="354"/>
      <c r="D43" s="355"/>
      <c r="E43" s="371"/>
      <c r="F43" s="354"/>
      <c r="G43" s="354"/>
      <c r="H43" s="353"/>
      <c r="I43" s="353"/>
      <c r="J43" s="355"/>
      <c r="K43" s="379"/>
    </row>
    <row r="44" spans="1:11" s="104" customFormat="1" ht="12.75" customHeight="1" x14ac:dyDescent="0.25">
      <c r="A44" s="357"/>
      <c r="B44" s="354"/>
      <c r="C44" s="354"/>
      <c r="D44" s="355"/>
      <c r="E44" s="371"/>
      <c r="F44" s="354"/>
      <c r="G44" s="354"/>
      <c r="H44" s="353"/>
      <c r="I44" s="353"/>
      <c r="J44" s="355"/>
      <c r="K44" s="379"/>
    </row>
    <row r="45" spans="1:11" s="104" customFormat="1" ht="12.75" customHeight="1" x14ac:dyDescent="0.25">
      <c r="A45" s="357"/>
      <c r="B45" s="354"/>
      <c r="C45" s="354"/>
      <c r="D45" s="355"/>
      <c r="E45" s="371"/>
      <c r="F45" s="354"/>
      <c r="G45" s="354"/>
      <c r="H45" s="353"/>
      <c r="I45" s="353"/>
      <c r="J45" s="355"/>
      <c r="K45" s="379"/>
    </row>
    <row r="46" spans="1:11" s="104" customFormat="1" ht="12.75" customHeight="1" x14ac:dyDescent="0.25">
      <c r="A46" s="357"/>
      <c r="B46" s="354"/>
      <c r="C46" s="354"/>
      <c r="D46" s="355"/>
      <c r="E46" s="371"/>
      <c r="F46" s="354"/>
      <c r="G46" s="354"/>
      <c r="H46" s="353"/>
      <c r="I46" s="353"/>
      <c r="J46" s="355"/>
      <c r="K46" s="379"/>
    </row>
    <row r="47" spans="1:11" s="104" customFormat="1" ht="12.75" customHeight="1" x14ac:dyDescent="0.25">
      <c r="A47" s="357"/>
      <c r="B47" s="354"/>
      <c r="C47" s="354"/>
      <c r="D47" s="355"/>
      <c r="E47" s="371"/>
      <c r="F47" s="354"/>
      <c r="G47" s="354"/>
      <c r="H47" s="353"/>
      <c r="I47" s="353"/>
      <c r="J47" s="355"/>
      <c r="K47" s="379"/>
    </row>
    <row r="48" spans="1:11" s="104" customFormat="1" ht="12.75" customHeight="1" x14ac:dyDescent="0.25">
      <c r="A48" s="357"/>
      <c r="B48" s="354"/>
      <c r="C48" s="354"/>
      <c r="D48" s="355"/>
      <c r="E48" s="371"/>
      <c r="F48" s="354"/>
      <c r="G48" s="354"/>
      <c r="H48" s="353"/>
      <c r="I48" s="353"/>
      <c r="J48" s="355"/>
      <c r="K48" s="379"/>
    </row>
    <row r="49" spans="1:16" s="104" customFormat="1" ht="12.75" customHeight="1" x14ac:dyDescent="0.25">
      <c r="A49" s="357"/>
      <c r="B49" s="354"/>
      <c r="C49" s="354"/>
      <c r="D49" s="355"/>
      <c r="E49" s="371"/>
      <c r="F49" s="354"/>
      <c r="G49" s="354"/>
      <c r="H49" s="353"/>
      <c r="I49" s="353"/>
      <c r="J49" s="355"/>
      <c r="K49" s="379"/>
    </row>
    <row r="50" spans="1:16" s="104" customFormat="1" ht="12.75" customHeight="1" x14ac:dyDescent="0.3">
      <c r="A50" s="137"/>
      <c r="B50" s="138"/>
      <c r="C50" s="139"/>
      <c r="D50" s="139"/>
      <c r="E50" s="139"/>
      <c r="F50" s="139"/>
      <c r="G50" s="139"/>
      <c r="H50" s="138"/>
      <c r="I50" s="383"/>
      <c r="J50" s="138"/>
      <c r="K50" s="140"/>
    </row>
    <row r="51" spans="1:16" s="104" customFormat="1" ht="12.75" customHeight="1" x14ac:dyDescent="0.25">
      <c r="A51" s="357"/>
      <c r="B51" s="354"/>
      <c r="C51" s="354"/>
      <c r="D51" s="355"/>
      <c r="E51" s="371"/>
      <c r="F51" s="354"/>
      <c r="G51" s="354"/>
      <c r="H51" s="353"/>
      <c r="I51" s="353"/>
      <c r="J51" s="355"/>
      <c r="K51" s="379"/>
    </row>
    <row r="52" spans="1:16" s="104" customFormat="1" ht="32.25" customHeight="1" x14ac:dyDescent="0.25">
      <c r="A52" s="1248" t="str">
        <f>'Краевые Сосновоборск'!C47</f>
        <v>г. Сосновоборск, 2025 г.</v>
      </c>
      <c r="B52" s="1248"/>
      <c r="C52" s="1248"/>
      <c r="D52" s="1248"/>
      <c r="E52" s="1248"/>
      <c r="F52" s="1248"/>
      <c r="G52" s="1248"/>
      <c r="H52" s="1248"/>
      <c r="I52" s="1248"/>
      <c r="J52" s="1248"/>
      <c r="K52" s="1248"/>
      <c r="L52" s="1248"/>
      <c r="M52" s="1248"/>
      <c r="N52" s="1248"/>
      <c r="O52" s="1248"/>
    </row>
    <row r="53" spans="1:16" s="104" customFormat="1" ht="15.75" customHeight="1" x14ac:dyDescent="0.25">
      <c r="A53" s="1249" t="e">
        <f>'Краевые Сосновоборск'!C48:M48</f>
        <v>#VALUE!</v>
      </c>
      <c r="B53" s="1249"/>
      <c r="C53" s="1249"/>
      <c r="D53" s="1249"/>
      <c r="E53" s="1249"/>
      <c r="F53" s="1249"/>
      <c r="G53" s="1249"/>
      <c r="H53" s="1249"/>
      <c r="I53" s="1249"/>
      <c r="J53" s="1249"/>
      <c r="K53" s="1249"/>
      <c r="L53" s="1249"/>
      <c r="M53" s="1249"/>
      <c r="N53" s="1249"/>
      <c r="O53" s="1249"/>
    </row>
    <row r="54" spans="1:16" ht="17.399999999999999" x14ac:dyDescent="0.3">
      <c r="A54" s="1233" t="s">
        <v>339</v>
      </c>
      <c r="B54" s="1233"/>
      <c r="C54" s="1233"/>
      <c r="D54" s="1233"/>
      <c r="E54" s="1233"/>
      <c r="F54" s="1233"/>
      <c r="G54" s="1233"/>
      <c r="H54" s="1233"/>
      <c r="I54" s="1233"/>
      <c r="J54" s="1233"/>
      <c r="K54" s="1233"/>
      <c r="L54" s="1233"/>
      <c r="M54" s="1233"/>
      <c r="N54" s="1233"/>
      <c r="O54" s="1233"/>
    </row>
    <row r="55" spans="1:16" s="174" customFormat="1" ht="33" customHeight="1" x14ac:dyDescent="0.3">
      <c r="A55" s="1243" t="s">
        <v>363</v>
      </c>
      <c r="B55" s="1243"/>
      <c r="C55" s="1243"/>
      <c r="D55" s="1243"/>
      <c r="E55" s="1243"/>
      <c r="F55" s="1243"/>
      <c r="G55" s="1243"/>
      <c r="H55" s="1243"/>
      <c r="I55" s="1244" t="str">
        <f>A21</f>
        <v xml:space="preserve">по подводному спорту (1460008511Я) (плавание в ластах) </v>
      </c>
      <c r="J55" s="1244"/>
      <c r="K55" s="1244"/>
      <c r="L55" s="1244"/>
      <c r="M55" s="1244"/>
      <c r="N55" s="1244"/>
      <c r="O55" s="1244"/>
    </row>
    <row r="56" spans="1:16" s="374" customFormat="1" ht="15.6" x14ac:dyDescent="0.3">
      <c r="A56" s="375"/>
    </row>
    <row r="57" spans="1:16" s="374" customFormat="1" ht="15.6" x14ac:dyDescent="0.3">
      <c r="B57" s="375" t="s">
        <v>340</v>
      </c>
    </row>
    <row r="58" spans="1:16" s="374" customFormat="1" ht="16.2" x14ac:dyDescent="0.35">
      <c r="A58" s="377" t="s">
        <v>359</v>
      </c>
      <c r="B58" s="1237" t="s">
        <v>358</v>
      </c>
      <c r="C58" s="1237"/>
      <c r="D58" s="1237"/>
      <c r="E58" s="1237"/>
      <c r="F58" s="1252" t="e">
        <f>A53</f>
        <v>#VALUE!</v>
      </c>
      <c r="G58" s="1252"/>
      <c r="H58" s="1252"/>
      <c r="I58" s="1252"/>
      <c r="J58" s="1252"/>
      <c r="K58" s="1252"/>
      <c r="L58" s="1252"/>
      <c r="M58" s="1252"/>
      <c r="N58" s="1252"/>
      <c r="O58" s="1252"/>
      <c r="P58" s="1252"/>
    </row>
    <row r="59" spans="1:16" s="374" customFormat="1" ht="15.6" x14ac:dyDescent="0.3">
      <c r="A59" s="377" t="s">
        <v>341</v>
      </c>
    </row>
    <row r="60" spans="1:16" s="374" customFormat="1" ht="16.2" x14ac:dyDescent="0.35">
      <c r="A60" s="377" t="s">
        <v>360</v>
      </c>
      <c r="B60" s="1237" t="s">
        <v>366</v>
      </c>
      <c r="C60" s="1237"/>
      <c r="D60" s="1237"/>
      <c r="E60" s="1237"/>
      <c r="F60" s="1237"/>
      <c r="G60" s="1237"/>
      <c r="H60" s="1237"/>
      <c r="I60" s="1245" t="str">
        <f>A52</f>
        <v>г. Сосновоборск, 2025 г.</v>
      </c>
      <c r="J60" s="1245"/>
      <c r="K60" s="1245"/>
      <c r="L60" s="1245"/>
      <c r="M60" s="1245"/>
      <c r="N60" s="1245"/>
      <c r="O60" s="1245"/>
    </row>
    <row r="61" spans="1:16" s="374" customFormat="1" ht="15.6" x14ac:dyDescent="0.3">
      <c r="A61" s="377"/>
    </row>
    <row r="62" spans="1:16" s="374" customFormat="1" ht="16.2" x14ac:dyDescent="0.35">
      <c r="A62" s="377" t="s">
        <v>361</v>
      </c>
      <c r="B62" s="1237" t="s">
        <v>367</v>
      </c>
      <c r="C62" s="1237"/>
      <c r="D62" s="1237"/>
      <c r="E62" s="1237"/>
      <c r="F62" s="1237"/>
      <c r="G62" s="1237"/>
      <c r="H62" s="1237"/>
      <c r="I62" s="587" t="str">
        <f>A52</f>
        <v>г. Сосновоборск, 2025 г.</v>
      </c>
    </row>
    <row r="63" spans="1:16" s="374" customFormat="1" ht="15.6" x14ac:dyDescent="0.3">
      <c r="A63" s="377" t="s">
        <v>342</v>
      </c>
    </row>
    <row r="64" spans="1:16" s="374" customFormat="1" ht="18" x14ac:dyDescent="0.35">
      <c r="A64" s="377" t="s">
        <v>365</v>
      </c>
      <c r="B64" s="374" t="s">
        <v>362</v>
      </c>
      <c r="H64" s="400" t="e">
        <f>E66+G67</f>
        <v>#REF!</v>
      </c>
      <c r="I64" s="374" t="s">
        <v>364</v>
      </c>
      <c r="J64" s="384"/>
      <c r="K64" s="374" t="s">
        <v>951</v>
      </c>
    </row>
    <row r="65" spans="1:19" s="374" customFormat="1" ht="15.6" x14ac:dyDescent="0.3">
      <c r="A65" s="377"/>
      <c r="H65" s="385"/>
      <c r="J65" s="385"/>
    </row>
    <row r="66" spans="1:19" s="374" customFormat="1" ht="18" x14ac:dyDescent="0.35">
      <c r="A66" s="377"/>
      <c r="B66" s="1237" t="s">
        <v>368</v>
      </c>
      <c r="C66" s="1237"/>
      <c r="D66" s="1237"/>
      <c r="E66" s="400" t="e">
        <f>I66+L66</f>
        <v>#REF!</v>
      </c>
      <c r="F66" s="1237" t="s">
        <v>369</v>
      </c>
      <c r="G66" s="1237"/>
      <c r="H66" s="1237"/>
      <c r="I66" s="400" t="e">
        <f>COUNTIF('Краевые Сосновоборск'!#REF!,"М")</f>
        <v>#REF!</v>
      </c>
      <c r="J66" s="1253" t="s">
        <v>370</v>
      </c>
      <c r="K66" s="1253"/>
      <c r="L66" s="400" t="e">
        <f>COUNTIF('Краевые Сосновоборск'!#REF!,"Ж")</f>
        <v>#REF!</v>
      </c>
      <c r="M66" s="374" t="s">
        <v>177</v>
      </c>
    </row>
    <row r="67" spans="1:19" s="374" customFormat="1" ht="18" x14ac:dyDescent="0.35">
      <c r="B67" s="1237" t="s">
        <v>371</v>
      </c>
      <c r="C67" s="1237"/>
      <c r="D67" s="1237"/>
      <c r="E67" s="1237"/>
      <c r="F67" s="1237"/>
      <c r="G67" s="400">
        <f>COUNTIF('Краевые Сосновоборск'!A343:A390,"Тренер-представитель")</f>
        <v>0</v>
      </c>
      <c r="H67" s="374" t="s">
        <v>372</v>
      </c>
    </row>
    <row r="68" spans="1:19" s="374" customFormat="1" ht="15.6" x14ac:dyDescent="0.3">
      <c r="A68" s="377"/>
    </row>
    <row r="69" spans="1:19" s="374" customFormat="1" ht="18" x14ac:dyDescent="0.35">
      <c r="A69" s="377" t="s">
        <v>373</v>
      </c>
      <c r="B69" s="1237" t="s">
        <v>374</v>
      </c>
      <c r="C69" s="1237"/>
      <c r="D69" s="1237"/>
      <c r="E69" s="1237"/>
      <c r="F69" s="1237"/>
      <c r="G69" s="400">
        <f>COUNTA('Краевые Сосновоборск'!A60:A221)</f>
        <v>132</v>
      </c>
      <c r="H69" s="1253" t="s">
        <v>375</v>
      </c>
      <c r="I69" s="1253"/>
      <c r="J69" s="1253"/>
      <c r="K69" s="1253"/>
      <c r="L69" s="1253"/>
      <c r="M69" s="401">
        <f>G69-COUNTIF('Краевые Сосновоборск'!I60:I221,"Красноярск")</f>
        <v>122</v>
      </c>
      <c r="N69" s="374" t="s">
        <v>73</v>
      </c>
    </row>
    <row r="70" spans="1:19" s="374" customFormat="1" ht="20.25" customHeight="1" x14ac:dyDescent="0.35">
      <c r="A70" s="399" t="s">
        <v>444</v>
      </c>
      <c r="J70" s="398" t="s">
        <v>445</v>
      </c>
      <c r="K70" s="400">
        <f>COUNTIF('Краевые Сосновоборск'!H60:H221,"МК")</f>
        <v>0</v>
      </c>
      <c r="L70" s="374" t="s">
        <v>446</v>
      </c>
      <c r="M70" s="402">
        <f>COUNTIF('Краевые Сосновоборск'!H60:H221,"ВК")</f>
        <v>0</v>
      </c>
      <c r="N70" s="374" t="s">
        <v>450</v>
      </c>
      <c r="O70" s="400">
        <f>COUNTIF('Краевые Сосновоборск'!H60:H221,"I")</f>
        <v>0</v>
      </c>
    </row>
    <row r="71" spans="1:19" s="374" customFormat="1" ht="18" x14ac:dyDescent="0.35">
      <c r="A71" s="400">
        <f>G69-K70-M70-O70</f>
        <v>132</v>
      </c>
      <c r="B71" s="374" t="s">
        <v>447</v>
      </c>
    </row>
    <row r="72" spans="1:19" s="374" customFormat="1" ht="15.6" x14ac:dyDescent="0.3">
      <c r="A72" s="377"/>
    </row>
    <row r="73" spans="1:19" s="374" customFormat="1" ht="36.75" customHeight="1" x14ac:dyDescent="0.3">
      <c r="A73" s="387" t="s">
        <v>382</v>
      </c>
      <c r="B73" s="1218" t="s">
        <v>383</v>
      </c>
      <c r="C73" s="1218"/>
      <c r="D73" s="1218"/>
      <c r="E73" s="1218"/>
      <c r="F73" s="1218"/>
      <c r="G73" s="1218"/>
      <c r="H73" s="1218"/>
      <c r="I73" s="1218"/>
      <c r="J73" s="1218"/>
      <c r="K73" s="1218"/>
      <c r="L73" s="1218"/>
      <c r="M73" s="1218"/>
      <c r="N73" s="1218"/>
      <c r="O73" s="1218"/>
      <c r="S73" s="398"/>
    </row>
    <row r="74" spans="1:19" s="374" customFormat="1" ht="15.6" x14ac:dyDescent="0.3">
      <c r="A74" s="377"/>
    </row>
    <row r="75" spans="1:19" s="374" customFormat="1" ht="19.5" customHeight="1" x14ac:dyDescent="0.3">
      <c r="A75" s="1219" t="s">
        <v>1</v>
      </c>
      <c r="B75" s="1220" t="s">
        <v>343</v>
      </c>
      <c r="C75" s="1220"/>
      <c r="D75" s="1220"/>
      <c r="E75" s="1220"/>
      <c r="F75" s="1220"/>
      <c r="G75" s="1220"/>
      <c r="H75" s="1220"/>
      <c r="I75" s="1220"/>
      <c r="J75" s="1220" t="s">
        <v>344</v>
      </c>
      <c r="K75" s="1220"/>
      <c r="L75" s="1220"/>
      <c r="M75" s="1213" t="s">
        <v>384</v>
      </c>
      <c r="N75" s="1213"/>
      <c r="O75" s="1220" t="s">
        <v>345</v>
      </c>
    </row>
    <row r="76" spans="1:19" s="374" customFormat="1" ht="58.2" x14ac:dyDescent="0.3">
      <c r="A76" s="1219"/>
      <c r="B76" s="1220"/>
      <c r="C76" s="1220"/>
      <c r="D76" s="1220"/>
      <c r="E76" s="1220"/>
      <c r="F76" s="1220"/>
      <c r="G76" s="1220"/>
      <c r="H76" s="1220"/>
      <c r="I76" s="1220"/>
      <c r="J76" s="388" t="s">
        <v>115</v>
      </c>
      <c r="K76" s="388" t="s">
        <v>114</v>
      </c>
      <c r="L76" s="388" t="s">
        <v>345</v>
      </c>
      <c r="M76" s="1213"/>
      <c r="N76" s="1213"/>
      <c r="O76" s="1220"/>
    </row>
    <row r="77" spans="1:19" s="374" customFormat="1" ht="15.6" x14ac:dyDescent="0.3">
      <c r="A77" s="403" t="e">
        <f>'Краевые Сосновоборск'!#REF!</f>
        <v>#REF!</v>
      </c>
      <c r="B77" s="1257" t="e">
        <f>'Краевые Сосновоборск'!#REF!</f>
        <v>#REF!</v>
      </c>
      <c r="C77" s="1258"/>
      <c r="D77" s="1258"/>
      <c r="E77" s="1258"/>
      <c r="F77" s="1258"/>
      <c r="G77" s="1258"/>
      <c r="H77" s="1258"/>
      <c r="I77" s="1259"/>
      <c r="J77" s="404" t="e">
        <f>COUNTIFS('Краевые Сосновоборск'!#REF!,B77,'Краевые Сосновоборск'!#REF!,"М")</f>
        <v>#REF!</v>
      </c>
      <c r="K77" s="404" t="e">
        <f>COUNTIFS('Краевые Сосновоборск'!#REF!,B77,'Краевые Сосновоборск'!#REF!,"Ж")</f>
        <v>#REF!</v>
      </c>
      <c r="L77" s="404" t="e">
        <f>J77+K77</f>
        <v>#REF!</v>
      </c>
      <c r="M77" s="1255">
        <v>1</v>
      </c>
      <c r="N77" s="1256"/>
      <c r="O77" s="404" t="e">
        <f>J77+K77+M77</f>
        <v>#REF!</v>
      </c>
    </row>
    <row r="78" spans="1:19" s="374" customFormat="1" ht="15.6" x14ac:dyDescent="0.3">
      <c r="A78" s="765" t="e">
        <f>'Краевые Сосновоборск'!#REF!</f>
        <v>#REF!</v>
      </c>
      <c r="B78" s="1257" t="e">
        <f>'Краевые Сосновоборск'!#REF!</f>
        <v>#REF!</v>
      </c>
      <c r="C78" s="1258"/>
      <c r="D78" s="1258"/>
      <c r="E78" s="1258"/>
      <c r="F78" s="1258"/>
      <c r="G78" s="1258"/>
      <c r="H78" s="1258"/>
      <c r="I78" s="1259"/>
      <c r="J78" s="404" t="e">
        <f>COUNTIFS('Краевые Сосновоборск'!#REF!,B78,'Краевые Сосновоборск'!#REF!,"М")</f>
        <v>#REF!</v>
      </c>
      <c r="K78" s="404" t="e">
        <f>COUNTIFS('Краевые Сосновоборск'!#REF!,B78,'Краевые Сосновоборск'!#REF!,"Ж")</f>
        <v>#REF!</v>
      </c>
      <c r="L78" s="404" t="e">
        <f t="shared" ref="L78:L88" si="0">J78+K78</f>
        <v>#REF!</v>
      </c>
      <c r="M78" s="1255">
        <v>1</v>
      </c>
      <c r="N78" s="1256"/>
      <c r="O78" s="404" t="e">
        <f t="shared" ref="O78:O88" si="1">J78+K78+M78</f>
        <v>#REF!</v>
      </c>
    </row>
    <row r="79" spans="1:19" s="374" customFormat="1" ht="15.6" x14ac:dyDescent="0.3">
      <c r="A79" s="765" t="e">
        <f>'Краевые Сосновоборск'!#REF!</f>
        <v>#REF!</v>
      </c>
      <c r="B79" s="1257" t="e">
        <f>'Краевые Сосновоборск'!#REF!</f>
        <v>#REF!</v>
      </c>
      <c r="C79" s="1258"/>
      <c r="D79" s="1258"/>
      <c r="E79" s="1258"/>
      <c r="F79" s="1258"/>
      <c r="G79" s="1258"/>
      <c r="H79" s="1258"/>
      <c r="I79" s="1259"/>
      <c r="J79" s="404" t="e">
        <f>COUNTIFS('Краевые Сосновоборск'!#REF!,B79,'Краевые Сосновоборск'!#REF!,"М")</f>
        <v>#REF!</v>
      </c>
      <c r="K79" s="404" t="e">
        <f>COUNTIFS('Краевые Сосновоборск'!#REF!,B79,'Краевые Сосновоборск'!#REF!,"Ж")</f>
        <v>#REF!</v>
      </c>
      <c r="L79" s="404" t="e">
        <f t="shared" si="0"/>
        <v>#REF!</v>
      </c>
      <c r="M79" s="1255">
        <v>1</v>
      </c>
      <c r="N79" s="1256"/>
      <c r="O79" s="404" t="e">
        <f t="shared" si="1"/>
        <v>#REF!</v>
      </c>
    </row>
    <row r="80" spans="1:19" s="374" customFormat="1" ht="15.6" x14ac:dyDescent="0.3">
      <c r="A80" s="765" t="e">
        <f>'Краевые Сосновоборск'!#REF!</f>
        <v>#REF!</v>
      </c>
      <c r="B80" s="1257" t="e">
        <f>'Краевые Сосновоборск'!#REF!</f>
        <v>#REF!</v>
      </c>
      <c r="C80" s="1258"/>
      <c r="D80" s="1258"/>
      <c r="E80" s="1258"/>
      <c r="F80" s="1258"/>
      <c r="G80" s="1258"/>
      <c r="H80" s="1258"/>
      <c r="I80" s="1259"/>
      <c r="J80" s="404" t="e">
        <f>COUNTIFS('Краевые Сосновоборск'!#REF!,B80,'Краевые Сосновоборск'!#REF!,"М")</f>
        <v>#REF!</v>
      </c>
      <c r="K80" s="404" t="e">
        <f>COUNTIFS('Краевые Сосновоборск'!#REF!,B80,'Краевые Сосновоборск'!#REF!,"Ж")</f>
        <v>#REF!</v>
      </c>
      <c r="L80" s="404" t="e">
        <f t="shared" si="0"/>
        <v>#REF!</v>
      </c>
      <c r="M80" s="1255">
        <v>1</v>
      </c>
      <c r="N80" s="1256"/>
      <c r="O80" s="404" t="e">
        <f t="shared" si="1"/>
        <v>#REF!</v>
      </c>
    </row>
    <row r="81" spans="1:15" s="374" customFormat="1" ht="15.6" x14ac:dyDescent="0.3">
      <c r="A81" s="765" t="e">
        <f>'Краевые Сосновоборск'!#REF!</f>
        <v>#REF!</v>
      </c>
      <c r="B81" s="1257" t="e">
        <f>'Краевые Сосновоборск'!#REF!</f>
        <v>#REF!</v>
      </c>
      <c r="C81" s="1258"/>
      <c r="D81" s="1258"/>
      <c r="E81" s="1258"/>
      <c r="F81" s="1258"/>
      <c r="G81" s="1258"/>
      <c r="H81" s="1258"/>
      <c r="I81" s="1259"/>
      <c r="J81" s="404" t="e">
        <f>COUNTIFS('Краевые Сосновоборск'!#REF!,B81,'Краевые Сосновоборск'!#REF!,"М")</f>
        <v>#REF!</v>
      </c>
      <c r="K81" s="404" t="e">
        <f>COUNTIFS('Краевые Сосновоборск'!#REF!,B81,'Краевые Сосновоборск'!#REF!,"Ж")</f>
        <v>#REF!</v>
      </c>
      <c r="L81" s="404" t="e">
        <f t="shared" si="0"/>
        <v>#REF!</v>
      </c>
      <c r="M81" s="1255">
        <v>1</v>
      </c>
      <c r="N81" s="1256"/>
      <c r="O81" s="404" t="e">
        <f t="shared" si="1"/>
        <v>#REF!</v>
      </c>
    </row>
    <row r="82" spans="1:15" s="374" customFormat="1" ht="15.6" x14ac:dyDescent="0.3">
      <c r="A82" s="765" t="e">
        <f>'Краевые Сосновоборск'!#REF!</f>
        <v>#REF!</v>
      </c>
      <c r="B82" s="1257" t="e">
        <f>'Краевые Сосновоборск'!#REF!</f>
        <v>#REF!</v>
      </c>
      <c r="C82" s="1258"/>
      <c r="D82" s="1258"/>
      <c r="E82" s="1258"/>
      <c r="F82" s="1258"/>
      <c r="G82" s="1258"/>
      <c r="H82" s="1258"/>
      <c r="I82" s="1259"/>
      <c r="J82" s="404" t="e">
        <f>COUNTIFS('Краевые Сосновоборск'!#REF!,B82,'Краевые Сосновоборск'!#REF!,"М")</f>
        <v>#REF!</v>
      </c>
      <c r="K82" s="404" t="e">
        <f>COUNTIFS('Краевые Сосновоборск'!#REF!,B82,'Краевые Сосновоборск'!#REF!,"Ж")</f>
        <v>#REF!</v>
      </c>
      <c r="L82" s="404" t="e">
        <f t="shared" si="0"/>
        <v>#REF!</v>
      </c>
      <c r="M82" s="1255">
        <v>1</v>
      </c>
      <c r="N82" s="1256"/>
      <c r="O82" s="404" t="e">
        <f t="shared" si="1"/>
        <v>#REF!</v>
      </c>
    </row>
    <row r="83" spans="1:15" s="374" customFormat="1" ht="15.6" x14ac:dyDescent="0.3">
      <c r="A83" s="765" t="e">
        <f>'Краевые Сосновоборск'!#REF!</f>
        <v>#REF!</v>
      </c>
      <c r="B83" s="1257" t="e">
        <f>'Краевые Сосновоборск'!#REF!</f>
        <v>#REF!</v>
      </c>
      <c r="C83" s="1258"/>
      <c r="D83" s="1258"/>
      <c r="E83" s="1258"/>
      <c r="F83" s="1258"/>
      <c r="G83" s="1258"/>
      <c r="H83" s="1258"/>
      <c r="I83" s="1259"/>
      <c r="J83" s="404" t="e">
        <f>COUNTIFS('Краевые Сосновоборск'!#REF!,B83,'Краевые Сосновоборск'!#REF!,"М")</f>
        <v>#REF!</v>
      </c>
      <c r="K83" s="404" t="e">
        <f>COUNTIFS('Краевые Сосновоборск'!#REF!,B83,'Краевые Сосновоборск'!#REF!,"Ж")</f>
        <v>#REF!</v>
      </c>
      <c r="L83" s="404" t="e">
        <f t="shared" si="0"/>
        <v>#REF!</v>
      </c>
      <c r="M83" s="1255">
        <v>1</v>
      </c>
      <c r="N83" s="1256"/>
      <c r="O83" s="404" t="e">
        <f t="shared" si="1"/>
        <v>#REF!</v>
      </c>
    </row>
    <row r="84" spans="1:15" s="374" customFormat="1" ht="15.6" x14ac:dyDescent="0.3">
      <c r="A84" s="765" t="e">
        <f>'Краевые Сосновоборск'!#REF!</f>
        <v>#REF!</v>
      </c>
      <c r="B84" s="1257" t="e">
        <f>'Краевые Сосновоборск'!#REF!</f>
        <v>#REF!</v>
      </c>
      <c r="C84" s="1258"/>
      <c r="D84" s="1258"/>
      <c r="E84" s="1258"/>
      <c r="F84" s="1258"/>
      <c r="G84" s="1258"/>
      <c r="H84" s="1258"/>
      <c r="I84" s="1259"/>
      <c r="J84" s="404" t="e">
        <f>COUNTIFS('Краевые Сосновоборск'!#REF!,B84,'Краевые Сосновоборск'!#REF!,"М")</f>
        <v>#REF!</v>
      </c>
      <c r="K84" s="404" t="e">
        <f>COUNTIFS('Краевые Сосновоборск'!#REF!,B84,'Краевые Сосновоборск'!#REF!,"Ж")</f>
        <v>#REF!</v>
      </c>
      <c r="L84" s="404" t="e">
        <f t="shared" si="0"/>
        <v>#REF!</v>
      </c>
      <c r="M84" s="1255">
        <v>1</v>
      </c>
      <c r="N84" s="1256"/>
      <c r="O84" s="404" t="e">
        <f t="shared" si="1"/>
        <v>#REF!</v>
      </c>
    </row>
    <row r="85" spans="1:15" s="374" customFormat="1" ht="15.6" x14ac:dyDescent="0.3">
      <c r="A85" s="765" t="e">
        <f>'Краевые Сосновоборск'!#REF!</f>
        <v>#REF!</v>
      </c>
      <c r="B85" s="1257" t="e">
        <f>'Краевые Сосновоборск'!#REF!</f>
        <v>#REF!</v>
      </c>
      <c r="C85" s="1258"/>
      <c r="D85" s="1258"/>
      <c r="E85" s="1258"/>
      <c r="F85" s="1258"/>
      <c r="G85" s="1258"/>
      <c r="H85" s="1258"/>
      <c r="I85" s="1259"/>
      <c r="J85" s="404" t="e">
        <f>COUNTIFS('Краевые Сосновоборск'!#REF!,B85,'Краевые Сосновоборск'!#REF!,"М")</f>
        <v>#REF!</v>
      </c>
      <c r="K85" s="404" t="e">
        <f>COUNTIFS('Краевые Сосновоборск'!#REF!,B85,'Краевые Сосновоборск'!#REF!,"Ж")</f>
        <v>#REF!</v>
      </c>
      <c r="L85" s="404" t="e">
        <f t="shared" si="0"/>
        <v>#REF!</v>
      </c>
      <c r="M85" s="1255">
        <v>1</v>
      </c>
      <c r="N85" s="1256"/>
      <c r="O85" s="404" t="e">
        <f t="shared" si="1"/>
        <v>#REF!</v>
      </c>
    </row>
    <row r="86" spans="1:15" s="374" customFormat="1" ht="15.6" x14ac:dyDescent="0.3">
      <c r="A86" s="765" t="e">
        <f>'Краевые Сосновоборск'!#REF!</f>
        <v>#REF!</v>
      </c>
      <c r="B86" s="1257" t="e">
        <f>'Краевые Сосновоборск'!#REF!</f>
        <v>#REF!</v>
      </c>
      <c r="C86" s="1258"/>
      <c r="D86" s="1258"/>
      <c r="E86" s="1258"/>
      <c r="F86" s="1258"/>
      <c r="G86" s="1258"/>
      <c r="H86" s="1258"/>
      <c r="I86" s="1259"/>
      <c r="J86" s="404" t="e">
        <f>COUNTIFS('Краевые Сосновоборск'!#REF!,B86,'Краевые Сосновоборск'!#REF!,"М")</f>
        <v>#REF!</v>
      </c>
      <c r="K86" s="404" t="e">
        <f>COUNTIFS('Краевые Сосновоборск'!#REF!,B86,'Краевые Сосновоборск'!#REF!,"Ж")</f>
        <v>#REF!</v>
      </c>
      <c r="L86" s="404" t="e">
        <f t="shared" si="0"/>
        <v>#REF!</v>
      </c>
      <c r="M86" s="1255">
        <v>1</v>
      </c>
      <c r="N86" s="1256"/>
      <c r="O86" s="404" t="e">
        <f t="shared" si="1"/>
        <v>#REF!</v>
      </c>
    </row>
    <row r="87" spans="1:15" s="374" customFormat="1" ht="15.6" x14ac:dyDescent="0.3">
      <c r="A87" s="765" t="e">
        <f>'Краевые Сосновоборск'!#REF!</f>
        <v>#REF!</v>
      </c>
      <c r="B87" s="1257" t="e">
        <f>'Краевые Сосновоборск'!#REF!</f>
        <v>#REF!</v>
      </c>
      <c r="C87" s="1258"/>
      <c r="D87" s="1258"/>
      <c r="E87" s="1258"/>
      <c r="F87" s="1258"/>
      <c r="G87" s="1258"/>
      <c r="H87" s="1258"/>
      <c r="I87" s="1259"/>
      <c r="J87" s="404" t="e">
        <f>COUNTIFS('Краевые Сосновоборск'!#REF!,B87,'Краевые Сосновоборск'!#REF!,"М")</f>
        <v>#REF!</v>
      </c>
      <c r="K87" s="404" t="e">
        <f>COUNTIFS('Краевые Сосновоборск'!#REF!,B87,'Краевые Сосновоборск'!#REF!,"Ж")</f>
        <v>#REF!</v>
      </c>
      <c r="L87" s="404" t="e">
        <f t="shared" si="0"/>
        <v>#REF!</v>
      </c>
      <c r="M87" s="1255">
        <v>1</v>
      </c>
      <c r="N87" s="1256"/>
      <c r="O87" s="404" t="e">
        <f t="shared" si="1"/>
        <v>#REF!</v>
      </c>
    </row>
    <row r="88" spans="1:15" s="374" customFormat="1" ht="15.6" x14ac:dyDescent="0.3">
      <c r="A88" s="765" t="e">
        <f>'Краевые Сосновоборск'!#REF!</f>
        <v>#REF!</v>
      </c>
      <c r="B88" s="1257" t="e">
        <f>'Краевые Сосновоборск'!#REF!</f>
        <v>#REF!</v>
      </c>
      <c r="C88" s="1258"/>
      <c r="D88" s="1258"/>
      <c r="E88" s="1258"/>
      <c r="F88" s="1258"/>
      <c r="G88" s="1258"/>
      <c r="H88" s="1258"/>
      <c r="I88" s="1259"/>
      <c r="J88" s="404" t="e">
        <f>COUNTIFS('Краевые Сосновоборск'!#REF!,B88,'Краевые Сосновоборск'!#REF!,"М")</f>
        <v>#REF!</v>
      </c>
      <c r="K88" s="404" t="e">
        <f>COUNTIFS('Краевые Сосновоборск'!#REF!,B88,'Краевые Сосновоборск'!#REF!,"Ж")</f>
        <v>#REF!</v>
      </c>
      <c r="L88" s="404" t="e">
        <f t="shared" si="0"/>
        <v>#REF!</v>
      </c>
      <c r="M88" s="1255">
        <v>1</v>
      </c>
      <c r="N88" s="1256"/>
      <c r="O88" s="404" t="e">
        <f t="shared" si="1"/>
        <v>#REF!</v>
      </c>
    </row>
    <row r="89" spans="1:15" s="374" customFormat="1" ht="15.6" x14ac:dyDescent="0.3">
      <c r="A89" s="765" t="e">
        <f>'Краевые Сосновоборск'!#REF!</f>
        <v>#REF!</v>
      </c>
      <c r="B89" s="1257" t="e">
        <f>'Краевые Сосновоборск'!#REF!</f>
        <v>#REF!</v>
      </c>
      <c r="C89" s="1258"/>
      <c r="D89" s="1258"/>
      <c r="E89" s="1258"/>
      <c r="F89" s="1258"/>
      <c r="G89" s="1258"/>
      <c r="H89" s="1258"/>
      <c r="I89" s="1259"/>
      <c r="J89" s="404" t="e">
        <f>COUNTIFS('Краевые Сосновоборск'!#REF!,B89,'Краевые Сосновоборск'!#REF!,"М")</f>
        <v>#REF!</v>
      </c>
      <c r="K89" s="404" t="e">
        <f>COUNTIFS('Краевые Сосновоборск'!#REF!,B89,'Краевые Сосновоборск'!#REF!,"Ж")</f>
        <v>#REF!</v>
      </c>
      <c r="L89" s="404" t="e">
        <f t="shared" ref="L89:L103" si="2">J89+K89</f>
        <v>#REF!</v>
      </c>
      <c r="M89" s="1255">
        <v>1</v>
      </c>
      <c r="N89" s="1256"/>
      <c r="O89" s="404">
        <v>1</v>
      </c>
    </row>
    <row r="90" spans="1:15" s="374" customFormat="1" ht="15.6" x14ac:dyDescent="0.3">
      <c r="A90" s="765" t="e">
        <f>'Краевые Сосновоборск'!#REF!</f>
        <v>#REF!</v>
      </c>
      <c r="B90" s="1257" t="e">
        <f>'Краевые Сосновоборск'!#REF!</f>
        <v>#REF!</v>
      </c>
      <c r="C90" s="1258"/>
      <c r="D90" s="1258"/>
      <c r="E90" s="1258"/>
      <c r="F90" s="1258"/>
      <c r="G90" s="1258"/>
      <c r="H90" s="1258"/>
      <c r="I90" s="1259"/>
      <c r="J90" s="404" t="e">
        <f>COUNTIFS('Краевые Сосновоборск'!#REF!,B90,'Краевые Сосновоборск'!#REF!,"М")</f>
        <v>#REF!</v>
      </c>
      <c r="K90" s="404" t="e">
        <f>COUNTIFS('Краевые Сосновоборск'!#REF!,B90,'Краевые Сосновоборск'!#REF!,"Ж")</f>
        <v>#REF!</v>
      </c>
      <c r="L90" s="404" t="e">
        <f t="shared" si="2"/>
        <v>#REF!</v>
      </c>
      <c r="M90" s="1255">
        <v>1</v>
      </c>
      <c r="N90" s="1256"/>
      <c r="O90" s="404">
        <v>1</v>
      </c>
    </row>
    <row r="91" spans="1:15" s="374" customFormat="1" ht="15.6" x14ac:dyDescent="0.3">
      <c r="A91" s="765" t="e">
        <f>'Краевые Сосновоборск'!#REF!</f>
        <v>#REF!</v>
      </c>
      <c r="B91" s="1257" t="e">
        <f>'Краевые Сосновоборск'!#REF!</f>
        <v>#REF!</v>
      </c>
      <c r="C91" s="1258"/>
      <c r="D91" s="1258"/>
      <c r="E91" s="1258"/>
      <c r="F91" s="1258"/>
      <c r="G91" s="1258"/>
      <c r="H91" s="1258"/>
      <c r="I91" s="1259"/>
      <c r="J91" s="404" t="e">
        <f>COUNTIFS('Краевые Сосновоборск'!#REF!,B91,'Краевые Сосновоборск'!#REF!,"М")</f>
        <v>#REF!</v>
      </c>
      <c r="K91" s="404" t="e">
        <f>COUNTIFS('Краевые Сосновоборск'!#REF!,B91,'Краевые Сосновоборск'!#REF!,"Ж")</f>
        <v>#REF!</v>
      </c>
      <c r="L91" s="404" t="e">
        <f t="shared" si="2"/>
        <v>#REF!</v>
      </c>
      <c r="M91" s="1255">
        <v>1</v>
      </c>
      <c r="N91" s="1256"/>
      <c r="O91" s="404">
        <v>1</v>
      </c>
    </row>
    <row r="92" spans="1:15" s="374" customFormat="1" ht="15.6" x14ac:dyDescent="0.3">
      <c r="A92" s="765" t="e">
        <f>'Краевые Сосновоборск'!#REF!</f>
        <v>#REF!</v>
      </c>
      <c r="B92" s="1257" t="e">
        <f>'Краевые Сосновоборск'!#REF!</f>
        <v>#REF!</v>
      </c>
      <c r="C92" s="1258"/>
      <c r="D92" s="1258"/>
      <c r="E92" s="1258"/>
      <c r="F92" s="1258"/>
      <c r="G92" s="1258"/>
      <c r="H92" s="1258"/>
      <c r="I92" s="1259"/>
      <c r="J92" s="404" t="e">
        <f>COUNTIFS('Краевые Сосновоборск'!#REF!,B92,'Краевые Сосновоборск'!#REF!,"М")</f>
        <v>#REF!</v>
      </c>
      <c r="K92" s="404" t="e">
        <f>COUNTIFS('Краевые Сосновоборск'!#REF!,B92,'Краевые Сосновоборск'!#REF!,"Ж")</f>
        <v>#REF!</v>
      </c>
      <c r="L92" s="404" t="e">
        <f t="shared" si="2"/>
        <v>#REF!</v>
      </c>
      <c r="M92" s="1255">
        <v>1</v>
      </c>
      <c r="N92" s="1256"/>
      <c r="O92" s="404">
        <v>1</v>
      </c>
    </row>
    <row r="93" spans="1:15" s="374" customFormat="1" ht="15.6" x14ac:dyDescent="0.3">
      <c r="A93" s="765" t="e">
        <f>'Краевые Сосновоборск'!#REF!</f>
        <v>#REF!</v>
      </c>
      <c r="B93" s="1257" t="e">
        <f>'Краевые Сосновоборск'!#REF!</f>
        <v>#REF!</v>
      </c>
      <c r="C93" s="1258"/>
      <c r="D93" s="1258"/>
      <c r="E93" s="1258"/>
      <c r="F93" s="1258"/>
      <c r="G93" s="1258"/>
      <c r="H93" s="1258"/>
      <c r="I93" s="1259"/>
      <c r="J93" s="404" t="e">
        <f>COUNTIFS('Краевые Сосновоборск'!#REF!,B93,'Краевые Сосновоборск'!#REF!,"М")</f>
        <v>#REF!</v>
      </c>
      <c r="K93" s="404" t="e">
        <f>COUNTIFS('Краевые Сосновоборск'!#REF!,B93,'Краевые Сосновоборск'!#REF!,"Ж")</f>
        <v>#REF!</v>
      </c>
      <c r="L93" s="404" t="e">
        <f t="shared" si="2"/>
        <v>#REF!</v>
      </c>
      <c r="M93" s="1255">
        <v>1</v>
      </c>
      <c r="N93" s="1256"/>
      <c r="O93" s="404">
        <v>1</v>
      </c>
    </row>
    <row r="94" spans="1:15" s="374" customFormat="1" ht="15.6" x14ac:dyDescent="0.3">
      <c r="A94" s="765" t="e">
        <f>'Краевые Сосновоборск'!#REF!</f>
        <v>#REF!</v>
      </c>
      <c r="B94" s="1257" t="e">
        <f>'Краевые Сосновоборск'!#REF!</f>
        <v>#REF!</v>
      </c>
      <c r="C94" s="1258"/>
      <c r="D94" s="1258"/>
      <c r="E94" s="1258"/>
      <c r="F94" s="1258"/>
      <c r="G94" s="1258"/>
      <c r="H94" s="1258"/>
      <c r="I94" s="1259"/>
      <c r="J94" s="404" t="e">
        <f>COUNTIFS('Краевые Сосновоборск'!#REF!,B94,'Краевые Сосновоборск'!#REF!,"М")</f>
        <v>#REF!</v>
      </c>
      <c r="K94" s="404" t="e">
        <f>COUNTIFS('Краевые Сосновоборск'!#REF!,B94,'Краевые Сосновоборск'!#REF!,"Ж")</f>
        <v>#REF!</v>
      </c>
      <c r="L94" s="404" t="e">
        <f t="shared" si="2"/>
        <v>#REF!</v>
      </c>
      <c r="M94" s="1255">
        <v>1</v>
      </c>
      <c r="N94" s="1256"/>
      <c r="O94" s="404">
        <v>1</v>
      </c>
    </row>
    <row r="95" spans="1:15" s="374" customFormat="1" ht="15.6" x14ac:dyDescent="0.3">
      <c r="A95" s="765" t="e">
        <f>'Краевые Сосновоборск'!#REF!</f>
        <v>#REF!</v>
      </c>
      <c r="B95" s="1257" t="e">
        <f>'Краевые Сосновоборск'!#REF!</f>
        <v>#REF!</v>
      </c>
      <c r="C95" s="1258"/>
      <c r="D95" s="1258"/>
      <c r="E95" s="1258"/>
      <c r="F95" s="1258"/>
      <c r="G95" s="1258"/>
      <c r="H95" s="1258"/>
      <c r="I95" s="1259"/>
      <c r="J95" s="404" t="e">
        <f>COUNTIFS('Краевые Сосновоборск'!#REF!,B95,'Краевые Сосновоборск'!#REF!,"М")</f>
        <v>#REF!</v>
      </c>
      <c r="K95" s="404" t="e">
        <f>COUNTIFS('Краевые Сосновоборск'!#REF!,B95,'Краевые Сосновоборск'!#REF!,"Ж")</f>
        <v>#REF!</v>
      </c>
      <c r="L95" s="404" t="e">
        <f t="shared" si="2"/>
        <v>#REF!</v>
      </c>
      <c r="M95" s="1255">
        <v>1</v>
      </c>
      <c r="N95" s="1256"/>
      <c r="O95" s="404">
        <v>1</v>
      </c>
    </row>
    <row r="96" spans="1:15" s="374" customFormat="1" ht="15.6" x14ac:dyDescent="0.3">
      <c r="A96" s="765" t="e">
        <f>'Краевые Сосновоборск'!#REF!</f>
        <v>#REF!</v>
      </c>
      <c r="B96" s="1257" t="e">
        <f>'Краевые Сосновоборск'!#REF!</f>
        <v>#REF!</v>
      </c>
      <c r="C96" s="1258"/>
      <c r="D96" s="1258"/>
      <c r="E96" s="1258"/>
      <c r="F96" s="1258"/>
      <c r="G96" s="1258"/>
      <c r="H96" s="1258"/>
      <c r="I96" s="1259"/>
      <c r="J96" s="404" t="e">
        <f>COUNTIFS('Краевые Сосновоборск'!#REF!,B96,'Краевые Сосновоборск'!#REF!,"М")</f>
        <v>#REF!</v>
      </c>
      <c r="K96" s="404" t="e">
        <f>COUNTIFS('Краевые Сосновоборск'!#REF!,B96,'Краевые Сосновоборск'!#REF!,"Ж")</f>
        <v>#REF!</v>
      </c>
      <c r="L96" s="404" t="e">
        <f t="shared" si="2"/>
        <v>#REF!</v>
      </c>
      <c r="M96" s="1255">
        <v>1</v>
      </c>
      <c r="N96" s="1256"/>
      <c r="O96" s="404">
        <v>1</v>
      </c>
    </row>
    <row r="97" spans="1:15" s="374" customFormat="1" ht="15.6" x14ac:dyDescent="0.3">
      <c r="A97" s="765" t="e">
        <f>'Краевые Сосновоборск'!#REF!</f>
        <v>#REF!</v>
      </c>
      <c r="B97" s="1257" t="e">
        <f>'Краевые Сосновоборск'!#REF!</f>
        <v>#REF!</v>
      </c>
      <c r="C97" s="1258"/>
      <c r="D97" s="1258"/>
      <c r="E97" s="1258"/>
      <c r="F97" s="1258"/>
      <c r="G97" s="1258"/>
      <c r="H97" s="1258"/>
      <c r="I97" s="1259"/>
      <c r="J97" s="404" t="e">
        <f>COUNTIFS('Краевые Сосновоборск'!#REF!,B97,'Краевые Сосновоборск'!#REF!,"М")</f>
        <v>#REF!</v>
      </c>
      <c r="K97" s="404" t="e">
        <f>COUNTIFS('Краевые Сосновоборск'!#REF!,B97,'Краевые Сосновоборск'!#REF!,"Ж")</f>
        <v>#REF!</v>
      </c>
      <c r="L97" s="404" t="e">
        <f t="shared" si="2"/>
        <v>#REF!</v>
      </c>
      <c r="M97" s="1255">
        <v>1</v>
      </c>
      <c r="N97" s="1256"/>
      <c r="O97" s="404">
        <v>1</v>
      </c>
    </row>
    <row r="98" spans="1:15" s="374" customFormat="1" ht="15.6" x14ac:dyDescent="0.3">
      <c r="A98" s="765" t="e">
        <f>'Краевые Сосновоборск'!#REF!</f>
        <v>#REF!</v>
      </c>
      <c r="B98" s="1257" t="e">
        <f>'Краевые Сосновоборск'!#REF!</f>
        <v>#REF!</v>
      </c>
      <c r="C98" s="1258"/>
      <c r="D98" s="1258"/>
      <c r="E98" s="1258"/>
      <c r="F98" s="1258"/>
      <c r="G98" s="1258"/>
      <c r="H98" s="1258"/>
      <c r="I98" s="1259"/>
      <c r="J98" s="404" t="e">
        <f>COUNTIFS('Краевые Сосновоборск'!#REF!,B98,'Краевые Сосновоборск'!#REF!,"М")</f>
        <v>#REF!</v>
      </c>
      <c r="K98" s="404" t="e">
        <f>COUNTIFS('Краевые Сосновоборск'!#REF!,B98,'Краевые Сосновоборск'!#REF!,"Ж")</f>
        <v>#REF!</v>
      </c>
      <c r="L98" s="404" t="e">
        <f t="shared" si="2"/>
        <v>#REF!</v>
      </c>
      <c r="M98" s="1255">
        <v>1</v>
      </c>
      <c r="N98" s="1256"/>
      <c r="O98" s="404">
        <v>1</v>
      </c>
    </row>
    <row r="99" spans="1:15" s="374" customFormat="1" ht="15.6" x14ac:dyDescent="0.3">
      <c r="A99" s="765" t="e">
        <f>'Краевые Сосновоборск'!#REF!</f>
        <v>#REF!</v>
      </c>
      <c r="B99" s="1257" t="e">
        <f>'Краевые Сосновоборск'!#REF!</f>
        <v>#REF!</v>
      </c>
      <c r="C99" s="1258"/>
      <c r="D99" s="1258"/>
      <c r="E99" s="1258"/>
      <c r="F99" s="1258"/>
      <c r="G99" s="1258"/>
      <c r="H99" s="1258"/>
      <c r="I99" s="1259"/>
      <c r="J99" s="404" t="e">
        <f>COUNTIFS('Краевые Сосновоборск'!#REF!,B99,'Краевые Сосновоборск'!#REF!,"М")</f>
        <v>#REF!</v>
      </c>
      <c r="K99" s="404" t="e">
        <f>COUNTIFS('Краевые Сосновоборск'!#REF!,B99,'Краевые Сосновоборск'!#REF!,"Ж")</f>
        <v>#REF!</v>
      </c>
      <c r="L99" s="404" t="e">
        <f t="shared" si="2"/>
        <v>#REF!</v>
      </c>
      <c r="M99" s="1255">
        <v>1</v>
      </c>
      <c r="N99" s="1256"/>
      <c r="O99" s="404">
        <v>1</v>
      </c>
    </row>
    <row r="100" spans="1:15" s="374" customFormat="1" ht="15.6" x14ac:dyDescent="0.3">
      <c r="A100" s="765" t="e">
        <f>'Краевые Сосновоборск'!#REF!</f>
        <v>#REF!</v>
      </c>
      <c r="B100" s="1257" t="e">
        <f>'Краевые Сосновоборск'!#REF!</f>
        <v>#REF!</v>
      </c>
      <c r="C100" s="1258"/>
      <c r="D100" s="1258"/>
      <c r="E100" s="1258"/>
      <c r="F100" s="1258"/>
      <c r="G100" s="1258"/>
      <c r="H100" s="1258"/>
      <c r="I100" s="1259"/>
      <c r="J100" s="404" t="e">
        <f>COUNTIFS('Краевые Сосновоборск'!#REF!,B100,'Краевые Сосновоборск'!#REF!,"М")</f>
        <v>#REF!</v>
      </c>
      <c r="K100" s="404" t="e">
        <f>COUNTIFS('Краевые Сосновоборск'!#REF!,B100,'Краевые Сосновоборск'!#REF!,"Ж")</f>
        <v>#REF!</v>
      </c>
      <c r="L100" s="404" t="e">
        <f t="shared" si="2"/>
        <v>#REF!</v>
      </c>
      <c r="M100" s="1255">
        <v>1</v>
      </c>
      <c r="N100" s="1256"/>
      <c r="O100" s="404">
        <v>1</v>
      </c>
    </row>
    <row r="101" spans="1:15" s="374" customFormat="1" ht="15.6" x14ac:dyDescent="0.3">
      <c r="A101" s="765" t="e">
        <f>'Краевые Сосновоборск'!#REF!</f>
        <v>#REF!</v>
      </c>
      <c r="B101" s="1257" t="e">
        <f>'Краевые Сосновоборск'!#REF!</f>
        <v>#REF!</v>
      </c>
      <c r="C101" s="1258"/>
      <c r="D101" s="1258"/>
      <c r="E101" s="1258"/>
      <c r="F101" s="1258"/>
      <c r="G101" s="1258"/>
      <c r="H101" s="1258"/>
      <c r="I101" s="1259"/>
      <c r="J101" s="404" t="e">
        <f>COUNTIFS('Краевые Сосновоборск'!#REF!,B101,'Краевые Сосновоборск'!#REF!,"М")</f>
        <v>#REF!</v>
      </c>
      <c r="K101" s="404" t="e">
        <f>COUNTIFS('Краевые Сосновоборск'!#REF!,B101,'Краевые Сосновоборск'!#REF!,"Ж")</f>
        <v>#REF!</v>
      </c>
      <c r="L101" s="404" t="e">
        <f t="shared" si="2"/>
        <v>#REF!</v>
      </c>
      <c r="M101" s="1255">
        <v>1</v>
      </c>
      <c r="N101" s="1256"/>
      <c r="O101" s="404">
        <v>1</v>
      </c>
    </row>
    <row r="102" spans="1:15" s="374" customFormat="1" ht="15.6" x14ac:dyDescent="0.3">
      <c r="A102" s="765" t="e">
        <f>'Краевые Сосновоборск'!#REF!</f>
        <v>#REF!</v>
      </c>
      <c r="B102" s="1257" t="e">
        <f>'Краевые Сосновоборск'!#REF!</f>
        <v>#REF!</v>
      </c>
      <c r="C102" s="1258"/>
      <c r="D102" s="1258"/>
      <c r="E102" s="1258"/>
      <c r="F102" s="1258"/>
      <c r="G102" s="1258"/>
      <c r="H102" s="1258"/>
      <c r="I102" s="1259"/>
      <c r="J102" s="404" t="e">
        <f>COUNTIFS('Краевые Сосновоборск'!#REF!,B102,'Краевые Сосновоборск'!#REF!,"М")</f>
        <v>#REF!</v>
      </c>
      <c r="K102" s="404" t="e">
        <f>COUNTIFS('Краевые Сосновоборск'!#REF!,B102,'Краевые Сосновоборск'!#REF!,"Ж")</f>
        <v>#REF!</v>
      </c>
      <c r="L102" s="404" t="e">
        <f t="shared" si="2"/>
        <v>#REF!</v>
      </c>
      <c r="M102" s="1255">
        <v>1</v>
      </c>
      <c r="N102" s="1256"/>
      <c r="O102" s="404">
        <v>1</v>
      </c>
    </row>
    <row r="103" spans="1:15" s="374" customFormat="1" ht="15.6" x14ac:dyDescent="0.3">
      <c r="A103" s="765" t="e">
        <f>'Краевые Сосновоборск'!#REF!</f>
        <v>#REF!</v>
      </c>
      <c r="B103" s="1257" t="e">
        <f>'Краевые Сосновоборск'!#REF!</f>
        <v>#REF!</v>
      </c>
      <c r="C103" s="1258"/>
      <c r="D103" s="1258"/>
      <c r="E103" s="1258"/>
      <c r="F103" s="1258"/>
      <c r="G103" s="1258"/>
      <c r="H103" s="1258"/>
      <c r="I103" s="1259"/>
      <c r="J103" s="404" t="e">
        <f>COUNTIFS('Краевые Сосновоборск'!#REF!,B103,'Краевые Сосновоборск'!#REF!,"М")</f>
        <v>#REF!</v>
      </c>
      <c r="K103" s="404" t="e">
        <f>COUNTIFS('Краевые Сосновоборск'!#REF!,B103,'Краевые Сосновоборск'!#REF!,"Ж")</f>
        <v>#REF!</v>
      </c>
      <c r="L103" s="404" t="e">
        <f t="shared" si="2"/>
        <v>#REF!</v>
      </c>
      <c r="M103" s="1255">
        <v>1</v>
      </c>
      <c r="N103" s="1256"/>
      <c r="O103" s="404">
        <v>1</v>
      </c>
    </row>
    <row r="104" spans="1:15" s="374" customFormat="1" ht="15.6" x14ac:dyDescent="0.3">
      <c r="A104" s="377"/>
    </row>
    <row r="105" spans="1:15" s="374" customFormat="1" ht="15.6" x14ac:dyDescent="0.3">
      <c r="A105" s="377" t="s">
        <v>385</v>
      </c>
      <c r="B105" s="374" t="s">
        <v>386</v>
      </c>
    </row>
    <row r="106" spans="1:15" s="374" customFormat="1" ht="15.6" x14ac:dyDescent="0.3">
      <c r="A106" s="377"/>
    </row>
    <row r="107" spans="1:15" s="374" customFormat="1" ht="16.5" customHeight="1" x14ac:dyDescent="0.3">
      <c r="A107" s="1298" t="s">
        <v>342</v>
      </c>
      <c r="B107" s="1299"/>
      <c r="C107" s="1213" t="s">
        <v>346</v>
      </c>
      <c r="D107" s="1213"/>
      <c r="E107" s="1213"/>
      <c r="F107" s="1213"/>
      <c r="G107" s="1213"/>
      <c r="H107" s="1213"/>
      <c r="I107" s="1213"/>
      <c r="J107" s="1213"/>
      <c r="K107" s="1213"/>
      <c r="L107" s="1213"/>
      <c r="M107" s="1213"/>
      <c r="N107" s="1213"/>
      <c r="O107" s="1213" t="s">
        <v>347</v>
      </c>
    </row>
    <row r="108" spans="1:15" s="374" customFormat="1" ht="16.5" customHeight="1" x14ac:dyDescent="0.3">
      <c r="A108" s="1300"/>
      <c r="B108" s="1301"/>
      <c r="C108" s="1213" t="s">
        <v>448</v>
      </c>
      <c r="D108" s="1213"/>
      <c r="E108" s="1303" t="s">
        <v>449</v>
      </c>
      <c r="F108" s="1303"/>
      <c r="G108" s="1213" t="s">
        <v>348</v>
      </c>
      <c r="H108" s="1213"/>
      <c r="I108" s="1213" t="s">
        <v>112</v>
      </c>
      <c r="J108" s="1213"/>
      <c r="K108" s="1213" t="s">
        <v>131</v>
      </c>
      <c r="L108" s="1213"/>
      <c r="M108" s="1213" t="s">
        <v>130</v>
      </c>
      <c r="N108" s="1213"/>
      <c r="O108" s="1213"/>
    </row>
    <row r="109" spans="1:15" s="374" customFormat="1" ht="30.75" customHeight="1" x14ac:dyDescent="0.3">
      <c r="A109" s="1213" t="s">
        <v>349</v>
      </c>
      <c r="B109" s="1213"/>
      <c r="C109" s="1254"/>
      <c r="D109" s="1254"/>
      <c r="E109" s="1254"/>
      <c r="F109" s="1254"/>
      <c r="G109" s="1260" t="e">
        <f>COUNTIFS('Краевые Сосновоборск'!#REF!,"МСМК",'Краевые Сосновоборск'!#REF!,"М")+COUNTIFS('Краевые Сосновоборск'!#REF!,"ЗМС",'Краевые Сосновоборск'!#REF!,"М")</f>
        <v>#REF!</v>
      </c>
      <c r="H109" s="1254"/>
      <c r="I109" s="1260" t="e">
        <f>COUNTIFS('Краевые Сосновоборск'!#REF!,"МСМК",'Краевые Сосновоборск'!#REF!,"Ж")+COUNTIFS('Краевые Сосновоборск'!#REF!,"ЗМС",'Краевые Сосновоборск'!#REF!,"Ж")</f>
        <v>#REF!</v>
      </c>
      <c r="J109" s="1254"/>
      <c r="K109" s="1254" t="s">
        <v>342</v>
      </c>
      <c r="L109" s="1254"/>
      <c r="M109" s="1254"/>
      <c r="N109" s="1254"/>
      <c r="O109" s="405" t="e">
        <f>SUM(C109:N109)</f>
        <v>#REF!</v>
      </c>
    </row>
    <row r="110" spans="1:15" s="374" customFormat="1" ht="18" x14ac:dyDescent="0.3">
      <c r="A110" s="1213" t="s">
        <v>33</v>
      </c>
      <c r="B110" s="1213"/>
      <c r="C110" s="1254"/>
      <c r="D110" s="1254"/>
      <c r="E110" s="1254"/>
      <c r="F110" s="1254"/>
      <c r="G110" s="1254" t="e">
        <f>COUNTIFS('Краевые Сосновоборск'!#REF!,A110,'Краевые Сосновоборск'!#REF!,"М")</f>
        <v>#REF!</v>
      </c>
      <c r="H110" s="1254"/>
      <c r="I110" s="1254" t="e">
        <f>COUNTIFS('Краевые Сосновоборск'!#REF!,A110,'Краевые Сосновоборск'!#REF!,"Ж")</f>
        <v>#REF!</v>
      </c>
      <c r="J110" s="1254"/>
      <c r="K110" s="1254"/>
      <c r="L110" s="1254"/>
      <c r="M110" s="1254"/>
      <c r="N110" s="1254"/>
      <c r="O110" s="405" t="e">
        <f t="shared" ref="O110:O116" si="3">SUM(C110:N110)</f>
        <v>#REF!</v>
      </c>
    </row>
    <row r="111" spans="1:15" s="374" customFormat="1" ht="18" x14ac:dyDescent="0.3">
      <c r="A111" s="1213" t="s">
        <v>34</v>
      </c>
      <c r="B111" s="1213"/>
      <c r="C111" s="1254"/>
      <c r="D111" s="1254"/>
      <c r="E111" s="1254"/>
      <c r="F111" s="1254"/>
      <c r="G111" s="1254" t="e">
        <f>COUNTIFS('Краевые Сосновоборск'!#REF!,A111,'Краевые Сосновоборск'!#REF!,"М")</f>
        <v>#REF!</v>
      </c>
      <c r="H111" s="1254"/>
      <c r="I111" s="1254" t="e">
        <f>COUNTIFS('Краевые Сосновоборск'!#REF!,A111,'Краевые Сосновоборск'!#REF!,"Ж")</f>
        <v>#REF!</v>
      </c>
      <c r="J111" s="1254"/>
      <c r="K111" s="1254"/>
      <c r="L111" s="1254"/>
      <c r="M111" s="1254"/>
      <c r="N111" s="1254"/>
      <c r="O111" s="405" t="e">
        <f t="shared" si="3"/>
        <v>#REF!</v>
      </c>
    </row>
    <row r="112" spans="1:15" s="374" customFormat="1" ht="18" x14ac:dyDescent="0.3">
      <c r="A112" s="1302" t="s">
        <v>6</v>
      </c>
      <c r="B112" s="1302"/>
      <c r="C112" s="1261"/>
      <c r="D112" s="1261"/>
      <c r="E112" s="1261"/>
      <c r="F112" s="1261"/>
      <c r="G112" s="1254" t="e">
        <f>COUNTIFS('Краевые Сосновоборск'!#REF!,A112,'Краевые Сосновоборск'!#REF!,"М")</f>
        <v>#REF!</v>
      </c>
      <c r="H112" s="1254"/>
      <c r="I112" s="1254" t="e">
        <f>COUNTIFS('Краевые Сосновоборск'!#REF!,A112,'Краевые Сосновоборск'!#REF!,"Ж")</f>
        <v>#REF!</v>
      </c>
      <c r="J112" s="1254"/>
      <c r="K112" s="1254"/>
      <c r="L112" s="1254"/>
      <c r="M112" s="1254"/>
      <c r="N112" s="1254"/>
      <c r="O112" s="405" t="e">
        <f t="shared" si="3"/>
        <v>#REF!</v>
      </c>
    </row>
    <row r="113" spans="1:17" s="374" customFormat="1" ht="18" x14ac:dyDescent="0.3">
      <c r="A113" s="1213" t="s">
        <v>23</v>
      </c>
      <c r="B113" s="1213"/>
      <c r="C113" s="1254"/>
      <c r="D113" s="1254"/>
      <c r="E113" s="1254"/>
      <c r="F113" s="1254"/>
      <c r="G113" s="1254" t="e">
        <f>COUNTIFS('Краевые Сосновоборск'!#REF!,A113,'Краевые Сосновоборск'!#REF!,"М")</f>
        <v>#REF!</v>
      </c>
      <c r="H113" s="1254"/>
      <c r="I113" s="1254" t="e">
        <f>COUNTIFS('Краевые Сосновоборск'!#REF!,A113,'Краевые Сосновоборск'!#REF!,"Ж")</f>
        <v>#REF!</v>
      </c>
      <c r="J113" s="1254"/>
      <c r="K113" s="1254"/>
      <c r="L113" s="1254"/>
      <c r="M113" s="1254"/>
      <c r="N113" s="1254"/>
      <c r="O113" s="405" t="e">
        <f t="shared" si="3"/>
        <v>#REF!</v>
      </c>
    </row>
    <row r="114" spans="1:17" s="374" customFormat="1" ht="18" x14ac:dyDescent="0.3">
      <c r="A114" s="1213" t="s">
        <v>24</v>
      </c>
      <c r="B114" s="1213"/>
      <c r="C114" s="1254"/>
      <c r="D114" s="1254"/>
      <c r="E114" s="1254"/>
      <c r="F114" s="1254"/>
      <c r="G114" s="1254" t="e">
        <f>COUNTIFS('Краевые Сосновоборск'!#REF!,A114,'Краевые Сосновоборск'!#REF!,"М")</f>
        <v>#REF!</v>
      </c>
      <c r="H114" s="1254"/>
      <c r="I114" s="1254" t="e">
        <f>COUNTIFS('Краевые Сосновоборск'!#REF!,A114,'Краевые Сосновоборск'!#REF!,"Ж")</f>
        <v>#REF!</v>
      </c>
      <c r="J114" s="1254"/>
      <c r="K114" s="1254"/>
      <c r="L114" s="1254"/>
      <c r="M114" s="1254"/>
      <c r="N114" s="1254"/>
      <c r="O114" s="405" t="e">
        <f t="shared" si="3"/>
        <v>#REF!</v>
      </c>
    </row>
    <row r="115" spans="1:17" s="374" customFormat="1" ht="18" x14ac:dyDescent="0.3">
      <c r="A115" s="1213" t="s">
        <v>35</v>
      </c>
      <c r="B115" s="1213"/>
      <c r="C115" s="1254"/>
      <c r="D115" s="1254"/>
      <c r="E115" s="1254"/>
      <c r="F115" s="1254"/>
      <c r="G115" s="1254" t="e">
        <f>COUNTIFS('Краевые Сосновоборск'!#REF!,A115,'Краевые Сосновоборск'!#REF!,"М")</f>
        <v>#REF!</v>
      </c>
      <c r="H115" s="1254"/>
      <c r="I115" s="1254" t="e">
        <f>COUNTIFS('Краевые Сосновоборск'!#REF!,A115,'Краевые Сосновоборск'!#REF!,"Ж")</f>
        <v>#REF!</v>
      </c>
      <c r="J115" s="1254"/>
      <c r="K115" s="1254"/>
      <c r="L115" s="1254"/>
      <c r="M115" s="1254"/>
      <c r="N115" s="1254"/>
      <c r="O115" s="405" t="e">
        <f t="shared" si="3"/>
        <v>#REF!</v>
      </c>
    </row>
    <row r="116" spans="1:17" s="374" customFormat="1" ht="18" x14ac:dyDescent="0.3">
      <c r="A116" s="1213" t="s">
        <v>20</v>
      </c>
      <c r="B116" s="1213"/>
      <c r="C116" s="1254"/>
      <c r="D116" s="1254"/>
      <c r="E116" s="1254"/>
      <c r="F116" s="1254"/>
      <c r="G116" s="1254" t="e">
        <f>COUNTIFS('Краевые Сосновоборск'!#REF!,A116,'Краевые Сосновоборск'!#REF!,"М")</f>
        <v>#REF!</v>
      </c>
      <c r="H116" s="1254"/>
      <c r="I116" s="1254" t="e">
        <f>COUNTIFS('Краевые Сосновоборск'!#REF!,A116,'Краевые Сосновоборск'!#REF!,"Ж")</f>
        <v>#REF!</v>
      </c>
      <c r="J116" s="1254"/>
      <c r="K116" s="1254"/>
      <c r="L116" s="1254"/>
      <c r="M116" s="1254"/>
      <c r="N116" s="1254"/>
      <c r="O116" s="405" t="e">
        <f t="shared" si="3"/>
        <v>#REF!</v>
      </c>
    </row>
    <row r="117" spans="1:17" s="374" customFormat="1" ht="15.6" x14ac:dyDescent="0.3">
      <c r="A117" s="382"/>
      <c r="B117" s="382"/>
      <c r="C117" s="382"/>
      <c r="D117" s="382"/>
      <c r="E117" s="382"/>
      <c r="F117" s="382"/>
      <c r="G117" s="382"/>
      <c r="H117" s="382"/>
      <c r="I117" s="382"/>
      <c r="J117" s="382"/>
      <c r="K117" s="382"/>
      <c r="L117" s="382"/>
      <c r="M117" s="382"/>
      <c r="N117" s="382"/>
      <c r="O117" s="382"/>
      <c r="P117" s="382"/>
      <c r="Q117" s="382"/>
    </row>
    <row r="118" spans="1:17" s="374" customFormat="1" ht="15.6" x14ac:dyDescent="0.3">
      <c r="A118" s="377" t="s">
        <v>387</v>
      </c>
      <c r="B118" s="374" t="s">
        <v>388</v>
      </c>
    </row>
    <row r="119" spans="1:17" s="374" customFormat="1" ht="15.6" x14ac:dyDescent="0.3">
      <c r="A119" s="377" t="s">
        <v>389</v>
      </c>
      <c r="E119" s="384"/>
      <c r="F119" s="374" t="s">
        <v>390</v>
      </c>
      <c r="J119" s="384"/>
      <c r="K119" s="374" t="s">
        <v>391</v>
      </c>
      <c r="M119" s="384"/>
      <c r="N119" s="374" t="s">
        <v>392</v>
      </c>
    </row>
    <row r="120" spans="1:17" s="374" customFormat="1" ht="15.6" x14ac:dyDescent="0.3">
      <c r="A120" s="377" t="s">
        <v>393</v>
      </c>
      <c r="F120" s="384"/>
      <c r="G120" s="374" t="s">
        <v>394</v>
      </c>
      <c r="J120" s="386"/>
      <c r="K120" s="374" t="s">
        <v>395</v>
      </c>
      <c r="N120" s="384"/>
      <c r="O120" s="374" t="s">
        <v>396</v>
      </c>
    </row>
    <row r="121" spans="1:17" s="374" customFormat="1" ht="15.6" x14ac:dyDescent="0.3">
      <c r="A121" s="377" t="s">
        <v>397</v>
      </c>
      <c r="E121" s="384"/>
      <c r="F121" s="374" t="s">
        <v>398</v>
      </c>
      <c r="J121" s="386"/>
      <c r="K121" s="374" t="s">
        <v>399</v>
      </c>
      <c r="M121" s="384"/>
      <c r="N121" s="374" t="s">
        <v>392</v>
      </c>
    </row>
    <row r="122" spans="1:17" s="374" customFormat="1" ht="15.6" x14ac:dyDescent="0.3">
      <c r="A122" s="377" t="s">
        <v>400</v>
      </c>
      <c r="E122" s="386"/>
      <c r="F122" s="374" t="s">
        <v>402</v>
      </c>
    </row>
    <row r="123" spans="1:17" s="374" customFormat="1" ht="15.6" x14ac:dyDescent="0.3">
      <c r="A123" s="377"/>
    </row>
    <row r="124" spans="1:17" s="374" customFormat="1" ht="15.6" x14ac:dyDescent="0.3">
      <c r="A124" s="377"/>
    </row>
    <row r="125" spans="1:17" s="374" customFormat="1" ht="15.6" x14ac:dyDescent="0.3">
      <c r="A125" s="377" t="s">
        <v>381</v>
      </c>
      <c r="B125" s="374" t="s">
        <v>401</v>
      </c>
    </row>
    <row r="126" spans="1:17" s="374" customFormat="1" ht="15.6" x14ac:dyDescent="0.3">
      <c r="A126" s="377" t="s">
        <v>403</v>
      </c>
      <c r="C126" s="384"/>
      <c r="D126" s="374" t="s">
        <v>404</v>
      </c>
      <c r="F126" s="384"/>
      <c r="G126" s="374" t="s">
        <v>405</v>
      </c>
      <c r="H126" s="384"/>
      <c r="I126" s="374" t="s">
        <v>406</v>
      </c>
      <c r="M126" s="384"/>
      <c r="N126" s="374" t="s">
        <v>402</v>
      </c>
    </row>
    <row r="127" spans="1:17" s="374" customFormat="1" ht="15.6" x14ac:dyDescent="0.3">
      <c r="B127" s="377" t="s">
        <v>356</v>
      </c>
    </row>
    <row r="128" spans="1:17" s="374" customFormat="1" ht="15.6" x14ac:dyDescent="0.3">
      <c r="A128" s="375"/>
    </row>
    <row r="129" spans="1:17" s="374" customFormat="1" ht="15" customHeight="1" x14ac:dyDescent="0.3">
      <c r="A129" s="374" t="s">
        <v>380</v>
      </c>
      <c r="B129" s="56" t="s">
        <v>408</v>
      </c>
      <c r="C129" s="56"/>
      <c r="D129" s="56"/>
      <c r="E129" s="56"/>
      <c r="F129" s="56"/>
      <c r="G129" s="56"/>
      <c r="H129" s="56"/>
      <c r="I129" s="56"/>
      <c r="J129" s="56"/>
      <c r="K129" s="56"/>
      <c r="L129" s="56"/>
      <c r="M129" s="56"/>
      <c r="N129" s="56"/>
      <c r="O129" s="56"/>
    </row>
    <row r="130" spans="1:17" s="374" customFormat="1" ht="16.2" x14ac:dyDescent="0.35">
      <c r="B130" s="1253" t="s">
        <v>32</v>
      </c>
      <c r="C130" s="1253"/>
      <c r="D130" s="410" t="e">
        <f>'Краевые Сосновоборск'!#REF!</f>
        <v>#REF!</v>
      </c>
      <c r="E130" s="374" t="s">
        <v>33</v>
      </c>
      <c r="F130" s="410" t="e">
        <f>'Краевые Сосновоборск'!#REF!</f>
        <v>#REF!</v>
      </c>
      <c r="G130" s="1253" t="s">
        <v>34</v>
      </c>
      <c r="H130" s="1253"/>
      <c r="I130" s="559" t="e">
        <f>'Краевые Сосновоборск'!#REF!</f>
        <v>#REF!</v>
      </c>
      <c r="J130" s="1253" t="s">
        <v>376</v>
      </c>
      <c r="K130" s="1253"/>
      <c r="L130" s="410" t="e">
        <f>'Краевые Сосновоборск'!#REF!</f>
        <v>#REF!</v>
      </c>
      <c r="M130" s="1253" t="s">
        <v>377</v>
      </c>
      <c r="N130" s="1253"/>
      <c r="O130" s="410" t="e">
        <f>'Краевые Сосновоборск'!#REF!</f>
        <v>#REF!</v>
      </c>
    </row>
    <row r="131" spans="1:17" s="374" customFormat="1" ht="16.2" x14ac:dyDescent="0.35">
      <c r="A131" s="375"/>
      <c r="B131" s="1253" t="s">
        <v>378</v>
      </c>
      <c r="C131" s="1253"/>
      <c r="D131" s="411" t="e">
        <f>'Краевые Сосновоборск'!#REF!</f>
        <v>#REF!</v>
      </c>
      <c r="E131" s="1253" t="s">
        <v>379</v>
      </c>
      <c r="F131" s="1253"/>
      <c r="G131" s="1253"/>
      <c r="H131" s="1253"/>
      <c r="I131" s="560" t="e">
        <f>'Краевые Сосновоборск'!#REF!</f>
        <v>#REF!</v>
      </c>
    </row>
    <row r="132" spans="1:17" s="374" customFormat="1" ht="15.6" x14ac:dyDescent="0.3">
      <c r="A132" s="377"/>
    </row>
    <row r="133" spans="1:17" s="374" customFormat="1" ht="15.6" x14ac:dyDescent="0.3">
      <c r="A133" s="377" t="s">
        <v>407</v>
      </c>
      <c r="B133" s="374" t="s">
        <v>409</v>
      </c>
    </row>
    <row r="134" spans="1:17" s="374" customFormat="1" ht="16.2" thickBot="1" x14ac:dyDescent="0.35">
      <c r="A134" s="377"/>
    </row>
    <row r="135" spans="1:17" s="374" customFormat="1" ht="40.5" customHeight="1" x14ac:dyDescent="0.3">
      <c r="A135" s="1262" t="s">
        <v>410</v>
      </c>
      <c r="B135" s="1264" t="s">
        <v>928</v>
      </c>
      <c r="C135" s="1265"/>
      <c r="D135" s="1265"/>
      <c r="E135" s="1265"/>
      <c r="F135" s="1265"/>
      <c r="G135" s="1265"/>
      <c r="H135" s="1265"/>
      <c r="I135" s="1266"/>
      <c r="J135" s="1267" t="s">
        <v>928</v>
      </c>
      <c r="K135" s="1268"/>
      <c r="L135" s="1268"/>
      <c r="M135" s="1268"/>
      <c r="N135" s="1268"/>
      <c r="O135" s="1268"/>
      <c r="P135" s="1268"/>
      <c r="Q135" s="1269"/>
    </row>
    <row r="136" spans="1:17" s="374" customFormat="1" ht="40.5" customHeight="1" thickBot="1" x14ac:dyDescent="0.35">
      <c r="A136" s="1263"/>
      <c r="B136" s="1270" t="s">
        <v>350</v>
      </c>
      <c r="C136" s="1271"/>
      <c r="D136" s="1271"/>
      <c r="E136" s="1271"/>
      <c r="F136" s="1271" t="s">
        <v>17</v>
      </c>
      <c r="G136" s="1271"/>
      <c r="H136" s="1271"/>
      <c r="I136" s="1272"/>
      <c r="J136" s="1270" t="s">
        <v>350</v>
      </c>
      <c r="K136" s="1271"/>
      <c r="L136" s="1271"/>
      <c r="M136" s="1271"/>
      <c r="N136" s="1273" t="s">
        <v>17</v>
      </c>
      <c r="O136" s="1274"/>
      <c r="P136" s="1274"/>
      <c r="Q136" s="1275"/>
    </row>
    <row r="137" spans="1:17" s="562" customFormat="1" ht="30" customHeight="1" x14ac:dyDescent="0.3">
      <c r="A137" s="561"/>
      <c r="B137" s="1276" t="s">
        <v>929</v>
      </c>
      <c r="C137" s="1277"/>
      <c r="D137" s="1277"/>
      <c r="E137" s="1277"/>
      <c r="F137" s="1277"/>
      <c r="G137" s="1277"/>
      <c r="H137" s="1277"/>
      <c r="I137" s="1278"/>
      <c r="J137" s="1279" t="s">
        <v>930</v>
      </c>
      <c r="K137" s="1280"/>
      <c r="L137" s="1280"/>
      <c r="M137" s="1280"/>
      <c r="N137" s="1280"/>
      <c r="O137" s="1280"/>
      <c r="P137" s="1280"/>
      <c r="Q137" s="1281"/>
    </row>
    <row r="138" spans="1:17" s="382" customFormat="1" ht="15.75" customHeight="1" x14ac:dyDescent="0.3">
      <c r="A138" s="563">
        <v>1</v>
      </c>
      <c r="B138" s="573" t="s">
        <v>903</v>
      </c>
      <c r="C138" s="603"/>
      <c r="D138" s="603"/>
      <c r="E138" s="603"/>
      <c r="F138" s="604" t="s">
        <v>889</v>
      </c>
      <c r="G138" s="604"/>
      <c r="H138" s="604"/>
      <c r="I138" s="605"/>
      <c r="J138" s="606" t="s">
        <v>896</v>
      </c>
      <c r="K138" s="590"/>
      <c r="L138" s="590"/>
      <c r="M138" s="607"/>
      <c r="N138" s="608" t="s">
        <v>889</v>
      </c>
      <c r="O138" s="609"/>
      <c r="P138" s="609"/>
      <c r="Q138" s="610"/>
    </row>
    <row r="139" spans="1:17" s="382" customFormat="1" ht="15.75" customHeight="1" x14ac:dyDescent="0.3">
      <c r="A139" s="563">
        <v>2</v>
      </c>
      <c r="B139" s="573" t="s">
        <v>922</v>
      </c>
      <c r="C139" s="603"/>
      <c r="D139" s="603"/>
      <c r="E139" s="603"/>
      <c r="F139" s="603" t="s">
        <v>887</v>
      </c>
      <c r="G139" s="603"/>
      <c r="H139" s="603"/>
      <c r="I139" s="611"/>
      <c r="J139" s="571" t="s">
        <v>911</v>
      </c>
      <c r="K139" s="572"/>
      <c r="L139" s="572"/>
      <c r="M139" s="573"/>
      <c r="N139" s="480" t="s">
        <v>460</v>
      </c>
      <c r="O139" s="590"/>
      <c r="P139" s="590"/>
      <c r="Q139" s="591"/>
    </row>
    <row r="140" spans="1:17" s="382" customFormat="1" ht="15.75" customHeight="1" x14ac:dyDescent="0.3">
      <c r="A140" s="563">
        <v>3</v>
      </c>
      <c r="B140" s="573" t="s">
        <v>924</v>
      </c>
      <c r="C140" s="603"/>
      <c r="D140" s="603"/>
      <c r="E140" s="603"/>
      <c r="F140" s="603" t="s">
        <v>887</v>
      </c>
      <c r="G140" s="603"/>
      <c r="H140" s="603"/>
      <c r="I140" s="611"/>
      <c r="J140" s="571" t="s">
        <v>919</v>
      </c>
      <c r="K140" s="572"/>
      <c r="L140" s="572"/>
      <c r="M140" s="573"/>
      <c r="N140" s="575" t="s">
        <v>887</v>
      </c>
      <c r="O140" s="572"/>
      <c r="P140" s="572"/>
      <c r="Q140" s="589"/>
    </row>
    <row r="141" spans="1:17" s="382" customFormat="1" ht="25.5" customHeight="1" x14ac:dyDescent="0.3">
      <c r="A141" s="564"/>
      <c r="B141" s="1304" t="s">
        <v>931</v>
      </c>
      <c r="C141" s="1305"/>
      <c r="D141" s="1305"/>
      <c r="E141" s="1305"/>
      <c r="F141" s="1305"/>
      <c r="G141" s="1305"/>
      <c r="H141" s="1305"/>
      <c r="I141" s="1306"/>
      <c r="J141" s="1279" t="s">
        <v>932</v>
      </c>
      <c r="K141" s="1280"/>
      <c r="L141" s="1280"/>
      <c r="M141" s="1280"/>
      <c r="N141" s="1280"/>
      <c r="O141" s="1280"/>
      <c r="P141" s="1280"/>
      <c r="Q141" s="1281"/>
    </row>
    <row r="142" spans="1:17" s="382" customFormat="1" ht="15.75" customHeight="1" x14ac:dyDescent="0.3">
      <c r="A142" s="563">
        <v>1</v>
      </c>
      <c r="B142" s="572" t="s">
        <v>910</v>
      </c>
      <c r="C142" s="572"/>
      <c r="D142" s="572"/>
      <c r="E142" s="573"/>
      <c r="F142" s="480" t="s">
        <v>460</v>
      </c>
      <c r="G142" s="590"/>
      <c r="H142" s="590"/>
      <c r="I142" s="591"/>
      <c r="J142" s="571" t="s">
        <v>895</v>
      </c>
      <c r="K142" s="572"/>
      <c r="L142" s="572"/>
      <c r="M142" s="573"/>
      <c r="N142" s="575" t="s">
        <v>890</v>
      </c>
      <c r="O142" s="572"/>
      <c r="P142" s="572"/>
      <c r="Q142" s="589"/>
    </row>
    <row r="143" spans="1:17" s="382" customFormat="1" ht="15.75" customHeight="1" x14ac:dyDescent="0.3">
      <c r="A143" s="563">
        <v>2</v>
      </c>
      <c r="B143" s="572" t="s">
        <v>919</v>
      </c>
      <c r="C143" s="572"/>
      <c r="D143" s="572"/>
      <c r="E143" s="573"/>
      <c r="F143" s="575" t="s">
        <v>887</v>
      </c>
      <c r="G143" s="572"/>
      <c r="H143" s="572"/>
      <c r="I143" s="589"/>
      <c r="J143" s="571" t="s">
        <v>894</v>
      </c>
      <c r="K143" s="572"/>
      <c r="L143" s="572"/>
      <c r="M143" s="573"/>
      <c r="N143" s="575" t="s">
        <v>890</v>
      </c>
      <c r="O143" s="572"/>
      <c r="P143" s="572"/>
      <c r="Q143" s="589"/>
    </row>
    <row r="144" spans="1:17" s="382" customFormat="1" ht="15.75" customHeight="1" x14ac:dyDescent="0.3">
      <c r="A144" s="563">
        <v>3</v>
      </c>
      <c r="B144" s="590" t="s">
        <v>896</v>
      </c>
      <c r="C144" s="590"/>
      <c r="D144" s="590"/>
      <c r="E144" s="607"/>
      <c r="F144" s="480" t="s">
        <v>889</v>
      </c>
      <c r="G144" s="590"/>
      <c r="H144" s="590"/>
      <c r="I144" s="591"/>
      <c r="J144" s="571" t="s">
        <v>914</v>
      </c>
      <c r="K144" s="572"/>
      <c r="L144" s="572"/>
      <c r="M144" s="573"/>
      <c r="N144" s="480" t="s">
        <v>460</v>
      </c>
      <c r="O144" s="590"/>
      <c r="P144" s="590"/>
      <c r="Q144" s="591"/>
    </row>
    <row r="145" spans="1:17" s="382" customFormat="1" ht="29.25" customHeight="1" x14ac:dyDescent="0.3">
      <c r="A145" s="564"/>
      <c r="B145" s="1280" t="s">
        <v>933</v>
      </c>
      <c r="C145" s="1280"/>
      <c r="D145" s="1280"/>
      <c r="E145" s="1280"/>
      <c r="F145" s="1280"/>
      <c r="G145" s="1280"/>
      <c r="H145" s="1280"/>
      <c r="I145" s="1281"/>
      <c r="J145" s="1279" t="s">
        <v>934</v>
      </c>
      <c r="K145" s="1280"/>
      <c r="L145" s="1280"/>
      <c r="M145" s="1280"/>
      <c r="N145" s="1280"/>
      <c r="O145" s="1280"/>
      <c r="P145" s="1280"/>
      <c r="Q145" s="1281"/>
    </row>
    <row r="146" spans="1:17" s="382" customFormat="1" ht="15.75" customHeight="1" x14ac:dyDescent="0.3">
      <c r="A146" s="563">
        <v>1</v>
      </c>
      <c r="B146" s="592" t="s">
        <v>895</v>
      </c>
      <c r="C146" s="592"/>
      <c r="D146" s="592"/>
      <c r="E146" s="612"/>
      <c r="F146" s="575" t="s">
        <v>890</v>
      </c>
      <c r="G146" s="572"/>
      <c r="H146" s="572"/>
      <c r="I146" s="589"/>
      <c r="J146" s="567" t="s">
        <v>892</v>
      </c>
      <c r="K146" s="568"/>
      <c r="L146" s="568"/>
      <c r="M146" s="569"/>
      <c r="N146" s="570" t="s">
        <v>891</v>
      </c>
      <c r="O146" s="568"/>
      <c r="P146" s="568"/>
      <c r="Q146" s="588"/>
    </row>
    <row r="147" spans="1:17" s="382" customFormat="1" ht="15.75" customHeight="1" x14ac:dyDescent="0.3">
      <c r="A147" s="563">
        <v>2</v>
      </c>
      <c r="B147" s="572" t="s">
        <v>894</v>
      </c>
      <c r="C147" s="572"/>
      <c r="D147" s="572"/>
      <c r="E147" s="573"/>
      <c r="F147" s="575" t="s">
        <v>890</v>
      </c>
      <c r="G147" s="572"/>
      <c r="H147" s="572"/>
      <c r="I147" s="589"/>
      <c r="J147" s="571" t="s">
        <v>918</v>
      </c>
      <c r="K147" s="572"/>
      <c r="L147" s="572"/>
      <c r="M147" s="573"/>
      <c r="N147" s="575" t="s">
        <v>887</v>
      </c>
      <c r="O147" s="572"/>
      <c r="P147" s="572"/>
      <c r="Q147" s="589"/>
    </row>
    <row r="148" spans="1:17" s="382" customFormat="1" ht="15.75" customHeight="1" x14ac:dyDescent="0.3">
      <c r="A148" s="563">
        <v>3</v>
      </c>
      <c r="B148" s="572" t="s">
        <v>914</v>
      </c>
      <c r="C148" s="572"/>
      <c r="D148" s="572"/>
      <c r="E148" s="573"/>
      <c r="F148" s="480" t="s">
        <v>460</v>
      </c>
      <c r="G148" s="590"/>
      <c r="H148" s="590"/>
      <c r="I148" s="591"/>
      <c r="J148" s="567" t="s">
        <v>893</v>
      </c>
      <c r="K148" s="568"/>
      <c r="L148" s="568"/>
      <c r="M148" s="569"/>
      <c r="N148" s="570" t="s">
        <v>891</v>
      </c>
      <c r="O148" s="568"/>
      <c r="P148" s="568"/>
      <c r="Q148" s="588"/>
    </row>
    <row r="149" spans="1:17" s="382" customFormat="1" ht="40.5" customHeight="1" x14ac:dyDescent="0.3">
      <c r="A149" s="564"/>
      <c r="B149" s="1280" t="s">
        <v>935</v>
      </c>
      <c r="C149" s="1280"/>
      <c r="D149" s="1280"/>
      <c r="E149" s="1280"/>
      <c r="F149" s="1280"/>
      <c r="G149" s="1280"/>
      <c r="H149" s="1280"/>
      <c r="I149" s="1281"/>
      <c r="J149" s="1279" t="s">
        <v>936</v>
      </c>
      <c r="K149" s="1280"/>
      <c r="L149" s="1280"/>
      <c r="M149" s="1280"/>
      <c r="N149" s="1280"/>
      <c r="O149" s="1280"/>
      <c r="P149" s="1280"/>
      <c r="Q149" s="1281"/>
    </row>
    <row r="150" spans="1:17" s="382" customFormat="1" ht="15.75" customHeight="1" x14ac:dyDescent="0.3">
      <c r="A150" s="563">
        <v>1</v>
      </c>
      <c r="B150" s="572" t="s">
        <v>918</v>
      </c>
      <c r="C150" s="572"/>
      <c r="D150" s="572"/>
      <c r="E150" s="573"/>
      <c r="F150" s="575" t="s">
        <v>887</v>
      </c>
      <c r="G150" s="572"/>
      <c r="H150" s="572"/>
      <c r="I150" s="589"/>
      <c r="J150" s="571" t="s">
        <v>922</v>
      </c>
      <c r="K150" s="572"/>
      <c r="L150" s="572"/>
      <c r="M150" s="573"/>
      <c r="N150" s="575" t="s">
        <v>887</v>
      </c>
      <c r="O150" s="572"/>
      <c r="P150" s="572"/>
      <c r="Q150" s="589"/>
    </row>
    <row r="151" spans="1:17" s="382" customFormat="1" ht="15.75" customHeight="1" x14ac:dyDescent="0.3">
      <c r="A151" s="563">
        <v>2</v>
      </c>
      <c r="B151" s="572" t="s">
        <v>892</v>
      </c>
      <c r="C151" s="572"/>
      <c r="D151" s="572"/>
      <c r="E151" s="573"/>
      <c r="F151" s="570" t="s">
        <v>891</v>
      </c>
      <c r="G151" s="568"/>
      <c r="H151" s="568"/>
      <c r="I151" s="588"/>
      <c r="J151" s="571" t="s">
        <v>903</v>
      </c>
      <c r="K151" s="572"/>
      <c r="L151" s="572"/>
      <c r="M151" s="573"/>
      <c r="N151" s="608" t="s">
        <v>889</v>
      </c>
      <c r="O151" s="609"/>
      <c r="P151" s="609"/>
      <c r="Q151" s="610"/>
    </row>
    <row r="152" spans="1:17" s="382" customFormat="1" ht="15.75" customHeight="1" x14ac:dyDescent="0.3">
      <c r="A152" s="563">
        <v>3</v>
      </c>
      <c r="B152" s="572" t="s">
        <v>909</v>
      </c>
      <c r="C152" s="572"/>
      <c r="D152" s="572"/>
      <c r="E152" s="573"/>
      <c r="F152" s="480" t="s">
        <v>460</v>
      </c>
      <c r="G152" s="590"/>
      <c r="H152" s="590"/>
      <c r="I152" s="591"/>
      <c r="J152" s="571" t="s">
        <v>915</v>
      </c>
      <c r="K152" s="572"/>
      <c r="L152" s="572"/>
      <c r="M152" s="573"/>
      <c r="N152" s="480" t="s">
        <v>460</v>
      </c>
      <c r="O152" s="590"/>
      <c r="P152" s="590"/>
      <c r="Q152" s="591"/>
    </row>
    <row r="153" spans="1:17" s="382" customFormat="1" ht="27" customHeight="1" x14ac:dyDescent="0.3">
      <c r="A153" s="564"/>
      <c r="B153" s="1280" t="s">
        <v>937</v>
      </c>
      <c r="C153" s="1280"/>
      <c r="D153" s="1280"/>
      <c r="E153" s="1280"/>
      <c r="F153" s="1280"/>
      <c r="G153" s="1280"/>
      <c r="H153" s="1280"/>
      <c r="I153" s="1281"/>
      <c r="J153" s="1279" t="s">
        <v>938</v>
      </c>
      <c r="K153" s="1280"/>
      <c r="L153" s="1280"/>
      <c r="M153" s="1280"/>
      <c r="N153" s="1280"/>
      <c r="O153" s="1280"/>
      <c r="P153" s="1280"/>
      <c r="Q153" s="1281"/>
    </row>
    <row r="154" spans="1:17" s="382" customFormat="1" ht="15.75" customHeight="1" x14ac:dyDescent="0.3">
      <c r="A154" s="563">
        <v>1</v>
      </c>
      <c r="B154" s="572" t="s">
        <v>903</v>
      </c>
      <c r="C154" s="572"/>
      <c r="D154" s="572"/>
      <c r="E154" s="573"/>
      <c r="F154" s="480" t="s">
        <v>889</v>
      </c>
      <c r="G154" s="590"/>
      <c r="H154" s="590"/>
      <c r="I154" s="591"/>
      <c r="J154" s="571" t="s">
        <v>911</v>
      </c>
      <c r="K154" s="572"/>
      <c r="L154" s="572"/>
      <c r="M154" s="573"/>
      <c r="N154" s="480" t="s">
        <v>460</v>
      </c>
      <c r="O154" s="590"/>
      <c r="P154" s="590"/>
      <c r="Q154" s="591"/>
    </row>
    <row r="155" spans="1:17" s="382" customFormat="1" ht="15.75" customHeight="1" x14ac:dyDescent="0.3">
      <c r="A155" s="563">
        <v>2</v>
      </c>
      <c r="B155" s="572" t="s">
        <v>922</v>
      </c>
      <c r="C155" s="572"/>
      <c r="D155" s="572"/>
      <c r="E155" s="573"/>
      <c r="F155" s="575" t="s">
        <v>887</v>
      </c>
      <c r="G155" s="572"/>
      <c r="H155" s="572"/>
      <c r="I155" s="589"/>
      <c r="J155" s="606" t="s">
        <v>896</v>
      </c>
      <c r="K155" s="590"/>
      <c r="L155" s="590"/>
      <c r="M155" s="607"/>
      <c r="N155" s="608" t="s">
        <v>889</v>
      </c>
      <c r="O155" s="609"/>
      <c r="P155" s="609"/>
      <c r="Q155" s="610"/>
    </row>
    <row r="156" spans="1:17" s="382" customFormat="1" ht="15.75" customHeight="1" x14ac:dyDescent="0.3">
      <c r="A156" s="563">
        <v>3</v>
      </c>
      <c r="B156" s="572" t="s">
        <v>916</v>
      </c>
      <c r="C156" s="572"/>
      <c r="D156" s="572"/>
      <c r="E156" s="573"/>
      <c r="F156" s="480" t="s">
        <v>460</v>
      </c>
      <c r="G156" s="590"/>
      <c r="H156" s="590"/>
      <c r="I156" s="591"/>
      <c r="J156" s="571" t="s">
        <v>910</v>
      </c>
      <c r="K156" s="572"/>
      <c r="L156" s="572"/>
      <c r="M156" s="573"/>
      <c r="N156" s="480" t="s">
        <v>460</v>
      </c>
      <c r="O156" s="590"/>
      <c r="P156" s="590"/>
      <c r="Q156" s="591"/>
    </row>
    <row r="157" spans="1:17" s="382" customFormat="1" ht="40.5" customHeight="1" x14ac:dyDescent="0.3">
      <c r="A157" s="564"/>
      <c r="B157" s="1280" t="s">
        <v>939</v>
      </c>
      <c r="C157" s="1280"/>
      <c r="D157" s="1280"/>
      <c r="E157" s="1280"/>
      <c r="F157" s="1280"/>
      <c r="G157" s="1280"/>
      <c r="H157" s="1280"/>
      <c r="I157" s="1281"/>
      <c r="J157" s="1279" t="s">
        <v>940</v>
      </c>
      <c r="K157" s="1280"/>
      <c r="L157" s="1280"/>
      <c r="M157" s="1280"/>
      <c r="N157" s="1280"/>
      <c r="O157" s="1280"/>
      <c r="P157" s="1280"/>
      <c r="Q157" s="1281"/>
    </row>
    <row r="158" spans="1:17" s="382" customFormat="1" ht="15.75" customHeight="1" x14ac:dyDescent="0.3">
      <c r="A158" s="563">
        <v>1</v>
      </c>
      <c r="B158" s="572" t="s">
        <v>909</v>
      </c>
      <c r="C158" s="572"/>
      <c r="D158" s="572"/>
      <c r="E158" s="573"/>
      <c r="F158" s="480" t="s">
        <v>460</v>
      </c>
      <c r="G158" s="590"/>
      <c r="H158" s="590"/>
      <c r="I158" s="591"/>
      <c r="J158" s="613" t="s">
        <v>895</v>
      </c>
      <c r="K158" s="592"/>
      <c r="L158" s="592"/>
      <c r="M158" s="612"/>
      <c r="N158" s="575" t="s">
        <v>890</v>
      </c>
      <c r="O158" s="572"/>
      <c r="P158" s="572"/>
      <c r="Q158" s="589"/>
    </row>
    <row r="159" spans="1:17" s="382" customFormat="1" ht="15.75" customHeight="1" x14ac:dyDescent="0.3">
      <c r="A159" s="563">
        <v>2</v>
      </c>
      <c r="B159" s="590" t="s">
        <v>896</v>
      </c>
      <c r="C159" s="590"/>
      <c r="D159" s="590"/>
      <c r="E159" s="607"/>
      <c r="F159" s="480" t="s">
        <v>889</v>
      </c>
      <c r="G159" s="590"/>
      <c r="H159" s="590"/>
      <c r="I159" s="591"/>
      <c r="J159" s="571" t="s">
        <v>894</v>
      </c>
      <c r="K159" s="572"/>
      <c r="L159" s="572"/>
      <c r="M159" s="573"/>
      <c r="N159" s="575" t="s">
        <v>890</v>
      </c>
      <c r="O159" s="572"/>
      <c r="P159" s="572"/>
      <c r="Q159" s="589"/>
    </row>
    <row r="160" spans="1:17" s="382" customFormat="1" ht="15.75" customHeight="1" x14ac:dyDescent="0.3">
      <c r="A160" s="563">
        <v>3</v>
      </c>
      <c r="B160" s="572" t="s">
        <v>910</v>
      </c>
      <c r="C160" s="572"/>
      <c r="D160" s="572"/>
      <c r="E160" s="573"/>
      <c r="F160" s="480" t="s">
        <v>460</v>
      </c>
      <c r="G160" s="590"/>
      <c r="H160" s="590"/>
      <c r="I160" s="591"/>
      <c r="J160" s="571" t="s">
        <v>915</v>
      </c>
      <c r="K160" s="572"/>
      <c r="L160" s="572"/>
      <c r="M160" s="573"/>
      <c r="N160" s="480" t="s">
        <v>460</v>
      </c>
      <c r="O160" s="590"/>
      <c r="P160" s="590"/>
      <c r="Q160" s="591"/>
    </row>
    <row r="161" spans="1:27" s="382" customFormat="1" ht="27.75" customHeight="1" x14ac:dyDescent="0.3">
      <c r="A161" s="565"/>
      <c r="B161" s="1288" t="s">
        <v>941</v>
      </c>
      <c r="C161" s="1289"/>
      <c r="D161" s="1289"/>
      <c r="E161" s="1289"/>
      <c r="F161" s="1289"/>
      <c r="G161" s="1289"/>
      <c r="H161" s="1289"/>
      <c r="I161" s="1290"/>
      <c r="J161" s="1279" t="s">
        <v>942</v>
      </c>
      <c r="K161" s="1280"/>
      <c r="L161" s="1280"/>
      <c r="M161" s="1280"/>
      <c r="N161" s="1280"/>
      <c r="O161" s="1280"/>
      <c r="P161" s="1280"/>
      <c r="Q161" s="1281"/>
    </row>
    <row r="162" spans="1:27" s="382" customFormat="1" ht="15.75" customHeight="1" x14ac:dyDescent="0.3">
      <c r="A162" s="566">
        <v>1</v>
      </c>
      <c r="B162" s="571" t="s">
        <v>914</v>
      </c>
      <c r="C162" s="572"/>
      <c r="D162" s="572"/>
      <c r="E162" s="573"/>
      <c r="F162" s="480" t="s">
        <v>460</v>
      </c>
      <c r="G162" s="590"/>
      <c r="H162" s="590"/>
      <c r="I162" s="591"/>
      <c r="J162" s="571" t="s">
        <v>909</v>
      </c>
      <c r="K162" s="572"/>
      <c r="L162" s="572"/>
      <c r="M162" s="573"/>
      <c r="N162" s="480" t="s">
        <v>460</v>
      </c>
      <c r="O162" s="590"/>
      <c r="P162" s="590"/>
      <c r="Q162" s="591"/>
    </row>
    <row r="163" spans="1:27" s="382" customFormat="1" ht="15.75" customHeight="1" x14ac:dyDescent="0.3">
      <c r="A163" s="566">
        <v>2</v>
      </c>
      <c r="B163" s="571" t="s">
        <v>913</v>
      </c>
      <c r="C163" s="572"/>
      <c r="D163" s="572"/>
      <c r="E163" s="573"/>
      <c r="F163" s="480" t="s">
        <v>460</v>
      </c>
      <c r="G163" s="590"/>
      <c r="H163" s="590"/>
      <c r="I163" s="591"/>
      <c r="J163" s="567" t="s">
        <v>892</v>
      </c>
      <c r="K163" s="568"/>
      <c r="L163" s="568"/>
      <c r="M163" s="569"/>
      <c r="N163" s="570" t="s">
        <v>891</v>
      </c>
      <c r="O163" s="568"/>
      <c r="P163" s="568"/>
      <c r="Q163" s="588"/>
    </row>
    <row r="164" spans="1:27" s="382" customFormat="1" ht="15.75" customHeight="1" x14ac:dyDescent="0.3">
      <c r="A164" s="566">
        <v>3</v>
      </c>
      <c r="B164" s="571" t="s">
        <v>925</v>
      </c>
      <c r="C164" s="572"/>
      <c r="D164" s="572"/>
      <c r="E164" s="573"/>
      <c r="F164" s="575" t="s">
        <v>887</v>
      </c>
      <c r="G164" s="572"/>
      <c r="H164" s="572"/>
      <c r="I164" s="589"/>
      <c r="J164" s="571" t="s">
        <v>918</v>
      </c>
      <c r="K164" s="572"/>
      <c r="L164" s="572"/>
      <c r="M164" s="573"/>
      <c r="N164" s="575" t="s">
        <v>887</v>
      </c>
      <c r="O164" s="572"/>
      <c r="P164" s="572"/>
      <c r="Q164" s="589"/>
    </row>
    <row r="165" spans="1:27" s="382" customFormat="1" ht="30" customHeight="1" x14ac:dyDescent="0.3">
      <c r="A165" s="566"/>
      <c r="B165" s="1285" t="s">
        <v>943</v>
      </c>
      <c r="C165" s="1286"/>
      <c r="D165" s="1286"/>
      <c r="E165" s="1286"/>
      <c r="F165" s="1286"/>
      <c r="G165" s="1286"/>
      <c r="H165" s="1286"/>
      <c r="I165" s="1287"/>
      <c r="J165" s="1285" t="s">
        <v>944</v>
      </c>
      <c r="K165" s="1286"/>
      <c r="L165" s="1286"/>
      <c r="M165" s="1286"/>
      <c r="N165" s="1286"/>
      <c r="O165" s="1286"/>
      <c r="P165" s="1286"/>
      <c r="Q165" s="1287"/>
      <c r="V165" s="55"/>
      <c r="W165" s="33"/>
      <c r="X165" s="25"/>
      <c r="Y165" s="16"/>
      <c r="Z165" s="26"/>
      <c r="AA165" s="24"/>
    </row>
    <row r="166" spans="1:27" s="382" customFormat="1" ht="15.6" x14ac:dyDescent="0.3">
      <c r="A166" s="563">
        <v>1</v>
      </c>
      <c r="B166" s="567" t="s">
        <v>922</v>
      </c>
      <c r="C166" s="568"/>
      <c r="D166" s="568"/>
      <c r="E166" s="569"/>
      <c r="F166" s="570" t="s">
        <v>887</v>
      </c>
      <c r="G166" s="568"/>
      <c r="H166" s="568"/>
      <c r="I166" s="588"/>
      <c r="J166" s="571" t="s">
        <v>903</v>
      </c>
      <c r="K166" s="572"/>
      <c r="L166" s="572"/>
      <c r="M166" s="573"/>
      <c r="N166" s="574" t="s">
        <v>889</v>
      </c>
      <c r="O166" s="572"/>
      <c r="P166" s="578"/>
      <c r="Q166" s="579"/>
      <c r="V166" s="55"/>
      <c r="W166" s="25"/>
      <c r="X166" s="16"/>
      <c r="AA166" s="228"/>
    </row>
    <row r="167" spans="1:27" s="382" customFormat="1" ht="15.6" x14ac:dyDescent="0.3">
      <c r="A167" s="563">
        <v>2</v>
      </c>
      <c r="B167" s="571" t="s">
        <v>913</v>
      </c>
      <c r="C167" s="572"/>
      <c r="D167" s="572"/>
      <c r="E167" s="573"/>
      <c r="F167" s="575" t="s">
        <v>460</v>
      </c>
      <c r="G167" s="572"/>
      <c r="H167" s="572"/>
      <c r="I167" s="589"/>
      <c r="J167" s="571" t="s">
        <v>922</v>
      </c>
      <c r="K167" s="572"/>
      <c r="L167" s="572"/>
      <c r="M167" s="573"/>
      <c r="N167" s="575" t="s">
        <v>887</v>
      </c>
      <c r="O167" s="572"/>
      <c r="P167" s="578"/>
      <c r="Q167" s="579"/>
      <c r="V167" s="55"/>
      <c r="W167" s="25"/>
      <c r="X167" s="16"/>
      <c r="AA167" s="24"/>
    </row>
    <row r="168" spans="1:27" s="382" customFormat="1" ht="15.6" x14ac:dyDescent="0.3">
      <c r="A168" s="563">
        <v>3</v>
      </c>
      <c r="B168" s="571" t="s">
        <v>924</v>
      </c>
      <c r="C168" s="572"/>
      <c r="D168" s="572"/>
      <c r="E168" s="573"/>
      <c r="F168" s="575" t="s">
        <v>887</v>
      </c>
      <c r="G168" s="572"/>
      <c r="H168" s="572"/>
      <c r="I168" s="589"/>
      <c r="J168" s="571" t="s">
        <v>902</v>
      </c>
      <c r="K168" s="572"/>
      <c r="L168" s="572"/>
      <c r="M168" s="573"/>
      <c r="N168" s="574" t="s">
        <v>889</v>
      </c>
      <c r="O168" s="572"/>
      <c r="P168" s="578"/>
      <c r="Q168" s="579"/>
      <c r="V168" s="55"/>
      <c r="W168" s="25"/>
      <c r="X168" s="16"/>
      <c r="AA168" s="228"/>
    </row>
    <row r="169" spans="1:27" s="382" customFormat="1" ht="30.75" customHeight="1" x14ac:dyDescent="0.3">
      <c r="A169" s="565"/>
      <c r="B169" s="1285" t="s">
        <v>945</v>
      </c>
      <c r="C169" s="1286"/>
      <c r="D169" s="1286"/>
      <c r="E169" s="1286"/>
      <c r="F169" s="1286"/>
      <c r="G169" s="1286"/>
      <c r="H169" s="1286"/>
      <c r="I169" s="1287"/>
      <c r="J169" s="1285" t="s">
        <v>946</v>
      </c>
      <c r="K169" s="1286"/>
      <c r="L169" s="1286"/>
      <c r="M169" s="1286"/>
      <c r="N169" s="1286"/>
      <c r="O169" s="1286"/>
      <c r="P169" s="1286"/>
      <c r="Q169" s="1287"/>
      <c r="V169" s="55"/>
      <c r="W169" s="33"/>
      <c r="X169" s="25"/>
      <c r="Z169" s="228"/>
      <c r="AA169" s="26"/>
    </row>
    <row r="170" spans="1:27" s="382" customFormat="1" ht="15.6" x14ac:dyDescent="0.3">
      <c r="A170" s="566">
        <v>1</v>
      </c>
      <c r="B170" s="571" t="s">
        <v>910</v>
      </c>
      <c r="C170" s="572"/>
      <c r="D170" s="572"/>
      <c r="E170" s="573"/>
      <c r="F170" s="480" t="s">
        <v>460</v>
      </c>
      <c r="G170" s="590"/>
      <c r="H170" s="590"/>
      <c r="I170" s="591"/>
      <c r="J170" s="571" t="s">
        <v>909</v>
      </c>
      <c r="K170" s="572"/>
      <c r="L170" s="572"/>
      <c r="M170" s="573"/>
      <c r="N170" s="575" t="s">
        <v>460</v>
      </c>
      <c r="O170" s="572"/>
      <c r="P170" s="578"/>
      <c r="Q170" s="579"/>
      <c r="V170" s="55"/>
      <c r="W170" s="25"/>
      <c r="X170" s="16"/>
      <c r="AA170" s="24"/>
    </row>
    <row r="171" spans="1:27" s="382" customFormat="1" ht="15.6" x14ac:dyDescent="0.3">
      <c r="A171" s="566">
        <v>2</v>
      </c>
      <c r="B171" s="571" t="s">
        <v>920</v>
      </c>
      <c r="C171" s="572"/>
      <c r="D171" s="572"/>
      <c r="E171" s="573"/>
      <c r="F171" s="480" t="s">
        <v>887</v>
      </c>
      <c r="G171" s="590"/>
      <c r="H171" s="590"/>
      <c r="I171" s="591"/>
      <c r="J171" s="571" t="s">
        <v>896</v>
      </c>
      <c r="K171" s="572"/>
      <c r="L171" s="572"/>
      <c r="M171" s="573"/>
      <c r="N171" s="574" t="s">
        <v>889</v>
      </c>
      <c r="O171" s="592"/>
      <c r="P171" s="593"/>
      <c r="Q171" s="594"/>
      <c r="V171" s="55"/>
      <c r="W171" s="25"/>
      <c r="X171" s="16"/>
      <c r="AA171" s="228"/>
    </row>
    <row r="172" spans="1:27" s="382" customFormat="1" ht="15.6" x14ac:dyDescent="0.3">
      <c r="A172" s="566">
        <v>3</v>
      </c>
      <c r="B172" s="571" t="s">
        <v>911</v>
      </c>
      <c r="C172" s="572"/>
      <c r="D172" s="572"/>
      <c r="E172" s="573"/>
      <c r="F172" s="480" t="s">
        <v>460</v>
      </c>
      <c r="G172" s="590"/>
      <c r="H172" s="590"/>
      <c r="I172" s="591"/>
      <c r="J172" s="571" t="s">
        <v>911</v>
      </c>
      <c r="K172" s="572"/>
      <c r="L172" s="572"/>
      <c r="M172" s="573"/>
      <c r="N172" s="575" t="s">
        <v>460</v>
      </c>
      <c r="O172" s="572"/>
      <c r="P172" s="578"/>
      <c r="Q172" s="579"/>
      <c r="V172" s="55"/>
      <c r="W172" s="25"/>
      <c r="X172" s="16"/>
      <c r="AA172" s="24"/>
    </row>
    <row r="173" spans="1:27" s="374" customFormat="1" ht="50.25" customHeight="1" x14ac:dyDescent="0.3">
      <c r="A173" s="565"/>
      <c r="B173" s="1283" t="s">
        <v>947</v>
      </c>
      <c r="C173" s="1283"/>
      <c r="D173" s="1283"/>
      <c r="E173" s="1283"/>
      <c r="F173" s="1283"/>
      <c r="G173" s="1283"/>
      <c r="H173" s="1283"/>
      <c r="I173" s="1284"/>
      <c r="J173" s="1283" t="s">
        <v>948</v>
      </c>
      <c r="K173" s="1283"/>
      <c r="L173" s="1283"/>
      <c r="M173" s="1283"/>
      <c r="N173" s="1283"/>
      <c r="O173" s="1283"/>
      <c r="P173" s="1283"/>
      <c r="Q173" s="1284"/>
    </row>
    <row r="174" spans="1:27" s="374" customFormat="1" ht="15.75" customHeight="1" x14ac:dyDescent="0.3">
      <c r="A174" s="566">
        <v>1</v>
      </c>
      <c r="B174" s="572" t="s">
        <v>914</v>
      </c>
      <c r="C174" s="572"/>
      <c r="D174" s="572"/>
      <c r="E174" s="573"/>
      <c r="F174" s="480" t="s">
        <v>460</v>
      </c>
      <c r="G174" s="590"/>
      <c r="H174" s="590"/>
      <c r="I174" s="591"/>
      <c r="J174" s="572" t="s">
        <v>909</v>
      </c>
      <c r="K174" s="572"/>
      <c r="L174" s="572"/>
      <c r="M174" s="573"/>
      <c r="N174" s="480" t="s">
        <v>460</v>
      </c>
      <c r="O174" s="590"/>
      <c r="P174" s="590"/>
      <c r="Q174" s="591"/>
    </row>
    <row r="175" spans="1:27" s="374" customFormat="1" ht="15.75" customHeight="1" x14ac:dyDescent="0.3">
      <c r="A175" s="566">
        <v>1</v>
      </c>
      <c r="B175" s="572" t="s">
        <v>916</v>
      </c>
      <c r="C175" s="572"/>
      <c r="D175" s="572"/>
      <c r="E175" s="573"/>
      <c r="F175" s="480" t="s">
        <v>460</v>
      </c>
      <c r="G175" s="590"/>
      <c r="H175" s="590"/>
      <c r="I175" s="591"/>
      <c r="J175" s="572" t="s">
        <v>912</v>
      </c>
      <c r="K175" s="572"/>
      <c r="L175" s="572"/>
      <c r="M175" s="573"/>
      <c r="N175" s="480" t="s">
        <v>460</v>
      </c>
      <c r="O175" s="590"/>
      <c r="P175" s="590"/>
      <c r="Q175" s="591"/>
    </row>
    <row r="176" spans="1:27" s="374" customFormat="1" ht="15.75" customHeight="1" x14ac:dyDescent="0.3">
      <c r="A176" s="566">
        <v>1</v>
      </c>
      <c r="B176" s="572" t="s">
        <v>913</v>
      </c>
      <c r="C176" s="572"/>
      <c r="D176" s="572"/>
      <c r="E176" s="573"/>
      <c r="F176" s="480" t="s">
        <v>460</v>
      </c>
      <c r="G176" s="590"/>
      <c r="H176" s="590"/>
      <c r="I176" s="591"/>
      <c r="J176" s="572" t="s">
        <v>910</v>
      </c>
      <c r="K176" s="572"/>
      <c r="L176" s="572"/>
      <c r="M176" s="573"/>
      <c r="N176" s="480" t="s">
        <v>460</v>
      </c>
      <c r="O176" s="590"/>
      <c r="P176" s="590"/>
      <c r="Q176" s="591"/>
    </row>
    <row r="177" spans="1:24" s="374" customFormat="1" ht="15.75" customHeight="1" x14ac:dyDescent="0.3">
      <c r="A177" s="566">
        <v>1</v>
      </c>
      <c r="B177" s="572" t="s">
        <v>915</v>
      </c>
      <c r="C177" s="572"/>
      <c r="D177" s="572"/>
      <c r="E177" s="573"/>
      <c r="F177" s="480" t="s">
        <v>460</v>
      </c>
      <c r="G177" s="590"/>
      <c r="H177" s="590"/>
      <c r="I177" s="591"/>
      <c r="J177" s="572" t="s">
        <v>911</v>
      </c>
      <c r="K177" s="572"/>
      <c r="L177" s="572"/>
      <c r="M177" s="573"/>
      <c r="N177" s="480" t="s">
        <v>460</v>
      </c>
      <c r="O177" s="590"/>
      <c r="P177" s="590"/>
      <c r="Q177" s="591"/>
    </row>
    <row r="178" spans="1:24" s="374" customFormat="1" ht="15.75" customHeight="1" x14ac:dyDescent="0.3">
      <c r="A178" s="566">
        <v>2</v>
      </c>
      <c r="B178" s="568" t="s">
        <v>924</v>
      </c>
      <c r="C178" s="568"/>
      <c r="D178" s="568"/>
      <c r="E178" s="569"/>
      <c r="F178" s="570" t="s">
        <v>887</v>
      </c>
      <c r="G178" s="568"/>
      <c r="H178" s="568"/>
      <c r="I178" s="588"/>
      <c r="J178" s="572" t="s">
        <v>919</v>
      </c>
      <c r="K178" s="572"/>
      <c r="L178" s="572"/>
      <c r="M178" s="573"/>
      <c r="N178" s="575" t="s">
        <v>887</v>
      </c>
      <c r="O178" s="572"/>
      <c r="P178" s="572"/>
      <c r="Q178" s="589"/>
    </row>
    <row r="179" spans="1:24" s="374" customFormat="1" ht="15.75" customHeight="1" x14ac:dyDescent="0.3">
      <c r="A179" s="566">
        <v>2</v>
      </c>
      <c r="B179" s="572" t="s">
        <v>925</v>
      </c>
      <c r="C179" s="572"/>
      <c r="D179" s="572"/>
      <c r="E179" s="573"/>
      <c r="F179" s="575" t="s">
        <v>887</v>
      </c>
      <c r="G179" s="572"/>
      <c r="H179" s="572"/>
      <c r="I179" s="589"/>
      <c r="J179" s="572" t="s">
        <v>918</v>
      </c>
      <c r="K179" s="572"/>
      <c r="L179" s="572"/>
      <c r="M179" s="573"/>
      <c r="N179" s="575" t="s">
        <v>887</v>
      </c>
      <c r="O179" s="572"/>
      <c r="P179" s="572"/>
      <c r="Q179" s="589"/>
    </row>
    <row r="180" spans="1:24" s="374" customFormat="1" ht="15.75" customHeight="1" x14ac:dyDescent="0.3">
      <c r="A180" s="566">
        <v>2</v>
      </c>
      <c r="B180" s="572" t="s">
        <v>923</v>
      </c>
      <c r="C180" s="572"/>
      <c r="D180" s="572"/>
      <c r="E180" s="573"/>
      <c r="F180" s="575" t="s">
        <v>887</v>
      </c>
      <c r="G180" s="572"/>
      <c r="H180" s="572"/>
      <c r="I180" s="589"/>
      <c r="J180" s="572" t="s">
        <v>917</v>
      </c>
      <c r="K180" s="572"/>
      <c r="L180" s="572"/>
      <c r="M180" s="573"/>
      <c r="N180" s="575" t="s">
        <v>887</v>
      </c>
      <c r="O180" s="572"/>
      <c r="P180" s="572"/>
      <c r="Q180" s="589"/>
    </row>
    <row r="181" spans="1:24" s="374" customFormat="1" ht="15.75" customHeight="1" x14ac:dyDescent="0.3">
      <c r="A181" s="566">
        <v>2</v>
      </c>
      <c r="B181" s="572" t="s">
        <v>922</v>
      </c>
      <c r="C181" s="572"/>
      <c r="D181" s="572"/>
      <c r="E181" s="573"/>
      <c r="F181" s="575" t="s">
        <v>887</v>
      </c>
      <c r="G181" s="572"/>
      <c r="H181" s="572"/>
      <c r="I181" s="589"/>
      <c r="J181" s="572" t="s">
        <v>920</v>
      </c>
      <c r="K181" s="572"/>
      <c r="L181" s="572"/>
      <c r="M181" s="573"/>
      <c r="N181" s="575" t="s">
        <v>887</v>
      </c>
      <c r="O181" s="572"/>
      <c r="P181" s="572"/>
      <c r="Q181" s="589"/>
    </row>
    <row r="182" spans="1:24" s="374" customFormat="1" ht="15.75" customHeight="1" x14ac:dyDescent="0.3">
      <c r="A182" s="566">
        <v>3</v>
      </c>
      <c r="B182" s="572" t="s">
        <v>903</v>
      </c>
      <c r="C182" s="572"/>
      <c r="D182" s="572"/>
      <c r="E182" s="573"/>
      <c r="F182" s="480" t="s">
        <v>889</v>
      </c>
      <c r="G182" s="590"/>
      <c r="H182" s="590"/>
      <c r="I182" s="591"/>
      <c r="J182" s="571"/>
      <c r="K182" s="572"/>
      <c r="L182" s="572"/>
      <c r="M182" s="573"/>
      <c r="N182" s="575"/>
      <c r="O182" s="572"/>
      <c r="P182" s="578"/>
      <c r="Q182" s="579"/>
    </row>
    <row r="183" spans="1:24" s="374" customFormat="1" ht="15.75" customHeight="1" x14ac:dyDescent="0.3">
      <c r="A183" s="566">
        <v>3</v>
      </c>
      <c r="B183" s="572" t="s">
        <v>902</v>
      </c>
      <c r="C183" s="572"/>
      <c r="D183" s="572"/>
      <c r="E183" s="573"/>
      <c r="F183" s="480" t="s">
        <v>889</v>
      </c>
      <c r="G183" s="590"/>
      <c r="H183" s="590"/>
      <c r="I183" s="591"/>
      <c r="J183" s="571"/>
      <c r="K183" s="572"/>
      <c r="L183" s="572"/>
      <c r="M183" s="573"/>
      <c r="N183" s="575"/>
      <c r="O183" s="572"/>
      <c r="P183" s="578"/>
      <c r="Q183" s="579"/>
    </row>
    <row r="184" spans="1:24" s="374" customFormat="1" ht="15.75" customHeight="1" x14ac:dyDescent="0.3">
      <c r="A184" s="566">
        <v>3</v>
      </c>
      <c r="B184" s="572" t="s">
        <v>900</v>
      </c>
      <c r="C184" s="572"/>
      <c r="D184" s="572"/>
      <c r="E184" s="573"/>
      <c r="F184" s="480" t="s">
        <v>889</v>
      </c>
      <c r="G184" s="590"/>
      <c r="H184" s="590"/>
      <c r="I184" s="591"/>
      <c r="J184" s="571"/>
      <c r="K184" s="572"/>
      <c r="L184" s="572"/>
      <c r="M184" s="573"/>
      <c r="N184" s="575"/>
      <c r="O184" s="572"/>
      <c r="P184" s="578"/>
      <c r="Q184" s="579"/>
    </row>
    <row r="185" spans="1:24" s="374" customFormat="1" ht="15.75" customHeight="1" x14ac:dyDescent="0.3">
      <c r="A185" s="566">
        <v>3</v>
      </c>
      <c r="B185" s="572" t="s">
        <v>904</v>
      </c>
      <c r="C185" s="572"/>
      <c r="D185" s="572"/>
      <c r="E185" s="573"/>
      <c r="F185" s="480" t="s">
        <v>889</v>
      </c>
      <c r="G185" s="590"/>
      <c r="H185" s="590"/>
      <c r="I185" s="591"/>
      <c r="J185" s="571"/>
      <c r="K185" s="572"/>
      <c r="L185" s="572"/>
      <c r="M185" s="573"/>
      <c r="N185" s="575"/>
      <c r="O185" s="572"/>
      <c r="P185" s="578"/>
      <c r="Q185" s="579"/>
      <c r="U185" s="21"/>
      <c r="V185" s="21"/>
      <c r="W185" s="21"/>
      <c r="X185" s="21"/>
    </row>
    <row r="186" spans="1:24" s="374" customFormat="1" ht="46.5" customHeight="1" x14ac:dyDescent="0.3">
      <c r="A186" s="565"/>
      <c r="B186" s="1282" t="s">
        <v>949</v>
      </c>
      <c r="C186" s="1283"/>
      <c r="D186" s="1283"/>
      <c r="E186" s="1283"/>
      <c r="F186" s="1283"/>
      <c r="G186" s="1283"/>
      <c r="H186" s="1283"/>
      <c r="I186" s="1284"/>
      <c r="J186" s="1285" t="s">
        <v>950</v>
      </c>
      <c r="K186" s="1286"/>
      <c r="L186" s="1286"/>
      <c r="M186" s="1286"/>
      <c r="N186" s="1286"/>
      <c r="O186" s="1286"/>
      <c r="P186" s="1286"/>
      <c r="Q186" s="1287"/>
      <c r="T186" s="576"/>
      <c r="U186" s="21"/>
      <c r="V186" s="21"/>
      <c r="W186" s="21"/>
      <c r="X186" s="577"/>
    </row>
    <row r="187" spans="1:24" s="374" customFormat="1" ht="15.75" customHeight="1" x14ac:dyDescent="0.3">
      <c r="A187" s="566">
        <v>1</v>
      </c>
      <c r="B187" s="571" t="s">
        <v>914</v>
      </c>
      <c r="C187" s="572"/>
      <c r="D187" s="572"/>
      <c r="E187" s="573"/>
      <c r="F187" s="480" t="s">
        <v>460</v>
      </c>
      <c r="G187" s="590"/>
      <c r="H187" s="590"/>
      <c r="I187" s="591"/>
      <c r="J187" s="571" t="s">
        <v>920</v>
      </c>
      <c r="K187" s="572"/>
      <c r="L187" s="572"/>
      <c r="M187" s="573"/>
      <c r="N187" s="575" t="s">
        <v>887</v>
      </c>
      <c r="O187" s="572"/>
      <c r="P187" s="578"/>
      <c r="Q187" s="579"/>
      <c r="T187" s="551"/>
      <c r="V187" s="16"/>
      <c r="W187" s="161"/>
      <c r="X187" s="24"/>
    </row>
    <row r="188" spans="1:24" s="374" customFormat="1" ht="15.75" customHeight="1" x14ac:dyDescent="0.3">
      <c r="A188" s="566">
        <v>1</v>
      </c>
      <c r="B188" s="571" t="s">
        <v>916</v>
      </c>
      <c r="C188" s="572"/>
      <c r="D188" s="572"/>
      <c r="E188" s="573"/>
      <c r="F188" s="480" t="s">
        <v>460</v>
      </c>
      <c r="G188" s="590"/>
      <c r="H188" s="590"/>
      <c r="I188" s="591"/>
      <c r="J188" s="571" t="s">
        <v>918</v>
      </c>
      <c r="K188" s="572"/>
      <c r="L188" s="572"/>
      <c r="M188" s="573"/>
      <c r="N188" s="575" t="s">
        <v>887</v>
      </c>
      <c r="O188" s="572"/>
      <c r="P188" s="578"/>
      <c r="Q188" s="579"/>
      <c r="T188" s="551"/>
      <c r="V188" s="16"/>
      <c r="W188" s="161"/>
      <c r="X188" s="24"/>
    </row>
    <row r="189" spans="1:24" s="374" customFormat="1" ht="15.75" customHeight="1" x14ac:dyDescent="0.3">
      <c r="A189" s="566">
        <v>1</v>
      </c>
      <c r="B189" s="571" t="s">
        <v>915</v>
      </c>
      <c r="C189" s="572"/>
      <c r="D189" s="572"/>
      <c r="E189" s="573"/>
      <c r="F189" s="480" t="s">
        <v>460</v>
      </c>
      <c r="G189" s="590"/>
      <c r="H189" s="590"/>
      <c r="I189" s="591"/>
      <c r="J189" s="571" t="s">
        <v>921</v>
      </c>
      <c r="K189" s="572"/>
      <c r="L189" s="572"/>
      <c r="M189" s="573"/>
      <c r="N189" s="575" t="s">
        <v>887</v>
      </c>
      <c r="O189" s="572"/>
      <c r="P189" s="578"/>
      <c r="Q189" s="579"/>
      <c r="T189" s="551"/>
      <c r="V189" s="16"/>
      <c r="W189" s="161"/>
      <c r="X189" s="24"/>
    </row>
    <row r="190" spans="1:24" s="374" customFormat="1" ht="15.75" customHeight="1" x14ac:dyDescent="0.3">
      <c r="A190" s="566">
        <v>1</v>
      </c>
      <c r="B190" s="571" t="s">
        <v>913</v>
      </c>
      <c r="C190" s="572"/>
      <c r="D190" s="572"/>
      <c r="E190" s="573"/>
      <c r="F190" s="480" t="s">
        <v>460</v>
      </c>
      <c r="G190" s="590"/>
      <c r="H190" s="590"/>
      <c r="I190" s="591"/>
      <c r="J190" s="571" t="s">
        <v>919</v>
      </c>
      <c r="K190" s="572"/>
      <c r="L190" s="572"/>
      <c r="M190" s="573"/>
      <c r="N190" s="575" t="s">
        <v>887</v>
      </c>
      <c r="O190" s="572"/>
      <c r="P190" s="578"/>
      <c r="Q190" s="579"/>
      <c r="T190" s="551"/>
      <c r="V190" s="16"/>
      <c r="W190" s="161"/>
      <c r="X190" s="24"/>
    </row>
    <row r="191" spans="1:24" s="374" customFormat="1" ht="15.75" customHeight="1" x14ac:dyDescent="0.3">
      <c r="A191" s="566">
        <v>2</v>
      </c>
      <c r="B191" s="571" t="s">
        <v>902</v>
      </c>
      <c r="C191" s="572"/>
      <c r="D191" s="572"/>
      <c r="E191" s="573"/>
      <c r="F191" s="575" t="s">
        <v>889</v>
      </c>
      <c r="G191" s="572"/>
      <c r="H191" s="572"/>
      <c r="I191" s="589"/>
      <c r="J191" s="571" t="s">
        <v>909</v>
      </c>
      <c r="K191" s="572"/>
      <c r="L191" s="572"/>
      <c r="M191" s="573"/>
      <c r="N191" s="575" t="s">
        <v>460</v>
      </c>
      <c r="O191" s="572"/>
      <c r="P191" s="578"/>
      <c r="Q191" s="579"/>
      <c r="T191" s="551"/>
      <c r="V191" s="16"/>
      <c r="W191" s="161"/>
      <c r="X191" s="24"/>
    </row>
    <row r="192" spans="1:24" s="374" customFormat="1" ht="15.75" customHeight="1" x14ac:dyDescent="0.3">
      <c r="A192" s="566">
        <v>2</v>
      </c>
      <c r="B192" s="571" t="s">
        <v>903</v>
      </c>
      <c r="C192" s="572"/>
      <c r="D192" s="572"/>
      <c r="E192" s="573"/>
      <c r="F192" s="575" t="s">
        <v>889</v>
      </c>
      <c r="G192" s="572"/>
      <c r="H192" s="572"/>
      <c r="I192" s="589"/>
      <c r="J192" s="571" t="s">
        <v>912</v>
      </c>
      <c r="K192" s="572"/>
      <c r="L192" s="572"/>
      <c r="M192" s="573"/>
      <c r="N192" s="575" t="s">
        <v>460</v>
      </c>
      <c r="O192" s="572"/>
      <c r="P192" s="578"/>
      <c r="Q192" s="579"/>
      <c r="T192" s="551"/>
      <c r="V192" s="16"/>
      <c r="W192" s="161"/>
      <c r="X192" s="24"/>
    </row>
    <row r="193" spans="1:27" s="374" customFormat="1" ht="15.75" customHeight="1" x14ac:dyDescent="0.3">
      <c r="A193" s="566">
        <v>2</v>
      </c>
      <c r="B193" s="571" t="s">
        <v>900</v>
      </c>
      <c r="C193" s="572"/>
      <c r="D193" s="572"/>
      <c r="E193" s="573"/>
      <c r="F193" s="575" t="s">
        <v>889</v>
      </c>
      <c r="G193" s="572"/>
      <c r="H193" s="572"/>
      <c r="I193" s="589"/>
      <c r="J193" s="571" t="s">
        <v>910</v>
      </c>
      <c r="K193" s="572"/>
      <c r="L193" s="572"/>
      <c r="M193" s="573"/>
      <c r="N193" s="575" t="s">
        <v>460</v>
      </c>
      <c r="O193" s="572"/>
      <c r="P193" s="578"/>
      <c r="Q193" s="579"/>
      <c r="T193" s="551"/>
      <c r="V193" s="16"/>
      <c r="W193" s="161"/>
      <c r="X193" s="24"/>
    </row>
    <row r="194" spans="1:27" s="374" customFormat="1" ht="15.75" customHeight="1" x14ac:dyDescent="0.3">
      <c r="A194" s="566">
        <v>2</v>
      </c>
      <c r="B194" s="571" t="s">
        <v>901</v>
      </c>
      <c r="C194" s="572"/>
      <c r="D194" s="572"/>
      <c r="E194" s="573"/>
      <c r="F194" s="575" t="s">
        <v>889</v>
      </c>
      <c r="G194" s="572"/>
      <c r="H194" s="572"/>
      <c r="I194" s="589"/>
      <c r="J194" s="571" t="s">
        <v>911</v>
      </c>
      <c r="K194" s="572"/>
      <c r="L194" s="572"/>
      <c r="M194" s="573"/>
      <c r="N194" s="575" t="s">
        <v>460</v>
      </c>
      <c r="O194" s="572"/>
      <c r="P194" s="578"/>
      <c r="Q194" s="579"/>
      <c r="T194" s="551"/>
      <c r="U194" s="382"/>
      <c r="V194" s="16"/>
      <c r="W194" s="161"/>
      <c r="X194" s="24"/>
    </row>
    <row r="195" spans="1:27" s="382" customFormat="1" ht="15.75" customHeight="1" x14ac:dyDescent="0.3">
      <c r="A195" s="566">
        <v>3</v>
      </c>
      <c r="B195" s="571" t="s">
        <v>905</v>
      </c>
      <c r="C195" s="572"/>
      <c r="D195" s="572"/>
      <c r="E195" s="573"/>
      <c r="F195" s="480" t="s">
        <v>888</v>
      </c>
      <c r="G195" s="590"/>
      <c r="H195" s="590"/>
      <c r="I195" s="591"/>
      <c r="J195" s="571" t="s">
        <v>899</v>
      </c>
      <c r="K195" s="572"/>
      <c r="L195" s="572"/>
      <c r="M195" s="573"/>
      <c r="N195" s="574" t="s">
        <v>889</v>
      </c>
      <c r="O195" s="572"/>
      <c r="P195" s="578"/>
      <c r="Q195" s="579"/>
      <c r="T195" s="551"/>
      <c r="V195" s="16"/>
      <c r="W195" s="161"/>
      <c r="X195" s="24"/>
    </row>
    <row r="196" spans="1:27" s="382" customFormat="1" ht="15.75" customHeight="1" x14ac:dyDescent="0.3">
      <c r="A196" s="565">
        <v>3</v>
      </c>
      <c r="B196" s="595" t="s">
        <v>907</v>
      </c>
      <c r="C196" s="596"/>
      <c r="D196" s="596"/>
      <c r="E196" s="597"/>
      <c r="F196" s="598" t="s">
        <v>888</v>
      </c>
      <c r="G196" s="596"/>
      <c r="H196" s="596"/>
      <c r="I196" s="599"/>
      <c r="J196" s="571" t="s">
        <v>897</v>
      </c>
      <c r="K196" s="572"/>
      <c r="L196" s="572"/>
      <c r="M196" s="573"/>
      <c r="N196" s="574" t="s">
        <v>889</v>
      </c>
      <c r="O196" s="572"/>
      <c r="P196" s="578"/>
      <c r="Q196" s="579"/>
      <c r="T196" s="551"/>
      <c r="V196" s="16"/>
      <c r="W196" s="161"/>
      <c r="X196" s="24"/>
      <c r="Y196" s="35"/>
      <c r="Z196" s="36"/>
      <c r="AA196" s="34"/>
    </row>
    <row r="197" spans="1:27" s="382" customFormat="1" ht="15.75" customHeight="1" x14ac:dyDescent="0.3">
      <c r="A197" s="566">
        <v>3</v>
      </c>
      <c r="B197" s="571" t="s">
        <v>908</v>
      </c>
      <c r="C197" s="572"/>
      <c r="D197" s="572"/>
      <c r="E197" s="573"/>
      <c r="F197" s="480" t="s">
        <v>888</v>
      </c>
      <c r="G197" s="590"/>
      <c r="H197" s="590"/>
      <c r="I197" s="591"/>
      <c r="J197" s="571" t="s">
        <v>898</v>
      </c>
      <c r="K197" s="572"/>
      <c r="L197" s="572"/>
      <c r="M197" s="573"/>
      <c r="N197" s="574" t="s">
        <v>889</v>
      </c>
      <c r="O197" s="572"/>
      <c r="P197" s="578"/>
      <c r="Q197" s="579"/>
      <c r="T197" s="551"/>
      <c r="V197" s="16"/>
      <c r="W197" s="161"/>
      <c r="X197" s="24"/>
      <c r="Y197" s="16"/>
      <c r="Z197" s="26"/>
      <c r="AA197" s="24"/>
    </row>
    <row r="198" spans="1:27" s="382" customFormat="1" ht="16.5" customHeight="1" thickBot="1" x14ac:dyDescent="0.35">
      <c r="A198" s="580">
        <v>3</v>
      </c>
      <c r="B198" s="581" t="s">
        <v>906</v>
      </c>
      <c r="C198" s="582"/>
      <c r="D198" s="582"/>
      <c r="E198" s="583"/>
      <c r="F198" s="600" t="s">
        <v>888</v>
      </c>
      <c r="G198" s="601"/>
      <c r="H198" s="601"/>
      <c r="I198" s="602"/>
      <c r="J198" s="581" t="s">
        <v>896</v>
      </c>
      <c r="K198" s="582"/>
      <c r="L198" s="582"/>
      <c r="M198" s="583"/>
      <c r="N198" s="584" t="s">
        <v>889</v>
      </c>
      <c r="O198" s="582"/>
      <c r="P198" s="585"/>
      <c r="Q198" s="586"/>
      <c r="T198" s="551"/>
      <c r="V198" s="16"/>
      <c r="W198" s="161"/>
      <c r="X198" s="550"/>
      <c r="Y198" s="16"/>
      <c r="Z198" s="26"/>
      <c r="AA198" s="228"/>
    </row>
    <row r="199" spans="1:27" s="374" customFormat="1" ht="15.6" x14ac:dyDescent="0.3">
      <c r="A199" s="377"/>
    </row>
    <row r="200" spans="1:27" s="390" customFormat="1" ht="30.75" customHeight="1" x14ac:dyDescent="0.3">
      <c r="A200" s="389" t="s">
        <v>411</v>
      </c>
      <c r="B200" s="1218" t="s">
        <v>415</v>
      </c>
      <c r="C200" s="1218"/>
      <c r="D200" s="1218"/>
      <c r="E200" s="1218"/>
      <c r="F200" s="1218"/>
      <c r="G200" s="1218"/>
      <c r="H200" s="1218"/>
      <c r="I200" s="1218"/>
      <c r="J200" s="1218"/>
      <c r="K200" s="1218"/>
      <c r="L200" s="1218"/>
      <c r="M200" s="1218"/>
      <c r="N200" s="1218"/>
      <c r="O200" s="1218"/>
    </row>
    <row r="201" spans="1:27" s="374" customFormat="1" ht="15.6" x14ac:dyDescent="0.3">
      <c r="A201" s="375"/>
      <c r="B201" s="382"/>
      <c r="C201" s="382"/>
      <c r="D201" s="382"/>
      <c r="E201" s="382"/>
      <c r="F201" s="382"/>
      <c r="G201" s="382"/>
      <c r="H201" s="382"/>
      <c r="I201" s="382"/>
      <c r="J201" s="382"/>
      <c r="K201" s="382"/>
      <c r="L201" s="382"/>
      <c r="M201" s="382"/>
      <c r="N201" s="382"/>
      <c r="O201" s="382"/>
    </row>
    <row r="202" spans="1:27" s="374" customFormat="1" ht="20.25" customHeight="1" x14ac:dyDescent="0.3">
      <c r="A202" s="1219" t="s">
        <v>26</v>
      </c>
      <c r="B202" s="1213" t="s">
        <v>343</v>
      </c>
      <c r="C202" s="1213"/>
      <c r="D202" s="1213"/>
      <c r="E202" s="1213"/>
      <c r="F202" s="1213"/>
      <c r="G202" s="1213"/>
      <c r="H202" s="1213"/>
      <c r="I202" s="1213"/>
      <c r="J202" s="1213" t="s">
        <v>412</v>
      </c>
      <c r="K202" s="1213"/>
      <c r="L202" s="1213"/>
      <c r="M202" s="1213"/>
      <c r="N202" s="1213"/>
      <c r="O202" s="1213"/>
    </row>
    <row r="203" spans="1:27" s="374" customFormat="1" ht="20.25" customHeight="1" x14ac:dyDescent="0.3">
      <c r="A203" s="1219"/>
      <c r="B203" s="1213"/>
      <c r="C203" s="1213"/>
      <c r="D203" s="1213"/>
      <c r="E203" s="1213"/>
      <c r="F203" s="1213"/>
      <c r="G203" s="1213"/>
      <c r="H203" s="1213"/>
      <c r="I203" s="1213"/>
      <c r="J203" s="1213" t="s">
        <v>351</v>
      </c>
      <c r="K203" s="1213"/>
      <c r="L203" s="1213" t="s">
        <v>352</v>
      </c>
      <c r="M203" s="1213"/>
      <c r="N203" s="1213" t="s">
        <v>353</v>
      </c>
      <c r="O203" s="1213"/>
    </row>
    <row r="204" spans="1:27" s="374" customFormat="1" ht="15.6" x14ac:dyDescent="0.3">
      <c r="A204" s="407">
        <v>1</v>
      </c>
      <c r="B204" s="1241" t="e">
        <f>'Краевые Сосновоборск'!#REF!</f>
        <v>#REF!</v>
      </c>
      <c r="C204" s="1241"/>
      <c r="D204" s="1241"/>
      <c r="E204" s="1241"/>
      <c r="F204" s="1241"/>
      <c r="G204" s="1241"/>
      <c r="H204" s="1241"/>
      <c r="I204" s="1241"/>
      <c r="J204" s="1241">
        <f>COUNTIFS('Краевые Сосновоборск'!$A$343:$A$488,1,'Краевые Сосновоборск'!$F$343:$F$488,B204)</f>
        <v>0</v>
      </c>
      <c r="K204" s="1241"/>
      <c r="L204" s="1241">
        <f>COUNTIFS('Краевые Сосновоборск'!$A$343:$A$488,2,'Краевые Сосновоборск'!$F$343:$F$488,B204)</f>
        <v>0</v>
      </c>
      <c r="M204" s="1241"/>
      <c r="N204" s="1241">
        <f>COUNTIFS('Краевые Сосновоборск'!$A$343:$A$488,3,'Краевые Сосновоборск'!$F$343:$F$488,B204)</f>
        <v>0</v>
      </c>
      <c r="O204" s="1241"/>
    </row>
    <row r="205" spans="1:27" s="374" customFormat="1" ht="15.75" customHeight="1" x14ac:dyDescent="0.3">
      <c r="A205" s="407">
        <v>2</v>
      </c>
      <c r="B205" s="1241" t="e">
        <f>'Краевые Сосновоборск'!#REF!</f>
        <v>#REF!</v>
      </c>
      <c r="C205" s="1241"/>
      <c r="D205" s="1241"/>
      <c r="E205" s="1241"/>
      <c r="F205" s="1241"/>
      <c r="G205" s="1241"/>
      <c r="H205" s="1241"/>
      <c r="I205" s="1241"/>
      <c r="J205" s="1241">
        <f>COUNTIFS('Краевые Сосновоборск'!$A$343:$A$488,1,'Краевые Сосновоборск'!$F$343:$F$488,B205)</f>
        <v>0</v>
      </c>
      <c r="K205" s="1241"/>
      <c r="L205" s="1241">
        <f>COUNTIFS('Краевые Сосновоборск'!$A$343:$A$488,2,'Краевые Сосновоборск'!$F$343:$F$488,B205)</f>
        <v>0</v>
      </c>
      <c r="M205" s="1241"/>
      <c r="N205" s="1241">
        <f>COUNTIFS('Краевые Сосновоборск'!$A$343:$A$488,3,'Краевые Сосновоборск'!$F$343:$F$488,B205)</f>
        <v>0</v>
      </c>
      <c r="O205" s="1241"/>
    </row>
    <row r="206" spans="1:27" s="374" customFormat="1" ht="15.75" customHeight="1" x14ac:dyDescent="0.3">
      <c r="A206" s="407">
        <v>3</v>
      </c>
      <c r="B206" s="1241" t="e">
        <f>'Краевые Сосновоборск'!#REF!</f>
        <v>#REF!</v>
      </c>
      <c r="C206" s="1241"/>
      <c r="D206" s="1241"/>
      <c r="E206" s="1241"/>
      <c r="F206" s="1241"/>
      <c r="G206" s="1241"/>
      <c r="H206" s="1241"/>
      <c r="I206" s="1241"/>
      <c r="J206" s="1241">
        <f>COUNTIFS('Краевые Сосновоборск'!$A$343:$A$488,1,'Краевые Сосновоборск'!$F$343:$F$488,B206)</f>
        <v>0</v>
      </c>
      <c r="K206" s="1241"/>
      <c r="L206" s="1241">
        <f>COUNTIFS('Краевые Сосновоборск'!$A$343:$A$488,2,'Краевые Сосновоборск'!$F$343:$F$488,B206)</f>
        <v>0</v>
      </c>
      <c r="M206" s="1241"/>
      <c r="N206" s="1241">
        <f>COUNTIFS('Краевые Сосновоборск'!$A$343:$A$488,3,'Краевые Сосновоборск'!$F$343:$F$488,B206)</f>
        <v>0</v>
      </c>
      <c r="O206" s="1241"/>
    </row>
    <row r="207" spans="1:27" s="374" customFormat="1" ht="15.75" customHeight="1" x14ac:dyDescent="0.3">
      <c r="A207" s="407">
        <v>4</v>
      </c>
      <c r="B207" s="1241" t="e">
        <f>'Краевые Сосновоборск'!#REF!</f>
        <v>#REF!</v>
      </c>
      <c r="C207" s="1241"/>
      <c r="D207" s="1241"/>
      <c r="E207" s="1241"/>
      <c r="F207" s="1241"/>
      <c r="G207" s="1241"/>
      <c r="H207" s="1241"/>
      <c r="I207" s="1241"/>
      <c r="J207" s="1241">
        <f>COUNTIFS('Краевые Сосновоборск'!$A$343:$A$488,1,'Краевые Сосновоборск'!$F$343:$F$488,B207)</f>
        <v>0</v>
      </c>
      <c r="K207" s="1241"/>
      <c r="L207" s="1241">
        <f>COUNTIFS('Краевые Сосновоборск'!$A$343:$A$488,2,'Краевые Сосновоборск'!$F$343:$F$488,B207)</f>
        <v>0</v>
      </c>
      <c r="M207" s="1241"/>
      <c r="N207" s="1241">
        <f>COUNTIFS('Краевые Сосновоборск'!$A$343:$A$488,3,'Краевые Сосновоборск'!$F$343:$F$488,B207)</f>
        <v>0</v>
      </c>
      <c r="O207" s="1241"/>
    </row>
    <row r="208" spans="1:27" s="374" customFormat="1" ht="15.75" customHeight="1" x14ac:dyDescent="0.3">
      <c r="A208" s="767">
        <v>5</v>
      </c>
      <c r="B208" s="1241" t="e">
        <f>'Краевые Сосновоборск'!#REF!</f>
        <v>#REF!</v>
      </c>
      <c r="C208" s="1241"/>
      <c r="D208" s="1241"/>
      <c r="E208" s="1241"/>
      <c r="F208" s="1241"/>
      <c r="G208" s="1241"/>
      <c r="H208" s="1241"/>
      <c r="I208" s="1241"/>
      <c r="J208" s="1241">
        <f>COUNTIFS('Краевые Сосновоборск'!$A$343:$A$488,1,'Краевые Сосновоборск'!$F$343:$F$488,B208)</f>
        <v>0</v>
      </c>
      <c r="K208" s="1241"/>
      <c r="L208" s="1241">
        <f>COUNTIFS('Краевые Сосновоборск'!$A$343:$A$488,2,'Краевые Сосновоборск'!$F$343:$F$488,B208)</f>
        <v>0</v>
      </c>
      <c r="M208" s="1241"/>
      <c r="N208" s="1241">
        <f>COUNTIFS('Краевые Сосновоборск'!$A$343:$A$488,3,'Краевые Сосновоборск'!$F$343:$F$488,B208)</f>
        <v>0</v>
      </c>
      <c r="O208" s="1241"/>
    </row>
    <row r="209" spans="1:15" s="374" customFormat="1" ht="15.75" customHeight="1" x14ac:dyDescent="0.3">
      <c r="A209" s="767">
        <v>6</v>
      </c>
      <c r="B209" s="1241" t="e">
        <f>'Краевые Сосновоборск'!#REF!</f>
        <v>#REF!</v>
      </c>
      <c r="C209" s="1241"/>
      <c r="D209" s="1241"/>
      <c r="E209" s="1241"/>
      <c r="F209" s="1241"/>
      <c r="G209" s="1241"/>
      <c r="H209" s="1241"/>
      <c r="I209" s="1241"/>
      <c r="J209" s="1241">
        <f>COUNTIFS('Краевые Сосновоборск'!$A$343:$A$488,1,'Краевые Сосновоборск'!$F$343:$F$488,B209)</f>
        <v>0</v>
      </c>
      <c r="K209" s="1241"/>
      <c r="L209" s="1241">
        <f>COUNTIFS('Краевые Сосновоборск'!$A$343:$A$488,2,'Краевые Сосновоборск'!$F$343:$F$488,B209)</f>
        <v>0</v>
      </c>
      <c r="M209" s="1241"/>
      <c r="N209" s="1241">
        <f>COUNTIFS('Краевые Сосновоборск'!$A$343:$A$488,3,'Краевые Сосновоборск'!$F$343:$F$488,B209)</f>
        <v>0</v>
      </c>
      <c r="O209" s="1241"/>
    </row>
    <row r="210" spans="1:15" s="374" customFormat="1" ht="15.75" customHeight="1" x14ac:dyDescent="0.3">
      <c r="A210" s="767">
        <v>7</v>
      </c>
      <c r="B210" s="1241" t="e">
        <f>'Краевые Сосновоборск'!#REF!</f>
        <v>#REF!</v>
      </c>
      <c r="C210" s="1241"/>
      <c r="D210" s="1241"/>
      <c r="E210" s="1241"/>
      <c r="F210" s="1241"/>
      <c r="G210" s="1241"/>
      <c r="H210" s="1241"/>
      <c r="I210" s="1241"/>
      <c r="J210" s="1241">
        <f>COUNTIFS('Краевые Сосновоборск'!$A$343:$A$488,1,'Краевые Сосновоборск'!$F$343:$F$488,B210)</f>
        <v>0</v>
      </c>
      <c r="K210" s="1241"/>
      <c r="L210" s="1241">
        <f>COUNTIFS('Краевые Сосновоборск'!$A$343:$A$488,2,'Краевые Сосновоборск'!$F$343:$F$488,B210)</f>
        <v>0</v>
      </c>
      <c r="M210" s="1241"/>
      <c r="N210" s="1241">
        <f>COUNTIFS('Краевые Сосновоборск'!$A$343:$A$488,3,'Краевые Сосновоборск'!$F$343:$F$488,B210)</f>
        <v>0</v>
      </c>
      <c r="O210" s="1241"/>
    </row>
    <row r="211" spans="1:15" s="374" customFormat="1" ht="15.75" customHeight="1" x14ac:dyDescent="0.3">
      <c r="A211" s="767">
        <v>8</v>
      </c>
      <c r="B211" s="1241" t="e">
        <f>'Краевые Сосновоборск'!#REF!</f>
        <v>#REF!</v>
      </c>
      <c r="C211" s="1241"/>
      <c r="D211" s="1241"/>
      <c r="E211" s="1241"/>
      <c r="F211" s="1241"/>
      <c r="G211" s="1241"/>
      <c r="H211" s="1241"/>
      <c r="I211" s="1241"/>
      <c r="J211" s="1241">
        <f>COUNTIFS('Краевые Сосновоборск'!$A$343:$A$488,1,'Краевые Сосновоборск'!$F$343:$F$488,B211)</f>
        <v>0</v>
      </c>
      <c r="K211" s="1241"/>
      <c r="L211" s="1241">
        <f>COUNTIFS('Краевые Сосновоборск'!$A$343:$A$488,2,'Краевые Сосновоборск'!$F$343:$F$488,B211)</f>
        <v>0</v>
      </c>
      <c r="M211" s="1241"/>
      <c r="N211" s="1241">
        <f>COUNTIFS('Краевые Сосновоборск'!$A$343:$A$488,3,'Краевые Сосновоборск'!$F$343:$F$488,B211)</f>
        <v>0</v>
      </c>
      <c r="O211" s="1241"/>
    </row>
    <row r="212" spans="1:15" s="374" customFormat="1" ht="15.75" customHeight="1" x14ac:dyDescent="0.3">
      <c r="A212" s="767">
        <v>9</v>
      </c>
      <c r="B212" s="1241" t="e">
        <f>'Краевые Сосновоборск'!#REF!</f>
        <v>#REF!</v>
      </c>
      <c r="C212" s="1241"/>
      <c r="D212" s="1241"/>
      <c r="E212" s="1241"/>
      <c r="F212" s="1241"/>
      <c r="G212" s="1241"/>
      <c r="H212" s="1241"/>
      <c r="I212" s="1241"/>
      <c r="J212" s="1241">
        <f>COUNTIFS('Краевые Сосновоборск'!$A$343:$A$488,1,'Краевые Сосновоборск'!$F$343:$F$488,B212)</f>
        <v>0</v>
      </c>
      <c r="K212" s="1241"/>
      <c r="L212" s="1241">
        <f>COUNTIFS('Краевые Сосновоборск'!$A$343:$A$488,2,'Краевые Сосновоборск'!$F$343:$F$488,B212)</f>
        <v>0</v>
      </c>
      <c r="M212" s="1241"/>
      <c r="N212" s="1241">
        <f>COUNTIFS('Краевые Сосновоборск'!$A$343:$A$488,3,'Краевые Сосновоборск'!$F$343:$F$488,B212)</f>
        <v>0</v>
      </c>
      <c r="O212" s="1241"/>
    </row>
    <row r="213" spans="1:15" s="374" customFormat="1" ht="15.75" customHeight="1" x14ac:dyDescent="0.3">
      <c r="A213" s="767">
        <v>10</v>
      </c>
      <c r="B213" s="1241" t="e">
        <f>'Краевые Сосновоборск'!#REF!</f>
        <v>#REF!</v>
      </c>
      <c r="C213" s="1241"/>
      <c r="D213" s="1241"/>
      <c r="E213" s="1241"/>
      <c r="F213" s="1241"/>
      <c r="G213" s="1241"/>
      <c r="H213" s="1241"/>
      <c r="I213" s="1241"/>
      <c r="J213" s="1241">
        <f>COUNTIFS('Краевые Сосновоборск'!$A$343:$A$488,1,'Краевые Сосновоборск'!$F$343:$F$488,B213)</f>
        <v>0</v>
      </c>
      <c r="K213" s="1241"/>
      <c r="L213" s="1241">
        <f>COUNTIFS('Краевые Сосновоборск'!$A$343:$A$488,2,'Краевые Сосновоборск'!$F$343:$F$488,B213)</f>
        <v>0</v>
      </c>
      <c r="M213" s="1241"/>
      <c r="N213" s="1241">
        <f>COUNTIFS('Краевые Сосновоборск'!$A$343:$A$488,3,'Краевые Сосновоборск'!$F$343:$F$488,B213)</f>
        <v>0</v>
      </c>
      <c r="O213" s="1241"/>
    </row>
    <row r="214" spans="1:15" s="374" customFormat="1" ht="15.75" customHeight="1" x14ac:dyDescent="0.3">
      <c r="A214" s="767">
        <v>11</v>
      </c>
      <c r="B214" s="1241" t="e">
        <f>'Краевые Сосновоборск'!#REF!</f>
        <v>#REF!</v>
      </c>
      <c r="C214" s="1241"/>
      <c r="D214" s="1241"/>
      <c r="E214" s="1241"/>
      <c r="F214" s="1241"/>
      <c r="G214" s="1241"/>
      <c r="H214" s="1241"/>
      <c r="I214" s="1241"/>
      <c r="J214" s="1241">
        <f>COUNTIFS('Краевые Сосновоборск'!$A$343:$A$488,1,'Краевые Сосновоборск'!$F$343:$F$488,B214)</f>
        <v>0</v>
      </c>
      <c r="K214" s="1241"/>
      <c r="L214" s="1241">
        <f>COUNTIFS('Краевые Сосновоборск'!$A$343:$A$488,2,'Краевые Сосновоборск'!$F$343:$F$488,B214)</f>
        <v>0</v>
      </c>
      <c r="M214" s="1241"/>
      <c r="N214" s="1241">
        <f>COUNTIFS('Краевые Сосновоборск'!$A$343:$A$488,3,'Краевые Сосновоборск'!$F$343:$F$488,B214)</f>
        <v>0</v>
      </c>
      <c r="O214" s="1241"/>
    </row>
    <row r="215" spans="1:15" s="374" customFormat="1" ht="15.75" customHeight="1" x14ac:dyDescent="0.3">
      <c r="A215" s="767">
        <v>12</v>
      </c>
      <c r="B215" s="1241" t="e">
        <f>'Краевые Сосновоборск'!#REF!</f>
        <v>#REF!</v>
      </c>
      <c r="C215" s="1241"/>
      <c r="D215" s="1241"/>
      <c r="E215" s="1241"/>
      <c r="F215" s="1241"/>
      <c r="G215" s="1241"/>
      <c r="H215" s="1241"/>
      <c r="I215" s="1241"/>
      <c r="J215" s="1241">
        <f>COUNTIFS('Краевые Сосновоборск'!$A$343:$A$488,1,'Краевые Сосновоборск'!$F$343:$F$488,B215)</f>
        <v>0</v>
      </c>
      <c r="K215" s="1241"/>
      <c r="L215" s="1241">
        <f>COUNTIFS('Краевые Сосновоборск'!$A$343:$A$488,2,'Краевые Сосновоборск'!$F$343:$F$488,B215)</f>
        <v>0</v>
      </c>
      <c r="M215" s="1241"/>
      <c r="N215" s="1241">
        <f>COUNTIFS('Краевые Сосновоборск'!$A$343:$A$488,3,'Краевые Сосновоборск'!$F$343:$F$488,B215)</f>
        <v>0</v>
      </c>
      <c r="O215" s="1241"/>
    </row>
    <row r="216" spans="1:15" s="374" customFormat="1" ht="15.75" customHeight="1" x14ac:dyDescent="0.3">
      <c r="A216" s="767">
        <v>13</v>
      </c>
      <c r="B216" s="1241" t="e">
        <f>'Краевые Сосновоборск'!#REF!</f>
        <v>#REF!</v>
      </c>
      <c r="C216" s="1241"/>
      <c r="D216" s="1241"/>
      <c r="E216" s="1241"/>
      <c r="F216" s="1241"/>
      <c r="G216" s="1241"/>
      <c r="H216" s="1241"/>
      <c r="I216" s="1241"/>
      <c r="J216" s="1241">
        <f>COUNTIFS('Краевые Сосновоборск'!$A$343:$A$488,1,'Краевые Сосновоборск'!$F$343:$F$488,B216)</f>
        <v>0</v>
      </c>
      <c r="K216" s="1241"/>
      <c r="L216" s="1241">
        <f>COUNTIFS('Краевые Сосновоборск'!$A$343:$A$488,2,'Краевые Сосновоборск'!$F$343:$F$488,B216)</f>
        <v>0</v>
      </c>
      <c r="M216" s="1241"/>
      <c r="N216" s="1241">
        <f>COUNTIFS('Краевые Сосновоборск'!$A$343:$A$488,3,'Краевые Сосновоборск'!$F$343:$F$488,B216)</f>
        <v>0</v>
      </c>
      <c r="O216" s="1241"/>
    </row>
    <row r="217" spans="1:15" s="374" customFormat="1" ht="15.75" customHeight="1" x14ac:dyDescent="0.3">
      <c r="A217" s="767">
        <v>14</v>
      </c>
      <c r="B217" s="1241" t="e">
        <f>'Краевые Сосновоборск'!#REF!</f>
        <v>#REF!</v>
      </c>
      <c r="C217" s="1241"/>
      <c r="D217" s="1241"/>
      <c r="E217" s="1241"/>
      <c r="F217" s="1241"/>
      <c r="G217" s="1241"/>
      <c r="H217" s="1241"/>
      <c r="I217" s="1241"/>
      <c r="J217" s="1241">
        <f>COUNTIFS('Краевые Сосновоборск'!$A$343:$A$488,1,'Краевые Сосновоборск'!$F$343:$F$488,B217)</f>
        <v>0</v>
      </c>
      <c r="K217" s="1241"/>
      <c r="L217" s="1241">
        <f>COUNTIFS('Краевые Сосновоборск'!$A$343:$A$488,2,'Краевые Сосновоборск'!$F$343:$F$488,B217)</f>
        <v>0</v>
      </c>
      <c r="M217" s="1241"/>
      <c r="N217" s="1241">
        <f>COUNTIFS('Краевые Сосновоборск'!$A$343:$A$488,3,'Краевые Сосновоборск'!$F$343:$F$488,B217)</f>
        <v>0</v>
      </c>
      <c r="O217" s="1241"/>
    </row>
    <row r="218" spans="1:15" s="374" customFormat="1" ht="15.75" customHeight="1" x14ac:dyDescent="0.3">
      <c r="A218" s="767">
        <v>15</v>
      </c>
      <c r="B218" s="1241" t="e">
        <f>'Краевые Сосновоборск'!#REF!</f>
        <v>#REF!</v>
      </c>
      <c r="C218" s="1241"/>
      <c r="D218" s="1241"/>
      <c r="E218" s="1241"/>
      <c r="F218" s="1241"/>
      <c r="G218" s="1241"/>
      <c r="H218" s="1241"/>
      <c r="I218" s="1241"/>
      <c r="J218" s="1241">
        <f>COUNTIFS('Краевые Сосновоборск'!$A$343:$A$488,1,'Краевые Сосновоборск'!$F$343:$F$488,B218)</f>
        <v>0</v>
      </c>
      <c r="K218" s="1241"/>
      <c r="L218" s="1241">
        <f>COUNTIFS('Краевые Сосновоборск'!$A$343:$A$488,2,'Краевые Сосновоборск'!$F$343:$F$488,B218)</f>
        <v>0</v>
      </c>
      <c r="M218" s="1241"/>
      <c r="N218" s="1241">
        <f>COUNTIFS('Краевые Сосновоборск'!$A$343:$A$488,3,'Краевые Сосновоборск'!$F$343:$F$488,B218)</f>
        <v>0</v>
      </c>
      <c r="O218" s="1241"/>
    </row>
    <row r="219" spans="1:15" s="374" customFormat="1" ht="15.75" customHeight="1" x14ac:dyDescent="0.3">
      <c r="A219" s="767">
        <v>16</v>
      </c>
      <c r="B219" s="1241" t="e">
        <f>'Краевые Сосновоборск'!#REF!</f>
        <v>#REF!</v>
      </c>
      <c r="C219" s="1241"/>
      <c r="D219" s="1241"/>
      <c r="E219" s="1241"/>
      <c r="F219" s="1241"/>
      <c r="G219" s="1241"/>
      <c r="H219" s="1241"/>
      <c r="I219" s="1241"/>
      <c r="J219" s="1241">
        <f>COUNTIFS('Краевые Сосновоборск'!$A$343:$A$488,1,'Краевые Сосновоборск'!$F$343:$F$488,B219)</f>
        <v>0</v>
      </c>
      <c r="K219" s="1241"/>
      <c r="L219" s="1241">
        <f>COUNTIFS('Краевые Сосновоборск'!$A$343:$A$488,2,'Краевые Сосновоборск'!$F$343:$F$488,B219)</f>
        <v>0</v>
      </c>
      <c r="M219" s="1241"/>
      <c r="N219" s="1241">
        <f>COUNTIFS('Краевые Сосновоборск'!$A$343:$A$488,3,'Краевые Сосновоборск'!$F$343:$F$488,B219)</f>
        <v>0</v>
      </c>
      <c r="O219" s="1241"/>
    </row>
    <row r="220" spans="1:15" s="374" customFormat="1" ht="15.75" customHeight="1" x14ac:dyDescent="0.3">
      <c r="A220" s="767">
        <v>17</v>
      </c>
      <c r="B220" s="1241" t="e">
        <f>'Краевые Сосновоборск'!#REF!</f>
        <v>#REF!</v>
      </c>
      <c r="C220" s="1241"/>
      <c r="D220" s="1241"/>
      <c r="E220" s="1241"/>
      <c r="F220" s="1241"/>
      <c r="G220" s="1241"/>
      <c r="H220" s="1241"/>
      <c r="I220" s="1241"/>
      <c r="J220" s="1241">
        <f>COUNTIFS('Краевые Сосновоборск'!$A$343:$A$488,1,'Краевые Сосновоборск'!$F$343:$F$488,B220)</f>
        <v>0</v>
      </c>
      <c r="K220" s="1241"/>
      <c r="L220" s="1241">
        <f>COUNTIFS('Краевые Сосновоборск'!$A$343:$A$488,2,'Краевые Сосновоборск'!$F$343:$F$488,B220)</f>
        <v>0</v>
      </c>
      <c r="M220" s="1241"/>
      <c r="N220" s="1241">
        <f>COUNTIFS('Краевые Сосновоборск'!$A$343:$A$488,3,'Краевые Сосновоборск'!$F$343:$F$488,B220)</f>
        <v>0</v>
      </c>
      <c r="O220" s="1241"/>
    </row>
    <row r="221" spans="1:15" s="374" customFormat="1" ht="15.75" customHeight="1" x14ac:dyDescent="0.3">
      <c r="A221" s="767">
        <v>18</v>
      </c>
      <c r="B221" s="1241" t="e">
        <f>'Краевые Сосновоборск'!#REF!</f>
        <v>#REF!</v>
      </c>
      <c r="C221" s="1241"/>
      <c r="D221" s="1241"/>
      <c r="E221" s="1241"/>
      <c r="F221" s="1241"/>
      <c r="G221" s="1241"/>
      <c r="H221" s="1241"/>
      <c r="I221" s="1241"/>
      <c r="J221" s="1241">
        <f>COUNTIFS('Краевые Сосновоборск'!$A$343:$A$488,1,'Краевые Сосновоборск'!$F$343:$F$488,B221)</f>
        <v>0</v>
      </c>
      <c r="K221" s="1241"/>
      <c r="L221" s="1241">
        <f>COUNTIFS('Краевые Сосновоборск'!$A$343:$A$488,2,'Краевые Сосновоборск'!$F$343:$F$488,B221)</f>
        <v>0</v>
      </c>
      <c r="M221" s="1241"/>
      <c r="N221" s="1241">
        <f>COUNTIFS('Краевые Сосновоборск'!$A$343:$A$488,3,'Краевые Сосновоборск'!$F$343:$F$488,B221)</f>
        <v>0</v>
      </c>
      <c r="O221" s="1241"/>
    </row>
    <row r="222" spans="1:15" s="374" customFormat="1" ht="15.75" customHeight="1" x14ac:dyDescent="0.3">
      <c r="A222" s="767">
        <v>19</v>
      </c>
      <c r="B222" s="1241" t="e">
        <f>'Краевые Сосновоборск'!#REF!</f>
        <v>#REF!</v>
      </c>
      <c r="C222" s="1241"/>
      <c r="D222" s="1241"/>
      <c r="E222" s="1241"/>
      <c r="F222" s="1241"/>
      <c r="G222" s="1241"/>
      <c r="H222" s="1241"/>
      <c r="I222" s="1241"/>
      <c r="J222" s="1241">
        <f>COUNTIFS('Краевые Сосновоборск'!$A$343:$A$488,1,'Краевые Сосновоборск'!$F$343:$F$488,B222)</f>
        <v>0</v>
      </c>
      <c r="K222" s="1241"/>
      <c r="L222" s="1241">
        <f>COUNTIFS('Краевые Сосновоборск'!$A$343:$A$488,2,'Краевые Сосновоборск'!$F$343:$F$488,B222)</f>
        <v>0</v>
      </c>
      <c r="M222" s="1241"/>
      <c r="N222" s="1241">
        <f>COUNTIFS('Краевые Сосновоборск'!$A$343:$A$488,3,'Краевые Сосновоборск'!$F$343:$F$488,B222)</f>
        <v>0</v>
      </c>
      <c r="O222" s="1241"/>
    </row>
    <row r="223" spans="1:15" s="374" customFormat="1" ht="15.75" customHeight="1" x14ac:dyDescent="0.3">
      <c r="A223" s="767">
        <v>20</v>
      </c>
      <c r="B223" s="1241" t="e">
        <f>'Краевые Сосновоборск'!#REF!</f>
        <v>#REF!</v>
      </c>
      <c r="C223" s="1241"/>
      <c r="D223" s="1241"/>
      <c r="E223" s="1241"/>
      <c r="F223" s="1241"/>
      <c r="G223" s="1241"/>
      <c r="H223" s="1241"/>
      <c r="I223" s="1241"/>
      <c r="J223" s="1241">
        <f>COUNTIFS('Краевые Сосновоборск'!$A$343:$A$488,1,'Краевые Сосновоборск'!$F$343:$F$488,B223)</f>
        <v>0</v>
      </c>
      <c r="K223" s="1241"/>
      <c r="L223" s="1241">
        <f>COUNTIFS('Краевые Сосновоборск'!$A$343:$A$488,2,'Краевые Сосновоборск'!$F$343:$F$488,B223)</f>
        <v>0</v>
      </c>
      <c r="M223" s="1241"/>
      <c r="N223" s="1241">
        <f>COUNTIFS('Краевые Сосновоборск'!$A$343:$A$488,3,'Краевые Сосновоборск'!$F$343:$F$488,B223)</f>
        <v>0</v>
      </c>
      <c r="O223" s="1241"/>
    </row>
    <row r="224" spans="1:15" s="374" customFormat="1" ht="15.75" customHeight="1" x14ac:dyDescent="0.3">
      <c r="A224" s="767">
        <v>21</v>
      </c>
      <c r="B224" s="1241" t="e">
        <f>'Краевые Сосновоборск'!#REF!</f>
        <v>#REF!</v>
      </c>
      <c r="C224" s="1241"/>
      <c r="D224" s="1241"/>
      <c r="E224" s="1241"/>
      <c r="F224" s="1241"/>
      <c r="G224" s="1241"/>
      <c r="H224" s="1241"/>
      <c r="I224" s="1241"/>
      <c r="J224" s="1241">
        <f>COUNTIFS('Краевые Сосновоборск'!$A$343:$A$488,1,'Краевые Сосновоборск'!$F$343:$F$488,B224)</f>
        <v>0</v>
      </c>
      <c r="K224" s="1241"/>
      <c r="L224" s="1241">
        <f>COUNTIFS('Краевые Сосновоборск'!$A$343:$A$488,2,'Краевые Сосновоборск'!$F$343:$F$488,B224)</f>
        <v>0</v>
      </c>
      <c r="M224" s="1241"/>
      <c r="N224" s="1241">
        <f>COUNTIFS('Краевые Сосновоборск'!$A$343:$A$488,3,'Краевые Сосновоборск'!$F$343:$F$488,B224)</f>
        <v>0</v>
      </c>
      <c r="O224" s="1241"/>
    </row>
    <row r="225" spans="1:15" s="374" customFormat="1" ht="15.75" customHeight="1" x14ac:dyDescent="0.3">
      <c r="A225" s="767">
        <v>22</v>
      </c>
      <c r="B225" s="1241" t="e">
        <f>'Краевые Сосновоборск'!#REF!</f>
        <v>#REF!</v>
      </c>
      <c r="C225" s="1241"/>
      <c r="D225" s="1241"/>
      <c r="E225" s="1241"/>
      <c r="F225" s="1241"/>
      <c r="G225" s="1241"/>
      <c r="H225" s="1241"/>
      <c r="I225" s="1241"/>
      <c r="J225" s="1241">
        <f>COUNTIFS('Краевые Сосновоборск'!$A$343:$A$488,1,'Краевые Сосновоборск'!$F$343:$F$488,B225)</f>
        <v>0</v>
      </c>
      <c r="K225" s="1241"/>
      <c r="L225" s="1241">
        <f>COUNTIFS('Краевые Сосновоборск'!$A$343:$A$488,2,'Краевые Сосновоборск'!$F$343:$F$488,B225)</f>
        <v>0</v>
      </c>
      <c r="M225" s="1241"/>
      <c r="N225" s="1241">
        <f>COUNTIFS('Краевые Сосновоборск'!$A$343:$A$488,3,'Краевые Сосновоборск'!$F$343:$F$488,B225)</f>
        <v>0</v>
      </c>
      <c r="O225" s="1241"/>
    </row>
    <row r="226" spans="1:15" s="374" customFormat="1" ht="15.75" customHeight="1" x14ac:dyDescent="0.3">
      <c r="A226" s="767">
        <v>23</v>
      </c>
      <c r="B226" s="1241" t="e">
        <f>'Краевые Сосновоборск'!#REF!</f>
        <v>#REF!</v>
      </c>
      <c r="C226" s="1241"/>
      <c r="D226" s="1241"/>
      <c r="E226" s="1241"/>
      <c r="F226" s="1241"/>
      <c r="G226" s="1241"/>
      <c r="H226" s="1241"/>
      <c r="I226" s="1241"/>
      <c r="J226" s="1241">
        <f>COUNTIFS('Краевые Сосновоборск'!$A$343:$A$488,1,'Краевые Сосновоборск'!$F$343:$F$488,B226)</f>
        <v>0</v>
      </c>
      <c r="K226" s="1241"/>
      <c r="L226" s="1241">
        <f>COUNTIFS('Краевые Сосновоборск'!$A$343:$A$488,2,'Краевые Сосновоборск'!$F$343:$F$488,B226)</f>
        <v>0</v>
      </c>
      <c r="M226" s="1241"/>
      <c r="N226" s="1241">
        <f>COUNTIFS('Краевые Сосновоборск'!$A$343:$A$488,3,'Краевые Сосновоборск'!$F$343:$F$488,B226)</f>
        <v>0</v>
      </c>
      <c r="O226" s="1241"/>
    </row>
    <row r="227" spans="1:15" s="374" customFormat="1" ht="15.75" customHeight="1" x14ac:dyDescent="0.3">
      <c r="A227" s="767">
        <v>24</v>
      </c>
      <c r="B227" s="1241" t="e">
        <f>'Краевые Сосновоборск'!#REF!</f>
        <v>#REF!</v>
      </c>
      <c r="C227" s="1241"/>
      <c r="D227" s="1241"/>
      <c r="E227" s="1241"/>
      <c r="F227" s="1241"/>
      <c r="G227" s="1241"/>
      <c r="H227" s="1241"/>
      <c r="I227" s="1241"/>
      <c r="J227" s="1241">
        <f>COUNTIFS('Краевые Сосновоборск'!$A$343:$A$488,1,'Краевые Сосновоборск'!$F$343:$F$488,B227)</f>
        <v>0</v>
      </c>
      <c r="K227" s="1241"/>
      <c r="L227" s="1241">
        <f>COUNTIFS('Краевые Сосновоборск'!$A$343:$A$488,2,'Краевые Сосновоборск'!$F$343:$F$488,B227)</f>
        <v>0</v>
      </c>
      <c r="M227" s="1241"/>
      <c r="N227" s="1241">
        <f>COUNTIFS('Краевые Сосновоборск'!$A$343:$A$488,3,'Краевые Сосновоборск'!$F$343:$F$488,B227)</f>
        <v>0</v>
      </c>
      <c r="O227" s="1241"/>
    </row>
    <row r="228" spans="1:15" s="374" customFormat="1" ht="15.75" customHeight="1" x14ac:dyDescent="0.3">
      <c r="A228" s="767">
        <v>25</v>
      </c>
      <c r="B228" s="1241" t="e">
        <f>'Краевые Сосновоборск'!#REF!</f>
        <v>#REF!</v>
      </c>
      <c r="C228" s="1241"/>
      <c r="D228" s="1241"/>
      <c r="E228" s="1241"/>
      <c r="F228" s="1241"/>
      <c r="G228" s="1241"/>
      <c r="H228" s="1241"/>
      <c r="I228" s="1241"/>
      <c r="J228" s="1241">
        <f>COUNTIFS('Краевые Сосновоборск'!$A$343:$A$488,1,'Краевые Сосновоборск'!$F$343:$F$488,B228)</f>
        <v>0</v>
      </c>
      <c r="K228" s="1241"/>
      <c r="L228" s="1241">
        <f>COUNTIFS('Краевые Сосновоборск'!$A$343:$A$488,2,'Краевые Сосновоборск'!$F$343:$F$488,B228)</f>
        <v>0</v>
      </c>
      <c r="M228" s="1241"/>
      <c r="N228" s="1241">
        <f>COUNTIFS('Краевые Сосновоборск'!$A$343:$A$488,3,'Краевые Сосновоборск'!$F$343:$F$488,B228)</f>
        <v>0</v>
      </c>
      <c r="O228" s="1241"/>
    </row>
    <row r="229" spans="1:15" s="374" customFormat="1" ht="15.75" customHeight="1" x14ac:dyDescent="0.3">
      <c r="A229" s="767">
        <v>26</v>
      </c>
      <c r="B229" s="1241" t="e">
        <f>'Краевые Сосновоборск'!#REF!</f>
        <v>#REF!</v>
      </c>
      <c r="C229" s="1241"/>
      <c r="D229" s="1241"/>
      <c r="E229" s="1241"/>
      <c r="F229" s="1241"/>
      <c r="G229" s="1241"/>
      <c r="H229" s="1241"/>
      <c r="I229" s="1241"/>
      <c r="J229" s="1241">
        <f>COUNTIFS('Краевые Сосновоборск'!$A$343:$A$488,1,'Краевые Сосновоборск'!$F$343:$F$488,B229)</f>
        <v>0</v>
      </c>
      <c r="K229" s="1241"/>
      <c r="L229" s="1241">
        <f>COUNTIFS('Краевые Сосновоборск'!$A$343:$A$488,2,'Краевые Сосновоборск'!$F$343:$F$488,B229)</f>
        <v>0</v>
      </c>
      <c r="M229" s="1241"/>
      <c r="N229" s="1241">
        <f>COUNTIFS('Краевые Сосновоборск'!$A$343:$A$488,3,'Краевые Сосновоборск'!$F$343:$F$488,B229)</f>
        <v>0</v>
      </c>
      <c r="O229" s="1241"/>
    </row>
    <row r="230" spans="1:15" s="374" customFormat="1" ht="15.75" customHeight="1" x14ac:dyDescent="0.3">
      <c r="A230" s="767">
        <v>27</v>
      </c>
      <c r="B230" s="1241" t="e">
        <f>'Краевые Сосновоборск'!#REF!</f>
        <v>#REF!</v>
      </c>
      <c r="C230" s="1241"/>
      <c r="D230" s="1241"/>
      <c r="E230" s="1241"/>
      <c r="F230" s="1241"/>
      <c r="G230" s="1241"/>
      <c r="H230" s="1241"/>
      <c r="I230" s="1241"/>
      <c r="J230" s="1241">
        <f>COUNTIFS('Краевые Сосновоборск'!$A$343:$A$488,1,'Краевые Сосновоборск'!$F$343:$F$488,B230)</f>
        <v>0</v>
      </c>
      <c r="K230" s="1241"/>
      <c r="L230" s="1241">
        <f>COUNTIFS('Краевые Сосновоборск'!$A$343:$A$488,2,'Краевые Сосновоборск'!$F$343:$F$488,B230)</f>
        <v>0</v>
      </c>
      <c r="M230" s="1241"/>
      <c r="N230" s="1241">
        <f>COUNTIFS('Краевые Сосновоборск'!$A$343:$A$488,3,'Краевые Сосновоборск'!$F$343:$F$488,B230)</f>
        <v>0</v>
      </c>
      <c r="O230" s="1241"/>
    </row>
    <row r="231" spans="1:15" s="374" customFormat="1" ht="15.6" x14ac:dyDescent="0.3">
      <c r="A231" s="375"/>
    </row>
    <row r="232" spans="1:15" s="390" customFormat="1" ht="33" customHeight="1" x14ac:dyDescent="0.3">
      <c r="A232" s="389" t="s">
        <v>413</v>
      </c>
      <c r="B232" s="1218" t="s">
        <v>414</v>
      </c>
      <c r="C232" s="1218"/>
      <c r="D232" s="1218"/>
      <c r="E232" s="1218"/>
      <c r="F232" s="1218"/>
      <c r="G232" s="1218"/>
      <c r="H232" s="1218"/>
      <c r="I232" s="1218"/>
      <c r="J232" s="1218"/>
      <c r="K232" s="1218"/>
      <c r="L232" s="1218"/>
      <c r="M232" s="1218"/>
      <c r="N232" s="1218"/>
      <c r="O232" s="1218"/>
    </row>
    <row r="233" spans="1:15" s="390" customFormat="1" ht="16.2" x14ac:dyDescent="0.3">
      <c r="A233" s="1291" t="s">
        <v>927</v>
      </c>
      <c r="B233" s="1291"/>
      <c r="C233" s="1291"/>
      <c r="D233" s="1291"/>
      <c r="E233" s="1291"/>
      <c r="F233" s="1291"/>
      <c r="G233" s="1291"/>
      <c r="H233" s="1291"/>
      <c r="I233" s="1291"/>
      <c r="J233" s="1291"/>
      <c r="K233" s="1291"/>
      <c r="L233" s="1291"/>
      <c r="M233" s="1291"/>
      <c r="N233" s="1291"/>
      <c r="O233" s="1291"/>
    </row>
    <row r="234" spans="1:15" s="390" customFormat="1" ht="15.6" x14ac:dyDescent="0.3">
      <c r="A234" s="391"/>
      <c r="B234" s="392"/>
      <c r="C234" s="392"/>
      <c r="D234" s="392"/>
      <c r="E234" s="392"/>
      <c r="F234" s="392"/>
      <c r="G234" s="392"/>
      <c r="H234" s="392"/>
      <c r="I234" s="392"/>
      <c r="J234" s="392"/>
      <c r="K234" s="392"/>
      <c r="L234" s="392"/>
      <c r="M234" s="392"/>
      <c r="N234" s="392"/>
      <c r="O234" s="392"/>
    </row>
    <row r="235" spans="1:15" s="390" customFormat="1" ht="15.6" x14ac:dyDescent="0.3">
      <c r="A235" s="391"/>
      <c r="B235" s="392"/>
      <c r="C235" s="392"/>
      <c r="D235" s="392"/>
      <c r="E235" s="392"/>
      <c r="F235" s="392"/>
      <c r="G235" s="392"/>
      <c r="H235" s="392"/>
      <c r="I235" s="392"/>
      <c r="J235" s="392"/>
      <c r="K235" s="392"/>
      <c r="L235" s="392"/>
      <c r="M235" s="392"/>
      <c r="N235" s="392"/>
      <c r="O235" s="392"/>
    </row>
    <row r="236" spans="1:15" s="390" customFormat="1" ht="15.6" x14ac:dyDescent="0.3">
      <c r="A236" s="393"/>
      <c r="B236" s="394"/>
      <c r="C236" s="394"/>
      <c r="D236" s="394"/>
      <c r="E236" s="394"/>
      <c r="F236" s="394"/>
      <c r="G236" s="394"/>
      <c r="H236" s="394"/>
      <c r="I236" s="394"/>
      <c r="J236" s="394"/>
      <c r="K236" s="394"/>
      <c r="L236" s="394"/>
      <c r="M236" s="394"/>
      <c r="N236" s="394"/>
      <c r="O236" s="394"/>
    </row>
    <row r="237" spans="1:15" s="374" customFormat="1" ht="15.6" x14ac:dyDescent="0.3">
      <c r="A237" s="395"/>
      <c r="B237" s="386"/>
      <c r="C237" s="386"/>
      <c r="D237" s="386"/>
      <c r="E237" s="386"/>
      <c r="F237" s="386"/>
      <c r="G237" s="386"/>
      <c r="H237" s="386"/>
      <c r="I237" s="386"/>
      <c r="J237" s="386"/>
      <c r="K237" s="386"/>
      <c r="L237" s="386"/>
      <c r="M237" s="386"/>
      <c r="N237" s="386"/>
      <c r="O237" s="386"/>
    </row>
    <row r="238" spans="1:15" s="374" customFormat="1" ht="15.6" x14ac:dyDescent="0.3">
      <c r="A238" s="375"/>
    </row>
    <row r="239" spans="1:15" s="390" customFormat="1" ht="33" customHeight="1" x14ac:dyDescent="0.3">
      <c r="A239" s="389" t="s">
        <v>416</v>
      </c>
      <c r="B239" s="1218" t="s">
        <v>417</v>
      </c>
      <c r="C239" s="1218"/>
      <c r="D239" s="1218"/>
      <c r="E239" s="1218"/>
      <c r="F239" s="1218"/>
      <c r="G239" s="1218"/>
      <c r="H239" s="1218"/>
      <c r="I239" s="1218"/>
      <c r="J239" s="1218"/>
      <c r="K239" s="1218"/>
      <c r="L239" s="1218"/>
      <c r="M239" s="1218"/>
      <c r="N239" s="1218"/>
      <c r="O239" s="1218"/>
    </row>
    <row r="240" spans="1:15" s="390" customFormat="1" ht="16.2" x14ac:dyDescent="0.3">
      <c r="A240" s="1291" t="s">
        <v>927</v>
      </c>
      <c r="B240" s="1291"/>
      <c r="C240" s="1291"/>
      <c r="D240" s="1291"/>
      <c r="E240" s="1291"/>
      <c r="F240" s="1291"/>
      <c r="G240" s="1291"/>
      <c r="H240" s="1291"/>
      <c r="I240" s="1291"/>
      <c r="J240" s="1291"/>
      <c r="K240" s="1291"/>
      <c r="L240" s="1291"/>
      <c r="M240" s="1291"/>
      <c r="N240" s="1291"/>
      <c r="O240" s="1291"/>
    </row>
    <row r="241" spans="1:15" s="390" customFormat="1" ht="15.6" x14ac:dyDescent="0.3">
      <c r="A241" s="393"/>
      <c r="B241" s="394"/>
      <c r="C241" s="394"/>
      <c r="D241" s="394"/>
      <c r="E241" s="394"/>
      <c r="F241" s="394"/>
      <c r="G241" s="394"/>
      <c r="H241" s="394"/>
      <c r="I241" s="394"/>
      <c r="J241" s="394"/>
      <c r="K241" s="394"/>
      <c r="L241" s="394"/>
      <c r="M241" s="394"/>
      <c r="N241" s="394"/>
      <c r="O241" s="394"/>
    </row>
    <row r="242" spans="1:15" s="390" customFormat="1" ht="15.6" x14ac:dyDescent="0.3">
      <c r="A242" s="393"/>
      <c r="B242" s="394"/>
      <c r="C242" s="394"/>
      <c r="D242" s="394"/>
      <c r="E242" s="394"/>
      <c r="F242" s="394"/>
      <c r="G242" s="394"/>
      <c r="H242" s="394"/>
      <c r="I242" s="394"/>
      <c r="J242" s="394"/>
      <c r="K242" s="394"/>
      <c r="L242" s="394"/>
      <c r="M242" s="394"/>
      <c r="N242" s="394"/>
      <c r="O242" s="394"/>
    </row>
    <row r="243" spans="1:15" s="390" customFormat="1" ht="15.6" x14ac:dyDescent="0.3">
      <c r="A243" s="393"/>
      <c r="B243" s="394"/>
      <c r="C243" s="394"/>
      <c r="D243" s="394"/>
      <c r="E243" s="394"/>
      <c r="F243" s="394"/>
      <c r="G243" s="394"/>
      <c r="H243" s="394"/>
      <c r="I243" s="394"/>
      <c r="J243" s="394"/>
      <c r="K243" s="394"/>
      <c r="L243" s="394"/>
      <c r="M243" s="394"/>
      <c r="N243" s="394"/>
      <c r="O243" s="394"/>
    </row>
    <row r="244" spans="1:15" s="390" customFormat="1" ht="15.6" x14ac:dyDescent="0.3">
      <c r="A244" s="393"/>
      <c r="B244" s="394"/>
      <c r="C244" s="394"/>
      <c r="D244" s="394"/>
      <c r="E244" s="394"/>
      <c r="F244" s="394"/>
      <c r="G244" s="394"/>
      <c r="H244" s="394"/>
      <c r="I244" s="394"/>
      <c r="J244" s="394"/>
      <c r="K244" s="394"/>
      <c r="L244" s="394"/>
      <c r="M244" s="394"/>
      <c r="N244" s="394"/>
      <c r="O244" s="394"/>
    </row>
    <row r="245" spans="1:15" s="374" customFormat="1" ht="15.6" x14ac:dyDescent="0.3">
      <c r="A245" s="375"/>
    </row>
    <row r="246" spans="1:15" s="390" customFormat="1" ht="66.75" customHeight="1" x14ac:dyDescent="0.3">
      <c r="A246" s="389" t="s">
        <v>418</v>
      </c>
      <c r="B246" s="1218" t="s">
        <v>419</v>
      </c>
      <c r="C246" s="1218"/>
      <c r="D246" s="1218"/>
      <c r="E246" s="1218"/>
      <c r="F246" s="1218"/>
      <c r="G246" s="1218"/>
      <c r="H246" s="1218"/>
      <c r="I246" s="1218"/>
      <c r="J246" s="1218"/>
      <c r="K246" s="1218"/>
      <c r="L246" s="1218"/>
      <c r="M246" s="1218"/>
      <c r="N246" s="1218"/>
      <c r="O246" s="1218"/>
    </row>
    <row r="247" spans="1:15" s="390" customFormat="1" ht="16.2" x14ac:dyDescent="0.3">
      <c r="A247" s="1291" t="s">
        <v>927</v>
      </c>
      <c r="B247" s="1291"/>
      <c r="C247" s="1291"/>
      <c r="D247" s="1291"/>
      <c r="E247" s="1291"/>
      <c r="F247" s="1291"/>
      <c r="G247" s="1291"/>
      <c r="H247" s="1291"/>
      <c r="I247" s="1291"/>
      <c r="J247" s="1291"/>
      <c r="K247" s="1291"/>
      <c r="L247" s="1291"/>
      <c r="M247" s="1291"/>
      <c r="N247" s="1291"/>
      <c r="O247" s="1291"/>
    </row>
    <row r="248" spans="1:15" s="390" customFormat="1" ht="15.6" x14ac:dyDescent="0.3">
      <c r="A248" s="393"/>
      <c r="B248" s="394"/>
      <c r="C248" s="394"/>
      <c r="D248" s="394"/>
      <c r="E248" s="394"/>
      <c r="F248" s="394"/>
      <c r="G248" s="394"/>
      <c r="H248" s="394"/>
      <c r="I248" s="394"/>
      <c r="J248" s="394"/>
      <c r="K248" s="394"/>
      <c r="L248" s="394"/>
      <c r="M248" s="394"/>
      <c r="N248" s="394"/>
      <c r="O248" s="394"/>
    </row>
    <row r="249" spans="1:15" s="390" customFormat="1" ht="15.6" x14ac:dyDescent="0.3">
      <c r="A249" s="393"/>
      <c r="B249" s="394"/>
      <c r="C249" s="394"/>
      <c r="D249" s="394"/>
      <c r="E249" s="394"/>
      <c r="F249" s="394"/>
      <c r="G249" s="394"/>
      <c r="H249" s="394"/>
      <c r="I249" s="394"/>
      <c r="J249" s="394"/>
      <c r="K249" s="394"/>
      <c r="L249" s="394"/>
      <c r="M249" s="394"/>
      <c r="N249" s="394"/>
      <c r="O249" s="394"/>
    </row>
    <row r="250" spans="1:15" s="390" customFormat="1" ht="15.6" x14ac:dyDescent="0.3">
      <c r="A250" s="393"/>
      <c r="B250" s="394"/>
      <c r="C250" s="394"/>
      <c r="D250" s="394"/>
      <c r="E250" s="394"/>
      <c r="F250" s="394"/>
      <c r="G250" s="394"/>
      <c r="H250" s="394"/>
      <c r="I250" s="394"/>
      <c r="J250" s="394"/>
      <c r="K250" s="394"/>
      <c r="L250" s="394"/>
      <c r="M250" s="394"/>
      <c r="N250" s="394"/>
      <c r="O250" s="394"/>
    </row>
    <row r="251" spans="1:15" s="374" customFormat="1" ht="15.6" x14ac:dyDescent="0.3">
      <c r="A251" s="395"/>
      <c r="B251" s="386"/>
      <c r="C251" s="386"/>
      <c r="D251" s="386"/>
      <c r="E251" s="386"/>
      <c r="F251" s="386"/>
      <c r="G251" s="386"/>
      <c r="H251" s="386"/>
      <c r="I251" s="386"/>
      <c r="J251" s="386"/>
      <c r="K251" s="386"/>
      <c r="L251" s="386"/>
      <c r="M251" s="386"/>
      <c r="N251" s="386"/>
      <c r="O251" s="386"/>
    </row>
    <row r="252" spans="1:15" s="374" customFormat="1" ht="15.6" x14ac:dyDescent="0.3">
      <c r="A252" s="375"/>
    </row>
    <row r="253" spans="1:15" s="387" customFormat="1" ht="49.5" customHeight="1" x14ac:dyDescent="0.3">
      <c r="A253" s="387" t="s">
        <v>420</v>
      </c>
      <c r="B253" s="1218" t="s">
        <v>421</v>
      </c>
      <c r="C253" s="1218"/>
      <c r="D253" s="1218"/>
      <c r="E253" s="1218"/>
      <c r="F253" s="1218"/>
      <c r="G253" s="1218"/>
      <c r="H253" s="1218"/>
      <c r="I253" s="1218"/>
      <c r="J253" s="1218"/>
      <c r="K253" s="1218"/>
      <c r="L253" s="1218"/>
      <c r="M253" s="1218"/>
      <c r="N253" s="1218"/>
      <c r="O253" s="1218"/>
    </row>
    <row r="254" spans="1:15" s="390" customFormat="1" ht="16.2" x14ac:dyDescent="0.3">
      <c r="A254" s="1291" t="s">
        <v>927</v>
      </c>
      <c r="B254" s="1291"/>
      <c r="C254" s="1291"/>
      <c r="D254" s="1291"/>
      <c r="E254" s="1291"/>
      <c r="F254" s="1291"/>
      <c r="G254" s="1291"/>
      <c r="H254" s="1291"/>
      <c r="I254" s="1291"/>
      <c r="J254" s="1291"/>
      <c r="K254" s="1291"/>
      <c r="L254" s="1291"/>
      <c r="M254" s="1291"/>
      <c r="N254" s="1291"/>
      <c r="O254" s="1291"/>
    </row>
    <row r="255" spans="1:15" s="387" customFormat="1" ht="15.6" x14ac:dyDescent="0.3">
      <c r="A255" s="396"/>
      <c r="B255" s="394"/>
      <c r="C255" s="394"/>
      <c r="D255" s="394"/>
      <c r="E255" s="394"/>
      <c r="F255" s="394"/>
      <c r="G255" s="394"/>
      <c r="H255" s="394"/>
      <c r="I255" s="394"/>
      <c r="J255" s="394"/>
      <c r="K255" s="394"/>
      <c r="L255" s="394"/>
      <c r="M255" s="394"/>
      <c r="N255" s="394"/>
      <c r="O255" s="394"/>
    </row>
    <row r="256" spans="1:15" s="387" customFormat="1" ht="15.6" x14ac:dyDescent="0.3">
      <c r="A256" s="396"/>
      <c r="B256" s="394"/>
      <c r="C256" s="394"/>
      <c r="D256" s="394"/>
      <c r="E256" s="394"/>
      <c r="F256" s="394"/>
      <c r="G256" s="394"/>
      <c r="H256" s="394"/>
      <c r="I256" s="394"/>
      <c r="J256" s="394"/>
      <c r="K256" s="394"/>
      <c r="L256" s="394"/>
      <c r="M256" s="394"/>
      <c r="N256" s="394"/>
      <c r="O256" s="394"/>
    </row>
    <row r="257" spans="1:15" s="387" customFormat="1" ht="15.6" x14ac:dyDescent="0.3">
      <c r="A257" s="396"/>
      <c r="B257" s="394"/>
      <c r="C257" s="394"/>
      <c r="D257" s="394"/>
      <c r="E257" s="394"/>
      <c r="F257" s="394"/>
      <c r="G257" s="394"/>
      <c r="H257" s="394"/>
      <c r="I257" s="394"/>
      <c r="J257" s="394"/>
      <c r="K257" s="394"/>
      <c r="L257" s="394"/>
      <c r="M257" s="394"/>
      <c r="N257" s="394"/>
      <c r="O257" s="394"/>
    </row>
    <row r="258" spans="1:15" s="387" customFormat="1" ht="15.6" x14ac:dyDescent="0.3">
      <c r="A258" s="396"/>
      <c r="B258" s="394"/>
      <c r="C258" s="394"/>
      <c r="D258" s="394"/>
      <c r="E258" s="394"/>
      <c r="F258" s="394"/>
      <c r="G258" s="394"/>
      <c r="H258" s="394"/>
      <c r="I258" s="394"/>
      <c r="J258" s="394"/>
      <c r="K258" s="394"/>
      <c r="L258" s="394"/>
      <c r="M258" s="394"/>
      <c r="N258" s="394"/>
      <c r="O258" s="394"/>
    </row>
    <row r="259" spans="1:15" s="387" customFormat="1" ht="15.6" x14ac:dyDescent="0.3">
      <c r="A259" s="396"/>
      <c r="B259" s="394"/>
      <c r="C259" s="394"/>
      <c r="D259" s="394"/>
      <c r="E259" s="394"/>
      <c r="F259" s="394"/>
      <c r="G259" s="394"/>
      <c r="H259" s="394"/>
      <c r="I259" s="394"/>
      <c r="J259" s="394"/>
      <c r="K259" s="394"/>
      <c r="L259" s="394"/>
      <c r="M259" s="394"/>
      <c r="N259" s="394"/>
      <c r="O259" s="394"/>
    </row>
    <row r="260" spans="1:15" s="374" customFormat="1" ht="15.6" x14ac:dyDescent="0.3">
      <c r="A260" s="395"/>
      <c r="B260" s="386"/>
      <c r="C260" s="386"/>
      <c r="D260" s="386"/>
      <c r="E260" s="386"/>
      <c r="F260" s="386"/>
      <c r="G260" s="386"/>
      <c r="H260" s="386"/>
      <c r="I260" s="386"/>
      <c r="J260" s="386"/>
      <c r="K260" s="386"/>
      <c r="L260" s="386"/>
      <c r="M260" s="386"/>
      <c r="N260" s="386"/>
      <c r="O260" s="386"/>
    </row>
    <row r="261" spans="1:15" s="374" customFormat="1" ht="15.6" x14ac:dyDescent="0.3">
      <c r="A261" s="375"/>
    </row>
    <row r="262" spans="1:15" s="374" customFormat="1" ht="15.6" x14ac:dyDescent="0.3">
      <c r="A262" s="375" t="s">
        <v>422</v>
      </c>
      <c r="B262" s="374" t="s">
        <v>423</v>
      </c>
    </row>
    <row r="263" spans="1:15" s="374" customFormat="1" ht="15.6" x14ac:dyDescent="0.3">
      <c r="A263" s="375"/>
    </row>
    <row r="264" spans="1:15" s="374" customFormat="1" ht="48" customHeight="1" x14ac:dyDescent="0.3">
      <c r="A264" s="389" t="s">
        <v>424</v>
      </c>
      <c r="B264" s="1218" t="s">
        <v>425</v>
      </c>
      <c r="C264" s="1218"/>
      <c r="D264" s="1218"/>
      <c r="E264" s="1218"/>
      <c r="F264" s="1218"/>
      <c r="G264" s="1218"/>
      <c r="H264" s="1218"/>
      <c r="I264" s="1218"/>
      <c r="J264" s="1218"/>
      <c r="K264" s="1218"/>
      <c r="L264" s="1218"/>
      <c r="M264" s="1218"/>
      <c r="N264" s="1218"/>
      <c r="O264" s="1218"/>
    </row>
    <row r="265" spans="1:15" s="390" customFormat="1" ht="16.2" x14ac:dyDescent="0.3">
      <c r="A265" s="1291" t="s">
        <v>927</v>
      </c>
      <c r="B265" s="1291"/>
      <c r="C265" s="1291"/>
      <c r="D265" s="1291"/>
      <c r="E265" s="1291"/>
      <c r="F265" s="1291"/>
      <c r="G265" s="1291"/>
      <c r="H265" s="1291"/>
      <c r="I265" s="1291"/>
      <c r="J265" s="1291"/>
      <c r="K265" s="1291"/>
      <c r="L265" s="1291"/>
      <c r="M265" s="1291"/>
      <c r="N265" s="1291"/>
      <c r="O265" s="1291"/>
    </row>
    <row r="266" spans="1:15" s="374" customFormat="1" ht="15.6" x14ac:dyDescent="0.3">
      <c r="A266" s="393"/>
      <c r="B266" s="394"/>
      <c r="C266" s="394"/>
      <c r="D266" s="394"/>
      <c r="E266" s="394"/>
      <c r="F266" s="394"/>
      <c r="G266" s="394"/>
      <c r="H266" s="394"/>
      <c r="I266" s="394"/>
      <c r="J266" s="394"/>
      <c r="K266" s="394"/>
      <c r="L266" s="394"/>
      <c r="M266" s="394"/>
      <c r="N266" s="394"/>
      <c r="O266" s="394"/>
    </row>
    <row r="267" spans="1:15" s="374" customFormat="1" ht="15.6" x14ac:dyDescent="0.3">
      <c r="A267" s="393"/>
      <c r="B267" s="394"/>
      <c r="C267" s="394"/>
      <c r="D267" s="394"/>
      <c r="E267" s="394"/>
      <c r="F267" s="394"/>
      <c r="G267" s="394"/>
      <c r="H267" s="394"/>
      <c r="I267" s="394"/>
      <c r="J267" s="394"/>
      <c r="K267" s="394"/>
      <c r="L267" s="394"/>
      <c r="M267" s="394"/>
      <c r="N267" s="394"/>
      <c r="O267" s="394"/>
    </row>
    <row r="268" spans="1:15" s="374" customFormat="1" ht="15.6" x14ac:dyDescent="0.3">
      <c r="A268" s="393"/>
      <c r="B268" s="394"/>
      <c r="C268" s="394"/>
      <c r="D268" s="394"/>
      <c r="E268" s="394"/>
      <c r="F268" s="394"/>
      <c r="G268" s="394"/>
      <c r="H268" s="394"/>
      <c r="I268" s="394"/>
      <c r="J268" s="394"/>
      <c r="K268" s="394"/>
      <c r="L268" s="394"/>
      <c r="M268" s="394"/>
      <c r="N268" s="394"/>
      <c r="O268" s="394"/>
    </row>
    <row r="269" spans="1:15" s="374" customFormat="1" ht="15.6" x14ac:dyDescent="0.3">
      <c r="A269" s="375"/>
    </row>
    <row r="270" spans="1:15" s="374" customFormat="1" ht="33" customHeight="1" x14ac:dyDescent="0.3">
      <c r="A270" s="387" t="s">
        <v>427</v>
      </c>
      <c r="B270" s="1218" t="s">
        <v>426</v>
      </c>
      <c r="C270" s="1218"/>
      <c r="D270" s="1218"/>
      <c r="E270" s="1218"/>
      <c r="F270" s="1218"/>
      <c r="G270" s="1218"/>
      <c r="H270" s="1218"/>
      <c r="I270" s="1218"/>
      <c r="J270" s="1218"/>
      <c r="K270" s="1218"/>
      <c r="L270" s="1218"/>
      <c r="M270" s="1218"/>
      <c r="N270" s="1218"/>
      <c r="O270" s="1218"/>
    </row>
    <row r="271" spans="1:15" s="390" customFormat="1" ht="16.2" x14ac:dyDescent="0.3">
      <c r="A271" s="1291" t="s">
        <v>927</v>
      </c>
      <c r="B271" s="1291"/>
      <c r="C271" s="1291"/>
      <c r="D271" s="1291"/>
      <c r="E271" s="1291"/>
      <c r="F271" s="1291"/>
      <c r="G271" s="1291"/>
      <c r="H271" s="1291"/>
      <c r="I271" s="1291"/>
      <c r="J271" s="1291"/>
      <c r="K271" s="1291"/>
      <c r="L271" s="1291"/>
      <c r="M271" s="1291"/>
      <c r="N271" s="1291"/>
      <c r="O271" s="1291"/>
    </row>
    <row r="272" spans="1:15" s="374" customFormat="1" ht="15.6" x14ac:dyDescent="0.3">
      <c r="A272" s="396"/>
      <c r="B272" s="394"/>
      <c r="C272" s="394"/>
      <c r="D272" s="394"/>
      <c r="E272" s="394"/>
      <c r="F272" s="394"/>
      <c r="G272" s="394"/>
      <c r="H272" s="394"/>
      <c r="I272" s="394"/>
      <c r="J272" s="394"/>
      <c r="K272" s="394"/>
      <c r="L272" s="394"/>
      <c r="M272" s="394"/>
      <c r="N272" s="394"/>
      <c r="O272" s="394"/>
    </row>
    <row r="273" spans="1:15" s="374" customFormat="1" ht="15.6" x14ac:dyDescent="0.3">
      <c r="A273" s="396"/>
      <c r="B273" s="394"/>
      <c r="C273" s="394"/>
      <c r="D273" s="394"/>
      <c r="E273" s="394"/>
      <c r="F273" s="394"/>
      <c r="G273" s="394"/>
      <c r="H273" s="394"/>
      <c r="I273" s="394"/>
      <c r="J273" s="394"/>
      <c r="K273" s="394"/>
      <c r="L273" s="394"/>
      <c r="M273" s="394"/>
      <c r="N273" s="394"/>
      <c r="O273" s="394"/>
    </row>
    <row r="274" spans="1:15" s="374" customFormat="1" ht="15.6" x14ac:dyDescent="0.3">
      <c r="A274" s="396"/>
      <c r="B274" s="394"/>
      <c r="C274" s="394"/>
      <c r="D274" s="394"/>
      <c r="E274" s="394"/>
      <c r="F274" s="394"/>
      <c r="G274" s="394"/>
      <c r="H274" s="394"/>
      <c r="I274" s="394"/>
      <c r="J274" s="394"/>
      <c r="K274" s="394"/>
      <c r="L274" s="394"/>
      <c r="M274" s="394"/>
      <c r="N274" s="394"/>
      <c r="O274" s="394"/>
    </row>
    <row r="275" spans="1:15" s="374" customFormat="1" ht="15.6" x14ac:dyDescent="0.3">
      <c r="A275" s="396"/>
      <c r="B275" s="394"/>
      <c r="C275" s="394"/>
      <c r="D275" s="394"/>
      <c r="E275" s="394"/>
      <c r="F275" s="394"/>
      <c r="G275" s="394"/>
      <c r="H275" s="394"/>
      <c r="I275" s="394"/>
      <c r="J275" s="394"/>
      <c r="K275" s="394"/>
      <c r="L275" s="394"/>
      <c r="M275" s="394"/>
      <c r="N275" s="394"/>
      <c r="O275" s="394"/>
    </row>
    <row r="276" spans="1:15" s="374" customFormat="1" ht="15.6" x14ac:dyDescent="0.3">
      <c r="A276" s="396"/>
      <c r="B276" s="394"/>
      <c r="C276" s="394"/>
      <c r="D276" s="394"/>
      <c r="E276" s="394"/>
      <c r="F276" s="394"/>
      <c r="G276" s="394"/>
      <c r="H276" s="394"/>
      <c r="I276" s="394"/>
      <c r="J276" s="394"/>
      <c r="K276" s="394"/>
      <c r="L276" s="394"/>
      <c r="M276" s="394"/>
      <c r="N276" s="394"/>
      <c r="O276" s="394"/>
    </row>
    <row r="277" spans="1:15" s="374" customFormat="1" ht="15.6" x14ac:dyDescent="0.3">
      <c r="A277" s="377"/>
    </row>
    <row r="278" spans="1:15" s="390" customFormat="1" ht="30" customHeight="1" x14ac:dyDescent="0.3">
      <c r="A278" s="387" t="s">
        <v>428</v>
      </c>
      <c r="B278" s="1218" t="s">
        <v>429</v>
      </c>
      <c r="C278" s="1218"/>
      <c r="D278" s="1218"/>
      <c r="E278" s="1218"/>
      <c r="F278" s="1218"/>
      <c r="G278" s="1218"/>
      <c r="H278" s="1218"/>
      <c r="I278" s="1218"/>
      <c r="J278" s="1218"/>
      <c r="K278" s="1218"/>
      <c r="L278" s="1218"/>
      <c r="M278" s="1218"/>
      <c r="N278" s="1218"/>
      <c r="O278" s="1218"/>
    </row>
    <row r="279" spans="1:15" s="390" customFormat="1" ht="16.2" x14ac:dyDescent="0.3">
      <c r="A279" s="1291" t="s">
        <v>927</v>
      </c>
      <c r="B279" s="1291"/>
      <c r="C279" s="1291"/>
      <c r="D279" s="1291"/>
      <c r="E279" s="1291"/>
      <c r="F279" s="1291"/>
      <c r="G279" s="1291"/>
      <c r="H279" s="1291"/>
      <c r="I279" s="1291"/>
      <c r="J279" s="1291"/>
      <c r="K279" s="1291"/>
      <c r="L279" s="1291"/>
      <c r="M279" s="1291"/>
      <c r="N279" s="1291"/>
      <c r="O279" s="1291"/>
    </row>
    <row r="280" spans="1:15" s="374" customFormat="1" ht="15.6" x14ac:dyDescent="0.3">
      <c r="A280" s="396"/>
      <c r="B280" s="394"/>
      <c r="C280" s="394"/>
      <c r="D280" s="394"/>
      <c r="E280" s="394"/>
      <c r="F280" s="394"/>
      <c r="G280" s="394"/>
      <c r="H280" s="394"/>
      <c r="I280" s="394"/>
      <c r="J280" s="394"/>
      <c r="K280" s="394"/>
      <c r="L280" s="394"/>
      <c r="M280" s="394"/>
      <c r="N280" s="394"/>
      <c r="O280" s="394"/>
    </row>
    <row r="281" spans="1:15" s="374" customFormat="1" ht="15.6" x14ac:dyDescent="0.3">
      <c r="A281" s="396"/>
      <c r="B281" s="394"/>
      <c r="C281" s="394"/>
      <c r="D281" s="394"/>
      <c r="E281" s="394"/>
      <c r="F281" s="394"/>
      <c r="G281" s="394"/>
      <c r="H281" s="394"/>
      <c r="I281" s="394"/>
      <c r="J281" s="394"/>
      <c r="K281" s="394"/>
      <c r="L281" s="394"/>
      <c r="M281" s="394"/>
      <c r="N281" s="394"/>
      <c r="O281" s="394"/>
    </row>
    <row r="282" spans="1:15" s="374" customFormat="1" ht="15.6" x14ac:dyDescent="0.3">
      <c r="A282" s="396"/>
      <c r="B282" s="394"/>
      <c r="C282" s="394"/>
      <c r="D282" s="394"/>
      <c r="E282" s="394"/>
      <c r="F282" s="394"/>
      <c r="G282" s="394"/>
      <c r="H282" s="394"/>
      <c r="I282" s="394"/>
      <c r="J282" s="394"/>
      <c r="K282" s="394"/>
      <c r="L282" s="394"/>
      <c r="M282" s="394"/>
      <c r="N282" s="394"/>
      <c r="O282" s="394"/>
    </row>
    <row r="283" spans="1:15" s="374" customFormat="1" ht="15.6" x14ac:dyDescent="0.3">
      <c r="A283" s="396"/>
      <c r="B283" s="394"/>
      <c r="C283" s="394"/>
      <c r="D283" s="394"/>
      <c r="E283" s="394"/>
      <c r="F283" s="394"/>
      <c r="G283" s="394"/>
      <c r="H283" s="394"/>
      <c r="I283" s="394"/>
      <c r="J283" s="394"/>
      <c r="K283" s="394"/>
      <c r="L283" s="394"/>
      <c r="M283" s="394"/>
      <c r="N283" s="394"/>
      <c r="O283" s="394"/>
    </row>
    <row r="284" spans="1:15" s="374" customFormat="1" ht="15.6" x14ac:dyDescent="0.3">
      <c r="A284" s="377"/>
    </row>
    <row r="285" spans="1:15" s="390" customFormat="1" ht="32.25" customHeight="1" x14ac:dyDescent="0.3">
      <c r="A285" s="389" t="s">
        <v>430</v>
      </c>
      <c r="B285" s="1218" t="s">
        <v>431</v>
      </c>
      <c r="C285" s="1218"/>
      <c r="D285" s="1218"/>
      <c r="E285" s="1218"/>
      <c r="F285" s="1218"/>
      <c r="G285" s="1218"/>
      <c r="H285" s="1218"/>
      <c r="I285" s="1218"/>
      <c r="J285" s="1218"/>
      <c r="K285" s="1218"/>
      <c r="L285" s="1218"/>
      <c r="M285" s="1218"/>
      <c r="N285" s="1218"/>
      <c r="O285" s="1218"/>
    </row>
    <row r="286" spans="1:15" s="390" customFormat="1" ht="16.2" x14ac:dyDescent="0.3">
      <c r="A286" s="1291" t="s">
        <v>927</v>
      </c>
      <c r="B286" s="1291"/>
      <c r="C286" s="1291"/>
      <c r="D286" s="1291"/>
      <c r="E286" s="1291"/>
      <c r="F286" s="1291"/>
      <c r="G286" s="1291"/>
      <c r="H286" s="1291"/>
      <c r="I286" s="1291"/>
      <c r="J286" s="1291"/>
      <c r="K286" s="1291"/>
      <c r="L286" s="1291"/>
      <c r="M286" s="1291"/>
      <c r="N286" s="1291"/>
      <c r="O286" s="1291"/>
    </row>
    <row r="287" spans="1:15" s="374" customFormat="1" ht="15.6" x14ac:dyDescent="0.3">
      <c r="A287" s="396"/>
      <c r="B287" s="394"/>
      <c r="C287" s="394"/>
      <c r="D287" s="394"/>
      <c r="E287" s="394"/>
      <c r="F287" s="394"/>
      <c r="G287" s="394"/>
      <c r="H287" s="394"/>
      <c r="I287" s="394"/>
      <c r="J287" s="394"/>
      <c r="K287" s="394"/>
      <c r="L287" s="394"/>
      <c r="M287" s="394"/>
      <c r="N287" s="394"/>
      <c r="O287" s="394"/>
    </row>
    <row r="288" spans="1:15" s="374" customFormat="1" ht="15.6" x14ac:dyDescent="0.3">
      <c r="A288" s="396"/>
      <c r="B288" s="394"/>
      <c r="C288" s="394"/>
      <c r="D288" s="394"/>
      <c r="E288" s="394"/>
      <c r="F288" s="394"/>
      <c r="G288" s="394"/>
      <c r="H288" s="394"/>
      <c r="I288" s="394"/>
      <c r="J288" s="394"/>
      <c r="K288" s="394"/>
      <c r="L288" s="394"/>
      <c r="M288" s="394"/>
      <c r="N288" s="394"/>
      <c r="O288" s="394"/>
    </row>
    <row r="289" spans="1:15" s="374" customFormat="1" ht="15.6" x14ac:dyDescent="0.3">
      <c r="A289" s="396"/>
      <c r="B289" s="394"/>
      <c r="C289" s="394"/>
      <c r="D289" s="394"/>
      <c r="E289" s="394"/>
      <c r="F289" s="394"/>
      <c r="G289" s="394"/>
      <c r="H289" s="394"/>
      <c r="I289" s="394"/>
      <c r="J289" s="394"/>
      <c r="K289" s="394"/>
      <c r="L289" s="394"/>
      <c r="M289" s="394"/>
      <c r="N289" s="394"/>
      <c r="O289" s="394"/>
    </row>
    <row r="290" spans="1:15" s="374" customFormat="1" ht="15.6" x14ac:dyDescent="0.3">
      <c r="A290" s="396"/>
      <c r="B290" s="394"/>
      <c r="C290" s="394"/>
      <c r="D290" s="394"/>
      <c r="E290" s="394"/>
      <c r="F290" s="394"/>
      <c r="G290" s="394"/>
      <c r="H290" s="394"/>
      <c r="I290" s="394"/>
      <c r="J290" s="394"/>
      <c r="K290" s="394"/>
      <c r="L290" s="394"/>
      <c r="M290" s="394"/>
      <c r="N290" s="394"/>
      <c r="O290" s="394"/>
    </row>
    <row r="291" spans="1:15" s="374" customFormat="1" ht="15.6" x14ac:dyDescent="0.3">
      <c r="A291" s="375"/>
    </row>
    <row r="292" spans="1:15" s="374" customFormat="1" ht="15.6" x14ac:dyDescent="0.3">
      <c r="A292" s="375" t="s">
        <v>432</v>
      </c>
      <c r="B292" s="1253" t="s">
        <v>433</v>
      </c>
      <c r="C292" s="1253"/>
      <c r="D292" s="1253"/>
      <c r="E292" s="1253"/>
      <c r="F292" s="1253"/>
      <c r="G292" s="1253"/>
      <c r="H292" s="1253"/>
      <c r="I292" s="1253"/>
      <c r="J292" s="1253"/>
      <c r="K292" s="1253"/>
      <c r="L292" s="1253"/>
      <c r="M292" s="1253"/>
      <c r="N292" s="1253"/>
      <c r="O292" s="1253"/>
    </row>
    <row r="293" spans="1:15" s="390" customFormat="1" ht="16.2" x14ac:dyDescent="0.3">
      <c r="A293" s="1291" t="s">
        <v>927</v>
      </c>
      <c r="B293" s="1291"/>
      <c r="C293" s="1291"/>
      <c r="D293" s="1291"/>
      <c r="E293" s="1291"/>
      <c r="F293" s="1291"/>
      <c r="G293" s="1291"/>
      <c r="H293" s="1291"/>
      <c r="I293" s="1291"/>
      <c r="J293" s="1291"/>
      <c r="K293" s="1291"/>
      <c r="L293" s="1291"/>
      <c r="M293" s="1291"/>
      <c r="N293" s="1291"/>
      <c r="O293" s="1291"/>
    </row>
    <row r="294" spans="1:15" s="374" customFormat="1" ht="15.6" x14ac:dyDescent="0.3">
      <c r="A294" s="396"/>
      <c r="B294" s="394"/>
      <c r="C294" s="394"/>
      <c r="D294" s="394"/>
      <c r="E294" s="394"/>
      <c r="F294" s="394"/>
      <c r="G294" s="394"/>
      <c r="H294" s="394"/>
      <c r="I294" s="394"/>
      <c r="J294" s="394"/>
      <c r="K294" s="394"/>
      <c r="L294" s="394"/>
      <c r="M294" s="394"/>
      <c r="N294" s="394"/>
      <c r="O294" s="394"/>
    </row>
    <row r="295" spans="1:15" s="374" customFormat="1" ht="15.6" x14ac:dyDescent="0.3">
      <c r="A295" s="396"/>
      <c r="B295" s="394"/>
      <c r="C295" s="394"/>
      <c r="D295" s="394"/>
      <c r="E295" s="394"/>
      <c r="F295" s="394"/>
      <c r="G295" s="394"/>
      <c r="H295" s="394"/>
      <c r="I295" s="394"/>
      <c r="J295" s="394"/>
      <c r="K295" s="394"/>
      <c r="L295" s="394"/>
      <c r="M295" s="394"/>
      <c r="N295" s="394"/>
      <c r="O295" s="394"/>
    </row>
    <row r="296" spans="1:15" s="374" customFormat="1" ht="15.6" x14ac:dyDescent="0.3">
      <c r="A296" s="396"/>
      <c r="B296" s="394"/>
      <c r="C296" s="394"/>
      <c r="D296" s="394"/>
      <c r="E296" s="394"/>
      <c r="F296" s="394"/>
      <c r="G296" s="394"/>
      <c r="H296" s="394"/>
      <c r="I296" s="394"/>
      <c r="J296" s="394"/>
      <c r="K296" s="394"/>
      <c r="L296" s="394"/>
      <c r="M296" s="394"/>
      <c r="N296" s="394"/>
      <c r="O296" s="394"/>
    </row>
    <row r="297" spans="1:15" s="374" customFormat="1" ht="15.6" x14ac:dyDescent="0.3">
      <c r="A297" s="396"/>
      <c r="B297" s="394"/>
      <c r="C297" s="394"/>
      <c r="D297" s="394"/>
      <c r="E297" s="394"/>
      <c r="F297" s="394"/>
      <c r="G297" s="394"/>
      <c r="H297" s="394"/>
      <c r="I297" s="394"/>
      <c r="J297" s="394"/>
      <c r="K297" s="394"/>
      <c r="L297" s="394"/>
      <c r="M297" s="394"/>
      <c r="N297" s="394"/>
      <c r="O297" s="394"/>
    </row>
    <row r="298" spans="1:15" s="374" customFormat="1" ht="15.6" x14ac:dyDescent="0.3">
      <c r="A298" s="396"/>
      <c r="B298" s="394"/>
      <c r="C298" s="394"/>
      <c r="D298" s="394"/>
      <c r="E298" s="394"/>
      <c r="F298" s="394"/>
      <c r="G298" s="394"/>
      <c r="H298" s="394"/>
      <c r="I298" s="394"/>
      <c r="J298" s="394"/>
      <c r="K298" s="394"/>
      <c r="L298" s="394"/>
      <c r="M298" s="394"/>
      <c r="N298" s="394"/>
      <c r="O298" s="394"/>
    </row>
    <row r="299" spans="1:15" s="374" customFormat="1" ht="15.6" x14ac:dyDescent="0.3">
      <c r="A299" s="375"/>
    </row>
    <row r="300" spans="1:15" s="374" customFormat="1" ht="15.6" x14ac:dyDescent="0.3">
      <c r="A300" s="377" t="s">
        <v>354</v>
      </c>
    </row>
    <row r="301" spans="1:15" s="374" customFormat="1" ht="32.25" customHeight="1" x14ac:dyDescent="0.3">
      <c r="A301" s="387" t="s">
        <v>434</v>
      </c>
      <c r="B301" s="1218" t="s">
        <v>435</v>
      </c>
      <c r="C301" s="1218"/>
      <c r="D301" s="1218"/>
      <c r="E301" s="1218"/>
      <c r="F301" s="1218"/>
      <c r="G301" s="1218"/>
      <c r="H301" s="1218"/>
      <c r="I301" s="1218"/>
      <c r="J301" s="1218"/>
      <c r="K301" s="1218"/>
      <c r="L301" s="1218"/>
      <c r="M301" s="1218"/>
      <c r="N301" s="1218"/>
      <c r="O301" s="1218"/>
    </row>
    <row r="302" spans="1:15" s="374" customFormat="1" ht="15.6" x14ac:dyDescent="0.3">
      <c r="A302" s="375" t="s">
        <v>436</v>
      </c>
      <c r="B302" s="374" t="s">
        <v>437</v>
      </c>
    </row>
    <row r="303" spans="1:15" s="390" customFormat="1" ht="35.25" customHeight="1" x14ac:dyDescent="0.3">
      <c r="A303" s="389" t="s">
        <v>438</v>
      </c>
      <c r="B303" s="1218" t="s">
        <v>439</v>
      </c>
      <c r="C303" s="1218"/>
      <c r="D303" s="1218"/>
      <c r="E303" s="1218"/>
      <c r="F303" s="1218"/>
      <c r="G303" s="1218"/>
      <c r="H303" s="1218"/>
      <c r="I303" s="1218"/>
      <c r="J303" s="1218"/>
      <c r="K303" s="1218"/>
      <c r="L303" s="1218"/>
      <c r="M303" s="1218"/>
      <c r="N303" s="1218"/>
      <c r="O303" s="1218"/>
    </row>
    <row r="304" spans="1:15" s="374" customFormat="1" ht="15.6" x14ac:dyDescent="0.3">
      <c r="A304" s="375" t="s">
        <v>342</v>
      </c>
    </row>
    <row r="305" spans="1:15" s="374" customFormat="1" ht="15.6" x14ac:dyDescent="0.3">
      <c r="A305" s="378"/>
    </row>
    <row r="306" spans="1:15" s="374" customFormat="1" ht="15.75" customHeight="1" x14ac:dyDescent="0.3">
      <c r="A306" s="1293" t="s">
        <v>952</v>
      </c>
      <c r="B306" s="1293"/>
      <c r="C306" s="1293"/>
      <c r="D306" s="1293"/>
      <c r="E306" s="1293"/>
      <c r="F306" s="1293"/>
      <c r="G306" s="1293"/>
      <c r="H306" s="1293"/>
      <c r="I306" s="1293"/>
    </row>
    <row r="307" spans="1:15" s="374" customFormat="1" ht="15.6" x14ac:dyDescent="0.3">
      <c r="A307" s="1293"/>
      <c r="B307" s="1293"/>
      <c r="C307" s="1293"/>
      <c r="D307" s="1293"/>
      <c r="E307" s="1293"/>
      <c r="F307" s="1293"/>
      <c r="G307" s="1293"/>
      <c r="H307" s="1293"/>
      <c r="I307" s="1293"/>
    </row>
    <row r="308" spans="1:15" s="374" customFormat="1" ht="15.6" x14ac:dyDescent="0.3">
      <c r="A308" s="1293"/>
      <c r="B308" s="1293"/>
      <c r="C308" s="1293"/>
      <c r="D308" s="1293"/>
      <c r="E308" s="1293"/>
      <c r="F308" s="1293"/>
      <c r="G308" s="1293"/>
      <c r="H308" s="1293"/>
      <c r="I308" s="1293"/>
    </row>
    <row r="309" spans="1:15" s="374" customFormat="1" ht="15.6" x14ac:dyDescent="0.3">
      <c r="A309" s="1293"/>
      <c r="B309" s="1293"/>
      <c r="C309" s="1293"/>
      <c r="D309" s="1293"/>
      <c r="E309" s="1293"/>
      <c r="F309" s="1293"/>
      <c r="G309" s="1293"/>
      <c r="H309" s="1293"/>
      <c r="I309" s="1293"/>
    </row>
    <row r="310" spans="1:15" s="374" customFormat="1" ht="15.6" x14ac:dyDescent="0.3">
      <c r="A310" s="397"/>
      <c r="B310" s="397"/>
      <c r="C310" s="397"/>
      <c r="D310" s="397"/>
      <c r="E310" s="397"/>
      <c r="F310" s="397"/>
      <c r="G310" s="397"/>
      <c r="H310" s="397"/>
      <c r="I310" s="397"/>
    </row>
    <row r="311" spans="1:15" s="374" customFormat="1" ht="15.6" x14ac:dyDescent="0.3">
      <c r="A311" s="378"/>
    </row>
    <row r="312" spans="1:15" s="374" customFormat="1" ht="16.2" x14ac:dyDescent="0.35">
      <c r="A312" s="1296"/>
      <c r="B312" s="1296"/>
      <c r="C312" s="1296"/>
      <c r="D312" s="1296"/>
      <c r="E312" s="1296"/>
      <c r="F312" s="1296"/>
      <c r="G312" s="1296"/>
      <c r="I312" s="1295" t="s">
        <v>953</v>
      </c>
      <c r="J312" s="1295"/>
      <c r="K312" s="1295"/>
      <c r="L312" s="1295"/>
      <c r="M312" s="1295"/>
      <c r="N312" s="1295"/>
      <c r="O312" s="1295"/>
    </row>
    <row r="313" spans="1:15" s="374" customFormat="1" ht="15.6" x14ac:dyDescent="0.3">
      <c r="A313" s="1292" t="s">
        <v>440</v>
      </c>
      <c r="B313" s="1292"/>
      <c r="C313" s="1292"/>
      <c r="D313" s="1292"/>
      <c r="E313" s="1292"/>
      <c r="F313" s="1292"/>
      <c r="G313" s="1292"/>
      <c r="I313" s="1292" t="s">
        <v>441</v>
      </c>
      <c r="J313" s="1292"/>
      <c r="K313" s="1292"/>
      <c r="L313" s="1292"/>
      <c r="M313" s="1292"/>
      <c r="N313" s="1292"/>
      <c r="O313" s="1292"/>
    </row>
    <row r="314" spans="1:15" s="374" customFormat="1" ht="15.6" x14ac:dyDescent="0.3">
      <c r="A314" s="381"/>
    </row>
    <row r="315" spans="1:15" s="374" customFormat="1" ht="15.6" x14ac:dyDescent="0.3">
      <c r="A315" s="381"/>
    </row>
    <row r="316" spans="1:15" s="374" customFormat="1" ht="15.6" x14ac:dyDescent="0.3">
      <c r="A316" s="381"/>
    </row>
    <row r="317" spans="1:15" s="374" customFormat="1" ht="16.2" x14ac:dyDescent="0.35">
      <c r="A317" s="1294" t="s">
        <v>7</v>
      </c>
      <c r="B317" s="1294"/>
      <c r="C317" s="1294"/>
      <c r="D317" s="1294"/>
      <c r="E317" s="1253"/>
      <c r="F317" s="1253"/>
      <c r="G317" s="1253"/>
      <c r="H317" s="1253"/>
      <c r="I317" s="1253"/>
      <c r="K317" s="1297">
        <f>'Краевые Сосновоборск'!J44</f>
        <v>0</v>
      </c>
      <c r="L317" s="1297"/>
      <c r="M317" s="1297"/>
      <c r="N317" s="1297"/>
      <c r="O317" s="1297"/>
    </row>
    <row r="318" spans="1:15" s="374" customFormat="1" ht="16.2" x14ac:dyDescent="0.35">
      <c r="A318" s="614"/>
      <c r="B318" s="614"/>
      <c r="C318" s="614"/>
      <c r="D318" s="614"/>
      <c r="E318" s="1292" t="s">
        <v>440</v>
      </c>
      <c r="F318" s="1292"/>
      <c r="G318" s="1292"/>
      <c r="H318" s="1292"/>
      <c r="I318" s="1292"/>
      <c r="K318" s="1292" t="s">
        <v>442</v>
      </c>
      <c r="L318" s="1292"/>
      <c r="M318" s="1292"/>
      <c r="N318" s="1292"/>
      <c r="O318" s="1292"/>
    </row>
    <row r="319" spans="1:15" s="374" customFormat="1" ht="16.2" x14ac:dyDescent="0.35">
      <c r="A319" s="614"/>
      <c r="B319" s="614"/>
      <c r="C319" s="614"/>
      <c r="D319" s="614"/>
      <c r="E319" s="381"/>
      <c r="F319" s="381"/>
      <c r="G319" s="381"/>
      <c r="H319" s="381"/>
      <c r="I319" s="381"/>
      <c r="K319" s="381"/>
      <c r="L319" s="381"/>
      <c r="M319" s="381"/>
      <c r="N319" s="381"/>
      <c r="O319" s="381"/>
    </row>
    <row r="320" spans="1:15" s="374" customFormat="1" ht="16.2" x14ac:dyDescent="0.35">
      <c r="A320" s="1294" t="s">
        <v>954</v>
      </c>
      <c r="B320" s="1294"/>
      <c r="C320" s="1294"/>
      <c r="D320" s="1294"/>
      <c r="E320" s="1253"/>
      <c r="F320" s="1253"/>
      <c r="G320" s="1253"/>
      <c r="H320" s="1253"/>
      <c r="I320" s="1253"/>
      <c r="K320" s="1297">
        <f>'Краевые Сосновоборск'!J46</f>
        <v>0</v>
      </c>
      <c r="L320" s="1297"/>
      <c r="M320" s="1297"/>
      <c r="N320" s="1297"/>
      <c r="O320" s="1297"/>
    </row>
    <row r="321" spans="1:15" s="374" customFormat="1" ht="15.6" x14ac:dyDescent="0.3">
      <c r="E321" s="1292" t="s">
        <v>440</v>
      </c>
      <c r="F321" s="1292"/>
      <c r="G321" s="1292"/>
      <c r="H321" s="1292"/>
      <c r="I321" s="1292"/>
      <c r="K321" s="1292" t="s">
        <v>442</v>
      </c>
      <c r="L321" s="1292"/>
      <c r="M321" s="1292"/>
      <c r="N321" s="1292"/>
      <c r="O321" s="1292"/>
    </row>
    <row r="322" spans="1:15" s="374" customFormat="1" ht="218.4" x14ac:dyDescent="0.3">
      <c r="A322" s="375" t="s">
        <v>355</v>
      </c>
    </row>
    <row r="323" spans="1:15" s="374" customFormat="1" ht="15.6" x14ac:dyDescent="0.3"/>
    <row r="324" spans="1:15" s="374" customFormat="1" ht="15.6" x14ac:dyDescent="0.3"/>
    <row r="325" spans="1:15" s="374" customFormat="1" ht="15.6" x14ac:dyDescent="0.3"/>
    <row r="326" spans="1:15" s="374" customFormat="1" ht="15.6" x14ac:dyDescent="0.3"/>
    <row r="327" spans="1:15" s="374" customFormat="1" ht="15.6" x14ac:dyDescent="0.3"/>
    <row r="328" spans="1:15" s="374" customFormat="1" ht="15.6" x14ac:dyDescent="0.3"/>
    <row r="329" spans="1:15" s="374" customFormat="1" ht="15.6" x14ac:dyDescent="0.3"/>
    <row r="330" spans="1:15" s="374" customFormat="1" ht="15.6" x14ac:dyDescent="0.3"/>
    <row r="331" spans="1:15" s="374" customFormat="1" ht="15.6" x14ac:dyDescent="0.3"/>
    <row r="332" spans="1:15" s="374" customFormat="1" ht="15.6" x14ac:dyDescent="0.3"/>
    <row r="333" spans="1:15" s="374" customFormat="1" ht="15.6" x14ac:dyDescent="0.3"/>
    <row r="334" spans="1:15" s="374" customFormat="1" ht="15.6" x14ac:dyDescent="0.3"/>
    <row r="335" spans="1:15" s="374" customFormat="1" ht="15.6" x14ac:dyDescent="0.3"/>
    <row r="336" spans="1:15" s="374" customFormat="1" ht="15.6" x14ac:dyDescent="0.3"/>
    <row r="337" s="374" customFormat="1" ht="15.6" x14ac:dyDescent="0.3"/>
    <row r="338" s="374" customFormat="1" ht="15.6" x14ac:dyDescent="0.3"/>
    <row r="339" s="374" customFormat="1" ht="15.6" x14ac:dyDescent="0.3"/>
    <row r="340" s="374" customFormat="1" ht="15.6" x14ac:dyDescent="0.3"/>
    <row r="341" s="374" customFormat="1" ht="15.6" x14ac:dyDescent="0.3"/>
    <row r="342" s="374" customFormat="1" ht="15.6" x14ac:dyDescent="0.3"/>
    <row r="343" s="374" customFormat="1" ht="15.6" x14ac:dyDescent="0.3"/>
    <row r="344" s="374" customFormat="1" ht="15.6" x14ac:dyDescent="0.3"/>
    <row r="345" s="374" customFormat="1" ht="15.6" x14ac:dyDescent="0.3"/>
    <row r="346" s="374" customFormat="1" ht="15.6" x14ac:dyDescent="0.3"/>
    <row r="347" s="374" customFormat="1" ht="15.6" x14ac:dyDescent="0.3"/>
    <row r="348" s="374" customFormat="1" ht="15.6" x14ac:dyDescent="0.3"/>
    <row r="349" s="374" customFormat="1" ht="15.6" x14ac:dyDescent="0.3"/>
    <row r="350" s="374" customFormat="1" ht="15.6" x14ac:dyDescent="0.3"/>
  </sheetData>
  <mergeCells count="335">
    <mergeCell ref="M89:N89"/>
    <mergeCell ref="M90:N90"/>
    <mergeCell ref="M91:N91"/>
    <mergeCell ref="M92:N92"/>
    <mergeCell ref="M93:N93"/>
    <mergeCell ref="B89:I89"/>
    <mergeCell ref="B90:I90"/>
    <mergeCell ref="B91:I91"/>
    <mergeCell ref="B92:I92"/>
    <mergeCell ref="B93:I93"/>
    <mergeCell ref="B94:I94"/>
    <mergeCell ref="B95:I95"/>
    <mergeCell ref="B96:I96"/>
    <mergeCell ref="B97:I97"/>
    <mergeCell ref="B213:I213"/>
    <mergeCell ref="J213:K213"/>
    <mergeCell ref="L213:M213"/>
    <mergeCell ref="N213:O213"/>
    <mergeCell ref="B214:I214"/>
    <mergeCell ref="J214:K214"/>
    <mergeCell ref="L214:M214"/>
    <mergeCell ref="N214:O214"/>
    <mergeCell ref="B212:I212"/>
    <mergeCell ref="J212:K212"/>
    <mergeCell ref="L212:M212"/>
    <mergeCell ref="N212:O212"/>
    <mergeCell ref="J149:Q149"/>
    <mergeCell ref="B145:I145"/>
    <mergeCell ref="J145:Q145"/>
    <mergeCell ref="B141:I141"/>
    <mergeCell ref="J141:Q141"/>
    <mergeCell ref="A116:B116"/>
    <mergeCell ref="B131:C131"/>
    <mergeCell ref="M130:N130"/>
    <mergeCell ref="J215:K215"/>
    <mergeCell ref="L215:M215"/>
    <mergeCell ref="N215:O215"/>
    <mergeCell ref="B223:I223"/>
    <mergeCell ref="J223:K223"/>
    <mergeCell ref="L223:M223"/>
    <mergeCell ref="N223:O223"/>
    <mergeCell ref="B208:I208"/>
    <mergeCell ref="J208:K208"/>
    <mergeCell ref="L208:M208"/>
    <mergeCell ref="N208:O208"/>
    <mergeCell ref="B209:I209"/>
    <mergeCell ref="J209:K209"/>
    <mergeCell ref="L209:M209"/>
    <mergeCell ref="N209:O209"/>
    <mergeCell ref="B210:I210"/>
    <mergeCell ref="J210:K210"/>
    <mergeCell ref="L210:M210"/>
    <mergeCell ref="N210:O210"/>
    <mergeCell ref="B211:I211"/>
    <mergeCell ref="J211:K211"/>
    <mergeCell ref="L211:M211"/>
    <mergeCell ref="N211:O211"/>
    <mergeCell ref="J130:K130"/>
    <mergeCell ref="G130:H130"/>
    <mergeCell ref="E131:H131"/>
    <mergeCell ref="B130:C130"/>
    <mergeCell ref="A113:B113"/>
    <mergeCell ref="A114:B114"/>
    <mergeCell ref="A115:B115"/>
    <mergeCell ref="C108:D108"/>
    <mergeCell ref="C109:D109"/>
    <mergeCell ref="E108:F108"/>
    <mergeCell ref="E115:F115"/>
    <mergeCell ref="E116:F116"/>
    <mergeCell ref="G108:H108"/>
    <mergeCell ref="I112:J112"/>
    <mergeCell ref="E112:F112"/>
    <mergeCell ref="M97:N97"/>
    <mergeCell ref="M98:N98"/>
    <mergeCell ref="M99:N99"/>
    <mergeCell ref="M100:N100"/>
    <mergeCell ref="M101:N101"/>
    <mergeCell ref="M102:N102"/>
    <mergeCell ref="O107:O108"/>
    <mergeCell ref="A107:B108"/>
    <mergeCell ref="K112:L112"/>
    <mergeCell ref="M109:N109"/>
    <mergeCell ref="M110:N110"/>
    <mergeCell ref="M111:N111"/>
    <mergeCell ref="M112:N112"/>
    <mergeCell ref="A112:B112"/>
    <mergeCell ref="B98:I98"/>
    <mergeCell ref="B99:I99"/>
    <mergeCell ref="B100:I100"/>
    <mergeCell ref="B101:I101"/>
    <mergeCell ref="B102:I102"/>
    <mergeCell ref="B103:I103"/>
    <mergeCell ref="K108:L108"/>
    <mergeCell ref="I109:J109"/>
    <mergeCell ref="I110:J110"/>
    <mergeCell ref="I111:J111"/>
    <mergeCell ref="B301:O301"/>
    <mergeCell ref="B303:O303"/>
    <mergeCell ref="B232:O232"/>
    <mergeCell ref="B239:O239"/>
    <mergeCell ref="B246:O246"/>
    <mergeCell ref="B253:O253"/>
    <mergeCell ref="B264:O264"/>
    <mergeCell ref="B270:O270"/>
    <mergeCell ref="A240:O240"/>
    <mergeCell ref="A233:O233"/>
    <mergeCell ref="A247:O247"/>
    <mergeCell ref="A254:O254"/>
    <mergeCell ref="A293:O293"/>
    <mergeCell ref="B278:O278"/>
    <mergeCell ref="B285:O285"/>
    <mergeCell ref="B292:O292"/>
    <mergeCell ref="E321:I321"/>
    <mergeCell ref="K321:O321"/>
    <mergeCell ref="A306:I309"/>
    <mergeCell ref="A320:D320"/>
    <mergeCell ref="A313:G313"/>
    <mergeCell ref="I313:O313"/>
    <mergeCell ref="I312:O312"/>
    <mergeCell ref="A312:G312"/>
    <mergeCell ref="E317:I317"/>
    <mergeCell ref="E318:I318"/>
    <mergeCell ref="K317:O317"/>
    <mergeCell ref="K318:O318"/>
    <mergeCell ref="E320:I320"/>
    <mergeCell ref="A317:D317"/>
    <mergeCell ref="K320:O320"/>
    <mergeCell ref="B206:I206"/>
    <mergeCell ref="J206:K206"/>
    <mergeCell ref="L206:M206"/>
    <mergeCell ref="B207:I207"/>
    <mergeCell ref="J207:K207"/>
    <mergeCell ref="L207:M207"/>
    <mergeCell ref="N207:O207"/>
    <mergeCell ref="B224:I224"/>
    <mergeCell ref="J224:K224"/>
    <mergeCell ref="L224:M224"/>
    <mergeCell ref="B216:I216"/>
    <mergeCell ref="B220:I220"/>
    <mergeCell ref="J220:K220"/>
    <mergeCell ref="L220:M220"/>
    <mergeCell ref="N220:O220"/>
    <mergeCell ref="B221:I221"/>
    <mergeCell ref="J221:K221"/>
    <mergeCell ref="L221:M221"/>
    <mergeCell ref="N221:O221"/>
    <mergeCell ref="B222:I222"/>
    <mergeCell ref="J222:K222"/>
    <mergeCell ref="L222:M222"/>
    <mergeCell ref="N222:O222"/>
    <mergeCell ref="B215:I215"/>
    <mergeCell ref="B225:I225"/>
    <mergeCell ref="J225:K225"/>
    <mergeCell ref="L225:M225"/>
    <mergeCell ref="N225:O225"/>
    <mergeCell ref="B226:I226"/>
    <mergeCell ref="J226:K226"/>
    <mergeCell ref="L226:M226"/>
    <mergeCell ref="N226:O226"/>
    <mergeCell ref="N224:O224"/>
    <mergeCell ref="B205:I205"/>
    <mergeCell ref="J205:K205"/>
    <mergeCell ref="L205:M205"/>
    <mergeCell ref="N205:O205"/>
    <mergeCell ref="N206:O206"/>
    <mergeCell ref="A265:O265"/>
    <mergeCell ref="A271:O271"/>
    <mergeCell ref="A279:O279"/>
    <mergeCell ref="A286:O286"/>
    <mergeCell ref="J216:K216"/>
    <mergeCell ref="L216:M216"/>
    <mergeCell ref="N216:O216"/>
    <mergeCell ref="B217:I217"/>
    <mergeCell ref="J217:K217"/>
    <mergeCell ref="L217:M217"/>
    <mergeCell ref="N217:O217"/>
    <mergeCell ref="B218:I218"/>
    <mergeCell ref="J218:K218"/>
    <mergeCell ref="L218:M218"/>
    <mergeCell ref="N218:O218"/>
    <mergeCell ref="B219:I219"/>
    <mergeCell ref="J219:K219"/>
    <mergeCell ref="L219:M219"/>
    <mergeCell ref="N219:O219"/>
    <mergeCell ref="J136:M136"/>
    <mergeCell ref="N136:Q136"/>
    <mergeCell ref="B137:I137"/>
    <mergeCell ref="J137:Q137"/>
    <mergeCell ref="B186:I186"/>
    <mergeCell ref="J186:Q186"/>
    <mergeCell ref="J204:K204"/>
    <mergeCell ref="L204:M204"/>
    <mergeCell ref="N204:O204"/>
    <mergeCell ref="B204:I204"/>
    <mergeCell ref="B165:I165"/>
    <mergeCell ref="J165:Q165"/>
    <mergeCell ref="B169:I169"/>
    <mergeCell ref="J169:Q169"/>
    <mergeCell ref="B173:I173"/>
    <mergeCell ref="J173:Q173"/>
    <mergeCell ref="B161:I161"/>
    <mergeCell ref="J161:Q161"/>
    <mergeCell ref="B157:I157"/>
    <mergeCell ref="J157:Q157"/>
    <mergeCell ref="B153:I153"/>
    <mergeCell ref="J153:Q153"/>
    <mergeCell ref="B149:I149"/>
    <mergeCell ref="M82:N82"/>
    <mergeCell ref="B83:I83"/>
    <mergeCell ref="M88:N88"/>
    <mergeCell ref="A109:B109"/>
    <mergeCell ref="A110:B110"/>
    <mergeCell ref="A111:B111"/>
    <mergeCell ref="N203:O203"/>
    <mergeCell ref="L203:M203"/>
    <mergeCell ref="J203:K203"/>
    <mergeCell ref="J202:O202"/>
    <mergeCell ref="B202:I203"/>
    <mergeCell ref="A202:A203"/>
    <mergeCell ref="B200:O200"/>
    <mergeCell ref="I116:J116"/>
    <mergeCell ref="K111:L111"/>
    <mergeCell ref="I113:J113"/>
    <mergeCell ref="I114:J114"/>
    <mergeCell ref="E113:F113"/>
    <mergeCell ref="E114:F114"/>
    <mergeCell ref="A135:A136"/>
    <mergeCell ref="B135:I135"/>
    <mergeCell ref="J135:Q135"/>
    <mergeCell ref="B136:E136"/>
    <mergeCell ref="F136:I136"/>
    <mergeCell ref="M80:N80"/>
    <mergeCell ref="B81:I81"/>
    <mergeCell ref="M81:N81"/>
    <mergeCell ref="A75:A76"/>
    <mergeCell ref="B75:I76"/>
    <mergeCell ref="J75:L75"/>
    <mergeCell ref="B77:I77"/>
    <mergeCell ref="B86:I86"/>
    <mergeCell ref="C110:D110"/>
    <mergeCell ref="B87:I87"/>
    <mergeCell ref="B88:I88"/>
    <mergeCell ref="C107:N107"/>
    <mergeCell ref="E109:F109"/>
    <mergeCell ref="E110:F110"/>
    <mergeCell ref="I108:J108"/>
    <mergeCell ref="M108:N108"/>
    <mergeCell ref="K109:L109"/>
    <mergeCell ref="K110:L110"/>
    <mergeCell ref="M103:N103"/>
    <mergeCell ref="M94:N94"/>
    <mergeCell ref="M95:N95"/>
    <mergeCell ref="M96:N96"/>
    <mergeCell ref="M87:N87"/>
    <mergeCell ref="B82:I82"/>
    <mergeCell ref="M115:N115"/>
    <mergeCell ref="G109:H109"/>
    <mergeCell ref="G110:H110"/>
    <mergeCell ref="G111:H111"/>
    <mergeCell ref="G112:H112"/>
    <mergeCell ref="G113:H113"/>
    <mergeCell ref="G115:H115"/>
    <mergeCell ref="G116:H116"/>
    <mergeCell ref="C114:D114"/>
    <mergeCell ref="I115:J115"/>
    <mergeCell ref="C115:D115"/>
    <mergeCell ref="C116:D116"/>
    <mergeCell ref="K113:L113"/>
    <mergeCell ref="K114:L114"/>
    <mergeCell ref="K115:L115"/>
    <mergeCell ref="K116:L116"/>
    <mergeCell ref="M113:N113"/>
    <mergeCell ref="M114:N114"/>
    <mergeCell ref="M116:N116"/>
    <mergeCell ref="C111:D111"/>
    <mergeCell ref="C112:D112"/>
    <mergeCell ref="E111:F111"/>
    <mergeCell ref="B62:H62"/>
    <mergeCell ref="B66:D66"/>
    <mergeCell ref="F66:H66"/>
    <mergeCell ref="J66:K66"/>
    <mergeCell ref="G114:H114"/>
    <mergeCell ref="M86:N86"/>
    <mergeCell ref="C113:D113"/>
    <mergeCell ref="B73:O73"/>
    <mergeCell ref="B67:F67"/>
    <mergeCell ref="B69:F69"/>
    <mergeCell ref="H69:L69"/>
    <mergeCell ref="M83:N83"/>
    <mergeCell ref="B84:I84"/>
    <mergeCell ref="M84:N84"/>
    <mergeCell ref="B85:I85"/>
    <mergeCell ref="M85:N85"/>
    <mergeCell ref="M75:N76"/>
    <mergeCell ref="O75:O76"/>
    <mergeCell ref="M77:N77"/>
    <mergeCell ref="B78:I78"/>
    <mergeCell ref="M78:N78"/>
    <mergeCell ref="B79:I79"/>
    <mergeCell ref="M79:N79"/>
    <mergeCell ref="B80:I80"/>
    <mergeCell ref="A17:O17"/>
    <mergeCell ref="A18:O18"/>
    <mergeCell ref="A54:O54"/>
    <mergeCell ref="A55:H55"/>
    <mergeCell ref="I55:O55"/>
    <mergeCell ref="I60:O60"/>
    <mergeCell ref="A1:O1"/>
    <mergeCell ref="A2:O2"/>
    <mergeCell ref="A3:O3"/>
    <mergeCell ref="A19:O19"/>
    <mergeCell ref="A21:O21"/>
    <mergeCell ref="A52:O52"/>
    <mergeCell ref="A53:O53"/>
    <mergeCell ref="A15:O15"/>
    <mergeCell ref="A16:O16"/>
    <mergeCell ref="B58:E58"/>
    <mergeCell ref="F58:P58"/>
    <mergeCell ref="B60:H60"/>
    <mergeCell ref="B230:I230"/>
    <mergeCell ref="J230:K230"/>
    <mergeCell ref="L230:M230"/>
    <mergeCell ref="B227:I227"/>
    <mergeCell ref="J227:K227"/>
    <mergeCell ref="L227:M227"/>
    <mergeCell ref="N227:O227"/>
    <mergeCell ref="B228:I228"/>
    <mergeCell ref="J228:K228"/>
    <mergeCell ref="L228:M228"/>
    <mergeCell ref="N228:O228"/>
    <mergeCell ref="B229:I229"/>
    <mergeCell ref="J229:K229"/>
    <mergeCell ref="L229:M229"/>
    <mergeCell ref="N229:O229"/>
    <mergeCell ref="N230:O230"/>
  </mergeCells>
  <pageMargins left="0.59055118110236227" right="0.31496062992125984" top="0.31496062992125984" bottom="0.51181102362204722" header="0" footer="0.19685039370078741"/>
  <pageSetup paperSize="9" orientation="portrait" verticalDpi="300" r:id="rId1"/>
  <rowBreaks count="1" manualBreakCount="1">
    <brk id="53" max="16383" man="1"/>
  </rowBreak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9A9688CA-5EBB-44B2-B614-4D63910F5109}">
            <xm:f>IF(ISBLANK('\Users\User\Documents\20180214-17_ПервенствоКрая2005-2006\[20180214-17_ПервенствоКрая2005-2006-04.xlsm]Стартовый протокол'!#REF!),FALSE,IF(IF(ISNUMBER('\Users\User\Documents\20180214-17_ПервенствоКрая2005-2006\[20180214-17_ПервенствоКрая2005-2006-04.xlsm]Стартовый протокол'!#REF!),IF(YEAR(TODAY())-'\Users\User\Documents\20180214-17_ПервенствоКрая2005-2006\[20180214-17_ПервенствоКрая2005-2006-04.xlsm]Стартовый протокол'!#REF!&lt;='\Users\User\Documents\20180214-17_ПервенствоКрая2005-2006\[20180214-17_ПервенствоКрая2005-2006-04.xlsm]Стартовый протокол'!#REF!,FALSE,TRUE),FALSE),TRUE,IF(ISNUMBER('\Users\User\Documents\20180214-17_ПервенствоКрая2005-2006\[20180214-17_ПервенствоКрая2005-2006-04.xlsm]Стартовый протокол'!#REF!),IF(YEAR(TODAY())-'\Users\User\Documents\20180214-17_ПервенствоКрая2005-2006\[20180214-17_ПервенствоКрая2005-2006-04.xlsm]Стартовый протокол'!#REF!&lt;'\Users\User\Documents\20180214-17_ПервенствоКрая2005-2006\[20180214-17_ПервенствоКрая2005-2006-04.xlsm]Стартовый протокол'!#REF!,TRUE,FALSE),FALSE)))</xm:f>
            <x14:dxf>
              <font>
                <color rgb="FFFFFF00"/>
              </font>
              <fill>
                <patternFill>
                  <bgColor rgb="FFFF0000"/>
                </patternFill>
              </fill>
            </x14:dxf>
          </x14:cfRule>
          <xm:sqref>W198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2"/>
  <dimension ref="A1:H45"/>
  <sheetViews>
    <sheetView topLeftCell="B10" workbookViewId="0">
      <selection activeCell="U19" sqref="U19"/>
    </sheetView>
  </sheetViews>
  <sheetFormatPr defaultRowHeight="13.8" x14ac:dyDescent="0.25"/>
  <cols>
    <col min="1" max="1" width="5.109375" style="491" customWidth="1"/>
    <col min="2" max="2" width="43.5546875" style="491" customWidth="1"/>
    <col min="3" max="3" width="26.44140625" style="491" customWidth="1"/>
    <col min="4" max="4" width="9.44140625" style="491" customWidth="1"/>
    <col min="5" max="5" width="7.5546875" style="491" customWidth="1"/>
    <col min="6" max="6" width="17.44140625" style="493" customWidth="1"/>
    <col min="7" max="7" width="9.88671875" style="494" customWidth="1"/>
    <col min="8" max="8" width="19.88671875" style="491" customWidth="1"/>
    <col min="9" max="21" width="1.109375" style="492" customWidth="1"/>
    <col min="22" max="256" width="9.109375" style="492"/>
    <col min="257" max="257" width="5.109375" style="492" customWidth="1"/>
    <col min="258" max="258" width="47.44140625" style="492" customWidth="1"/>
    <col min="259" max="259" width="26.44140625" style="492" customWidth="1"/>
    <col min="260" max="260" width="9.44140625" style="492" customWidth="1"/>
    <col min="261" max="261" width="7.5546875" style="492" customWidth="1"/>
    <col min="262" max="262" width="17.44140625" style="492" customWidth="1"/>
    <col min="263" max="263" width="9.88671875" style="492" customWidth="1"/>
    <col min="264" max="264" width="13.5546875" style="492" customWidth="1"/>
    <col min="265" max="512" width="9.109375" style="492"/>
    <col min="513" max="513" width="5.109375" style="492" customWidth="1"/>
    <col min="514" max="514" width="47.44140625" style="492" customWidth="1"/>
    <col min="515" max="515" width="26.44140625" style="492" customWidth="1"/>
    <col min="516" max="516" width="9.44140625" style="492" customWidth="1"/>
    <col min="517" max="517" width="7.5546875" style="492" customWidth="1"/>
    <col min="518" max="518" width="17.44140625" style="492" customWidth="1"/>
    <col min="519" max="519" width="9.88671875" style="492" customWidth="1"/>
    <col min="520" max="520" width="13.5546875" style="492" customWidth="1"/>
    <col min="521" max="768" width="9.109375" style="492"/>
    <col min="769" max="769" width="5.109375" style="492" customWidth="1"/>
    <col min="770" max="770" width="47.44140625" style="492" customWidth="1"/>
    <col min="771" max="771" width="26.44140625" style="492" customWidth="1"/>
    <col min="772" max="772" width="9.44140625" style="492" customWidth="1"/>
    <col min="773" max="773" width="7.5546875" style="492" customWidth="1"/>
    <col min="774" max="774" width="17.44140625" style="492" customWidth="1"/>
    <col min="775" max="775" width="9.88671875" style="492" customWidth="1"/>
    <col min="776" max="776" width="13.5546875" style="492" customWidth="1"/>
    <col min="777" max="1024" width="9.109375" style="492"/>
    <col min="1025" max="1025" width="5.109375" style="492" customWidth="1"/>
    <col min="1026" max="1026" width="47.44140625" style="492" customWidth="1"/>
    <col min="1027" max="1027" width="26.44140625" style="492" customWidth="1"/>
    <col min="1028" max="1028" width="9.44140625" style="492" customWidth="1"/>
    <col min="1029" max="1029" width="7.5546875" style="492" customWidth="1"/>
    <col min="1030" max="1030" width="17.44140625" style="492" customWidth="1"/>
    <col min="1031" max="1031" width="9.88671875" style="492" customWidth="1"/>
    <col min="1032" max="1032" width="13.5546875" style="492" customWidth="1"/>
    <col min="1033" max="1280" width="9.109375" style="492"/>
    <col min="1281" max="1281" width="5.109375" style="492" customWidth="1"/>
    <col min="1282" max="1282" width="47.44140625" style="492" customWidth="1"/>
    <col min="1283" max="1283" width="26.44140625" style="492" customWidth="1"/>
    <col min="1284" max="1284" width="9.44140625" style="492" customWidth="1"/>
    <col min="1285" max="1285" width="7.5546875" style="492" customWidth="1"/>
    <col min="1286" max="1286" width="17.44140625" style="492" customWidth="1"/>
    <col min="1287" max="1287" width="9.88671875" style="492" customWidth="1"/>
    <col min="1288" max="1288" width="13.5546875" style="492" customWidth="1"/>
    <col min="1289" max="1536" width="9.109375" style="492"/>
    <col min="1537" max="1537" width="5.109375" style="492" customWidth="1"/>
    <col min="1538" max="1538" width="47.44140625" style="492" customWidth="1"/>
    <col min="1539" max="1539" width="26.44140625" style="492" customWidth="1"/>
    <col min="1540" max="1540" width="9.44140625" style="492" customWidth="1"/>
    <col min="1541" max="1541" width="7.5546875" style="492" customWidth="1"/>
    <col min="1542" max="1542" width="17.44140625" style="492" customWidth="1"/>
    <col min="1543" max="1543" width="9.88671875" style="492" customWidth="1"/>
    <col min="1544" max="1544" width="13.5546875" style="492" customWidth="1"/>
    <col min="1545" max="1792" width="9.109375" style="492"/>
    <col min="1793" max="1793" width="5.109375" style="492" customWidth="1"/>
    <col min="1794" max="1794" width="47.44140625" style="492" customWidth="1"/>
    <col min="1795" max="1795" width="26.44140625" style="492" customWidth="1"/>
    <col min="1796" max="1796" width="9.44140625" style="492" customWidth="1"/>
    <col min="1797" max="1797" width="7.5546875" style="492" customWidth="1"/>
    <col min="1798" max="1798" width="17.44140625" style="492" customWidth="1"/>
    <col min="1799" max="1799" width="9.88671875" style="492" customWidth="1"/>
    <col min="1800" max="1800" width="13.5546875" style="492" customWidth="1"/>
    <col min="1801" max="2048" width="9.109375" style="492"/>
    <col min="2049" max="2049" width="5.109375" style="492" customWidth="1"/>
    <col min="2050" max="2050" width="47.44140625" style="492" customWidth="1"/>
    <col min="2051" max="2051" width="26.44140625" style="492" customWidth="1"/>
    <col min="2052" max="2052" width="9.44140625" style="492" customWidth="1"/>
    <col min="2053" max="2053" width="7.5546875" style="492" customWidth="1"/>
    <col min="2054" max="2054" width="17.44140625" style="492" customWidth="1"/>
    <col min="2055" max="2055" width="9.88671875" style="492" customWidth="1"/>
    <col min="2056" max="2056" width="13.5546875" style="492" customWidth="1"/>
    <col min="2057" max="2304" width="9.109375" style="492"/>
    <col min="2305" max="2305" width="5.109375" style="492" customWidth="1"/>
    <col min="2306" max="2306" width="47.44140625" style="492" customWidth="1"/>
    <col min="2307" max="2307" width="26.44140625" style="492" customWidth="1"/>
    <col min="2308" max="2308" width="9.44140625" style="492" customWidth="1"/>
    <col min="2309" max="2309" width="7.5546875" style="492" customWidth="1"/>
    <col min="2310" max="2310" width="17.44140625" style="492" customWidth="1"/>
    <col min="2311" max="2311" width="9.88671875" style="492" customWidth="1"/>
    <col min="2312" max="2312" width="13.5546875" style="492" customWidth="1"/>
    <col min="2313" max="2560" width="9.109375" style="492"/>
    <col min="2561" max="2561" width="5.109375" style="492" customWidth="1"/>
    <col min="2562" max="2562" width="47.44140625" style="492" customWidth="1"/>
    <col min="2563" max="2563" width="26.44140625" style="492" customWidth="1"/>
    <col min="2564" max="2564" width="9.44140625" style="492" customWidth="1"/>
    <col min="2565" max="2565" width="7.5546875" style="492" customWidth="1"/>
    <col min="2566" max="2566" width="17.44140625" style="492" customWidth="1"/>
    <col min="2567" max="2567" width="9.88671875" style="492" customWidth="1"/>
    <col min="2568" max="2568" width="13.5546875" style="492" customWidth="1"/>
    <col min="2569" max="2816" width="9.109375" style="492"/>
    <col min="2817" max="2817" width="5.109375" style="492" customWidth="1"/>
    <col min="2818" max="2818" width="47.44140625" style="492" customWidth="1"/>
    <col min="2819" max="2819" width="26.44140625" style="492" customWidth="1"/>
    <col min="2820" max="2820" width="9.44140625" style="492" customWidth="1"/>
    <col min="2821" max="2821" width="7.5546875" style="492" customWidth="1"/>
    <col min="2822" max="2822" width="17.44140625" style="492" customWidth="1"/>
    <col min="2823" max="2823" width="9.88671875" style="492" customWidth="1"/>
    <col min="2824" max="2824" width="13.5546875" style="492" customWidth="1"/>
    <col min="2825" max="3072" width="9.109375" style="492"/>
    <col min="3073" max="3073" width="5.109375" style="492" customWidth="1"/>
    <col min="3074" max="3074" width="47.44140625" style="492" customWidth="1"/>
    <col min="3075" max="3075" width="26.44140625" style="492" customWidth="1"/>
    <col min="3076" max="3076" width="9.44140625" style="492" customWidth="1"/>
    <col min="3077" max="3077" width="7.5546875" style="492" customWidth="1"/>
    <col min="3078" max="3078" width="17.44140625" style="492" customWidth="1"/>
    <col min="3079" max="3079" width="9.88671875" style="492" customWidth="1"/>
    <col min="3080" max="3080" width="13.5546875" style="492" customWidth="1"/>
    <col min="3081" max="3328" width="9.109375" style="492"/>
    <col min="3329" max="3329" width="5.109375" style="492" customWidth="1"/>
    <col min="3330" max="3330" width="47.44140625" style="492" customWidth="1"/>
    <col min="3331" max="3331" width="26.44140625" style="492" customWidth="1"/>
    <col min="3332" max="3332" width="9.44140625" style="492" customWidth="1"/>
    <col min="3333" max="3333" width="7.5546875" style="492" customWidth="1"/>
    <col min="3334" max="3334" width="17.44140625" style="492" customWidth="1"/>
    <col min="3335" max="3335" width="9.88671875" style="492" customWidth="1"/>
    <col min="3336" max="3336" width="13.5546875" style="492" customWidth="1"/>
    <col min="3337" max="3584" width="9.109375" style="492"/>
    <col min="3585" max="3585" width="5.109375" style="492" customWidth="1"/>
    <col min="3586" max="3586" width="47.44140625" style="492" customWidth="1"/>
    <col min="3587" max="3587" width="26.44140625" style="492" customWidth="1"/>
    <col min="3588" max="3588" width="9.44140625" style="492" customWidth="1"/>
    <col min="3589" max="3589" width="7.5546875" style="492" customWidth="1"/>
    <col min="3590" max="3590" width="17.44140625" style="492" customWidth="1"/>
    <col min="3591" max="3591" width="9.88671875" style="492" customWidth="1"/>
    <col min="3592" max="3592" width="13.5546875" style="492" customWidth="1"/>
    <col min="3593" max="3840" width="9.109375" style="492"/>
    <col min="3841" max="3841" width="5.109375" style="492" customWidth="1"/>
    <col min="3842" max="3842" width="47.44140625" style="492" customWidth="1"/>
    <col min="3843" max="3843" width="26.44140625" style="492" customWidth="1"/>
    <col min="3844" max="3844" width="9.44140625" style="492" customWidth="1"/>
    <col min="3845" max="3845" width="7.5546875" style="492" customWidth="1"/>
    <col min="3846" max="3846" width="17.44140625" style="492" customWidth="1"/>
    <col min="3847" max="3847" width="9.88671875" style="492" customWidth="1"/>
    <col min="3848" max="3848" width="13.5546875" style="492" customWidth="1"/>
    <col min="3849" max="4096" width="9.109375" style="492"/>
    <col min="4097" max="4097" width="5.109375" style="492" customWidth="1"/>
    <col min="4098" max="4098" width="47.44140625" style="492" customWidth="1"/>
    <col min="4099" max="4099" width="26.44140625" style="492" customWidth="1"/>
    <col min="4100" max="4100" width="9.44140625" style="492" customWidth="1"/>
    <col min="4101" max="4101" width="7.5546875" style="492" customWidth="1"/>
    <col min="4102" max="4102" width="17.44140625" style="492" customWidth="1"/>
    <col min="4103" max="4103" width="9.88671875" style="492" customWidth="1"/>
    <col min="4104" max="4104" width="13.5546875" style="492" customWidth="1"/>
    <col min="4105" max="4352" width="9.109375" style="492"/>
    <col min="4353" max="4353" width="5.109375" style="492" customWidth="1"/>
    <col min="4354" max="4354" width="47.44140625" style="492" customWidth="1"/>
    <col min="4355" max="4355" width="26.44140625" style="492" customWidth="1"/>
    <col min="4356" max="4356" width="9.44140625" style="492" customWidth="1"/>
    <col min="4357" max="4357" width="7.5546875" style="492" customWidth="1"/>
    <col min="4358" max="4358" width="17.44140625" style="492" customWidth="1"/>
    <col min="4359" max="4359" width="9.88671875" style="492" customWidth="1"/>
    <col min="4360" max="4360" width="13.5546875" style="492" customWidth="1"/>
    <col min="4361" max="4608" width="9.109375" style="492"/>
    <col min="4609" max="4609" width="5.109375" style="492" customWidth="1"/>
    <col min="4610" max="4610" width="47.44140625" style="492" customWidth="1"/>
    <col min="4611" max="4611" width="26.44140625" style="492" customWidth="1"/>
    <col min="4612" max="4612" width="9.44140625" style="492" customWidth="1"/>
    <col min="4613" max="4613" width="7.5546875" style="492" customWidth="1"/>
    <col min="4614" max="4614" width="17.44140625" style="492" customWidth="1"/>
    <col min="4615" max="4615" width="9.88671875" style="492" customWidth="1"/>
    <col min="4616" max="4616" width="13.5546875" style="492" customWidth="1"/>
    <col min="4617" max="4864" width="9.109375" style="492"/>
    <col min="4865" max="4865" width="5.109375" style="492" customWidth="1"/>
    <col min="4866" max="4866" width="47.44140625" style="492" customWidth="1"/>
    <col min="4867" max="4867" width="26.44140625" style="492" customWidth="1"/>
    <col min="4868" max="4868" width="9.44140625" style="492" customWidth="1"/>
    <col min="4869" max="4869" width="7.5546875" style="492" customWidth="1"/>
    <col min="4870" max="4870" width="17.44140625" style="492" customWidth="1"/>
    <col min="4871" max="4871" width="9.88671875" style="492" customWidth="1"/>
    <col min="4872" max="4872" width="13.5546875" style="492" customWidth="1"/>
    <col min="4873" max="5120" width="9.109375" style="492"/>
    <col min="5121" max="5121" width="5.109375" style="492" customWidth="1"/>
    <col min="5122" max="5122" width="47.44140625" style="492" customWidth="1"/>
    <col min="5123" max="5123" width="26.44140625" style="492" customWidth="1"/>
    <col min="5124" max="5124" width="9.44140625" style="492" customWidth="1"/>
    <col min="5125" max="5125" width="7.5546875" style="492" customWidth="1"/>
    <col min="5126" max="5126" width="17.44140625" style="492" customWidth="1"/>
    <col min="5127" max="5127" width="9.88671875" style="492" customWidth="1"/>
    <col min="5128" max="5128" width="13.5546875" style="492" customWidth="1"/>
    <col min="5129" max="5376" width="9.109375" style="492"/>
    <col min="5377" max="5377" width="5.109375" style="492" customWidth="1"/>
    <col min="5378" max="5378" width="47.44140625" style="492" customWidth="1"/>
    <col min="5379" max="5379" width="26.44140625" style="492" customWidth="1"/>
    <col min="5380" max="5380" width="9.44140625" style="492" customWidth="1"/>
    <col min="5381" max="5381" width="7.5546875" style="492" customWidth="1"/>
    <col min="5382" max="5382" width="17.44140625" style="492" customWidth="1"/>
    <col min="5383" max="5383" width="9.88671875" style="492" customWidth="1"/>
    <col min="5384" max="5384" width="13.5546875" style="492" customWidth="1"/>
    <col min="5385" max="5632" width="9.109375" style="492"/>
    <col min="5633" max="5633" width="5.109375" style="492" customWidth="1"/>
    <col min="5634" max="5634" width="47.44140625" style="492" customWidth="1"/>
    <col min="5635" max="5635" width="26.44140625" style="492" customWidth="1"/>
    <col min="5636" max="5636" width="9.44140625" style="492" customWidth="1"/>
    <col min="5637" max="5637" width="7.5546875" style="492" customWidth="1"/>
    <col min="5638" max="5638" width="17.44140625" style="492" customWidth="1"/>
    <col min="5639" max="5639" width="9.88671875" style="492" customWidth="1"/>
    <col min="5640" max="5640" width="13.5546875" style="492" customWidth="1"/>
    <col min="5641" max="5888" width="9.109375" style="492"/>
    <col min="5889" max="5889" width="5.109375" style="492" customWidth="1"/>
    <col min="5890" max="5890" width="47.44140625" style="492" customWidth="1"/>
    <col min="5891" max="5891" width="26.44140625" style="492" customWidth="1"/>
    <col min="5892" max="5892" width="9.44140625" style="492" customWidth="1"/>
    <col min="5893" max="5893" width="7.5546875" style="492" customWidth="1"/>
    <col min="5894" max="5894" width="17.44140625" style="492" customWidth="1"/>
    <col min="5895" max="5895" width="9.88671875" style="492" customWidth="1"/>
    <col min="5896" max="5896" width="13.5546875" style="492" customWidth="1"/>
    <col min="5897" max="6144" width="9.109375" style="492"/>
    <col min="6145" max="6145" width="5.109375" style="492" customWidth="1"/>
    <col min="6146" max="6146" width="47.44140625" style="492" customWidth="1"/>
    <col min="6147" max="6147" width="26.44140625" style="492" customWidth="1"/>
    <col min="6148" max="6148" width="9.44140625" style="492" customWidth="1"/>
    <col min="6149" max="6149" width="7.5546875" style="492" customWidth="1"/>
    <col min="6150" max="6150" width="17.44140625" style="492" customWidth="1"/>
    <col min="6151" max="6151" width="9.88671875" style="492" customWidth="1"/>
    <col min="6152" max="6152" width="13.5546875" style="492" customWidth="1"/>
    <col min="6153" max="6400" width="9.109375" style="492"/>
    <col min="6401" max="6401" width="5.109375" style="492" customWidth="1"/>
    <col min="6402" max="6402" width="47.44140625" style="492" customWidth="1"/>
    <col min="6403" max="6403" width="26.44140625" style="492" customWidth="1"/>
    <col min="6404" max="6404" width="9.44140625" style="492" customWidth="1"/>
    <col min="6405" max="6405" width="7.5546875" style="492" customWidth="1"/>
    <col min="6406" max="6406" width="17.44140625" style="492" customWidth="1"/>
    <col min="6407" max="6407" width="9.88671875" style="492" customWidth="1"/>
    <col min="6408" max="6408" width="13.5546875" style="492" customWidth="1"/>
    <col min="6409" max="6656" width="9.109375" style="492"/>
    <col min="6657" max="6657" width="5.109375" style="492" customWidth="1"/>
    <col min="6658" max="6658" width="47.44140625" style="492" customWidth="1"/>
    <col min="6659" max="6659" width="26.44140625" style="492" customWidth="1"/>
    <col min="6660" max="6660" width="9.44140625" style="492" customWidth="1"/>
    <col min="6661" max="6661" width="7.5546875" style="492" customWidth="1"/>
    <col min="6662" max="6662" width="17.44140625" style="492" customWidth="1"/>
    <col min="6663" max="6663" width="9.88671875" style="492" customWidth="1"/>
    <col min="6664" max="6664" width="13.5546875" style="492" customWidth="1"/>
    <col min="6665" max="6912" width="9.109375" style="492"/>
    <col min="6913" max="6913" width="5.109375" style="492" customWidth="1"/>
    <col min="6914" max="6914" width="47.44140625" style="492" customWidth="1"/>
    <col min="6915" max="6915" width="26.44140625" style="492" customWidth="1"/>
    <col min="6916" max="6916" width="9.44140625" style="492" customWidth="1"/>
    <col min="6917" max="6917" width="7.5546875" style="492" customWidth="1"/>
    <col min="6918" max="6918" width="17.44140625" style="492" customWidth="1"/>
    <col min="6919" max="6919" width="9.88671875" style="492" customWidth="1"/>
    <col min="6920" max="6920" width="13.5546875" style="492" customWidth="1"/>
    <col min="6921" max="7168" width="9.109375" style="492"/>
    <col min="7169" max="7169" width="5.109375" style="492" customWidth="1"/>
    <col min="7170" max="7170" width="47.44140625" style="492" customWidth="1"/>
    <col min="7171" max="7171" width="26.44140625" style="492" customWidth="1"/>
    <col min="7172" max="7172" width="9.44140625" style="492" customWidth="1"/>
    <col min="7173" max="7173" width="7.5546875" style="492" customWidth="1"/>
    <col min="7174" max="7174" width="17.44140625" style="492" customWidth="1"/>
    <col min="7175" max="7175" width="9.88671875" style="492" customWidth="1"/>
    <col min="7176" max="7176" width="13.5546875" style="492" customWidth="1"/>
    <col min="7177" max="7424" width="9.109375" style="492"/>
    <col min="7425" max="7425" width="5.109375" style="492" customWidth="1"/>
    <col min="7426" max="7426" width="47.44140625" style="492" customWidth="1"/>
    <col min="7427" max="7427" width="26.44140625" style="492" customWidth="1"/>
    <col min="7428" max="7428" width="9.44140625" style="492" customWidth="1"/>
    <col min="7429" max="7429" width="7.5546875" style="492" customWidth="1"/>
    <col min="7430" max="7430" width="17.44140625" style="492" customWidth="1"/>
    <col min="7431" max="7431" width="9.88671875" style="492" customWidth="1"/>
    <col min="7432" max="7432" width="13.5546875" style="492" customWidth="1"/>
    <col min="7433" max="7680" width="9.109375" style="492"/>
    <col min="7681" max="7681" width="5.109375" style="492" customWidth="1"/>
    <col min="7682" max="7682" width="47.44140625" style="492" customWidth="1"/>
    <col min="7683" max="7683" width="26.44140625" style="492" customWidth="1"/>
    <col min="7684" max="7684" width="9.44140625" style="492" customWidth="1"/>
    <col min="7685" max="7685" width="7.5546875" style="492" customWidth="1"/>
    <col min="7686" max="7686" width="17.44140625" style="492" customWidth="1"/>
    <col min="7687" max="7687" width="9.88671875" style="492" customWidth="1"/>
    <col min="7688" max="7688" width="13.5546875" style="492" customWidth="1"/>
    <col min="7689" max="7936" width="9.109375" style="492"/>
    <col min="7937" max="7937" width="5.109375" style="492" customWidth="1"/>
    <col min="7938" max="7938" width="47.44140625" style="492" customWidth="1"/>
    <col min="7939" max="7939" width="26.44140625" style="492" customWidth="1"/>
    <col min="7940" max="7940" width="9.44140625" style="492" customWidth="1"/>
    <col min="7941" max="7941" width="7.5546875" style="492" customWidth="1"/>
    <col min="7942" max="7942" width="17.44140625" style="492" customWidth="1"/>
    <col min="7943" max="7943" width="9.88671875" style="492" customWidth="1"/>
    <col min="7944" max="7944" width="13.5546875" style="492" customWidth="1"/>
    <col min="7945" max="8192" width="9.109375" style="492"/>
    <col min="8193" max="8193" width="5.109375" style="492" customWidth="1"/>
    <col min="8194" max="8194" width="47.44140625" style="492" customWidth="1"/>
    <col min="8195" max="8195" width="26.44140625" style="492" customWidth="1"/>
    <col min="8196" max="8196" width="9.44140625" style="492" customWidth="1"/>
    <col min="8197" max="8197" width="7.5546875" style="492" customWidth="1"/>
    <col min="8198" max="8198" width="17.44140625" style="492" customWidth="1"/>
    <col min="8199" max="8199" width="9.88671875" style="492" customWidth="1"/>
    <col min="8200" max="8200" width="13.5546875" style="492" customWidth="1"/>
    <col min="8201" max="8448" width="9.109375" style="492"/>
    <col min="8449" max="8449" width="5.109375" style="492" customWidth="1"/>
    <col min="8450" max="8450" width="47.44140625" style="492" customWidth="1"/>
    <col min="8451" max="8451" width="26.44140625" style="492" customWidth="1"/>
    <col min="8452" max="8452" width="9.44140625" style="492" customWidth="1"/>
    <col min="8453" max="8453" width="7.5546875" style="492" customWidth="1"/>
    <col min="8454" max="8454" width="17.44140625" style="492" customWidth="1"/>
    <col min="8455" max="8455" width="9.88671875" style="492" customWidth="1"/>
    <col min="8456" max="8456" width="13.5546875" style="492" customWidth="1"/>
    <col min="8457" max="8704" width="9.109375" style="492"/>
    <col min="8705" max="8705" width="5.109375" style="492" customWidth="1"/>
    <col min="8706" max="8706" width="47.44140625" style="492" customWidth="1"/>
    <col min="8707" max="8707" width="26.44140625" style="492" customWidth="1"/>
    <col min="8708" max="8708" width="9.44140625" style="492" customWidth="1"/>
    <col min="8709" max="8709" width="7.5546875" style="492" customWidth="1"/>
    <col min="8710" max="8710" width="17.44140625" style="492" customWidth="1"/>
    <col min="8711" max="8711" width="9.88671875" style="492" customWidth="1"/>
    <col min="8712" max="8712" width="13.5546875" style="492" customWidth="1"/>
    <col min="8713" max="8960" width="9.109375" style="492"/>
    <col min="8961" max="8961" width="5.109375" style="492" customWidth="1"/>
    <col min="8962" max="8962" width="47.44140625" style="492" customWidth="1"/>
    <col min="8963" max="8963" width="26.44140625" style="492" customWidth="1"/>
    <col min="8964" max="8964" width="9.44140625" style="492" customWidth="1"/>
    <col min="8965" max="8965" width="7.5546875" style="492" customWidth="1"/>
    <col min="8966" max="8966" width="17.44140625" style="492" customWidth="1"/>
    <col min="8967" max="8967" width="9.88671875" style="492" customWidth="1"/>
    <col min="8968" max="8968" width="13.5546875" style="492" customWidth="1"/>
    <col min="8969" max="9216" width="9.109375" style="492"/>
    <col min="9217" max="9217" width="5.109375" style="492" customWidth="1"/>
    <col min="9218" max="9218" width="47.44140625" style="492" customWidth="1"/>
    <col min="9219" max="9219" width="26.44140625" style="492" customWidth="1"/>
    <col min="9220" max="9220" width="9.44140625" style="492" customWidth="1"/>
    <col min="9221" max="9221" width="7.5546875" style="492" customWidth="1"/>
    <col min="9222" max="9222" width="17.44140625" style="492" customWidth="1"/>
    <col min="9223" max="9223" width="9.88671875" style="492" customWidth="1"/>
    <col min="9224" max="9224" width="13.5546875" style="492" customWidth="1"/>
    <col min="9225" max="9472" width="9.109375" style="492"/>
    <col min="9473" max="9473" width="5.109375" style="492" customWidth="1"/>
    <col min="9474" max="9474" width="47.44140625" style="492" customWidth="1"/>
    <col min="9475" max="9475" width="26.44140625" style="492" customWidth="1"/>
    <col min="9476" max="9476" width="9.44140625" style="492" customWidth="1"/>
    <col min="9477" max="9477" width="7.5546875" style="492" customWidth="1"/>
    <col min="9478" max="9478" width="17.44140625" style="492" customWidth="1"/>
    <col min="9479" max="9479" width="9.88671875" style="492" customWidth="1"/>
    <col min="9480" max="9480" width="13.5546875" style="492" customWidth="1"/>
    <col min="9481" max="9728" width="9.109375" style="492"/>
    <col min="9729" max="9729" width="5.109375" style="492" customWidth="1"/>
    <col min="9730" max="9730" width="47.44140625" style="492" customWidth="1"/>
    <col min="9731" max="9731" width="26.44140625" style="492" customWidth="1"/>
    <col min="9732" max="9732" width="9.44140625" style="492" customWidth="1"/>
    <col min="9733" max="9733" width="7.5546875" style="492" customWidth="1"/>
    <col min="9734" max="9734" width="17.44140625" style="492" customWidth="1"/>
    <col min="9735" max="9735" width="9.88671875" style="492" customWidth="1"/>
    <col min="9736" max="9736" width="13.5546875" style="492" customWidth="1"/>
    <col min="9737" max="9984" width="9.109375" style="492"/>
    <col min="9985" max="9985" width="5.109375" style="492" customWidth="1"/>
    <col min="9986" max="9986" width="47.44140625" style="492" customWidth="1"/>
    <col min="9987" max="9987" width="26.44140625" style="492" customWidth="1"/>
    <col min="9988" max="9988" width="9.44140625" style="492" customWidth="1"/>
    <col min="9989" max="9989" width="7.5546875" style="492" customWidth="1"/>
    <col min="9990" max="9990" width="17.44140625" style="492" customWidth="1"/>
    <col min="9991" max="9991" width="9.88671875" style="492" customWidth="1"/>
    <col min="9992" max="9992" width="13.5546875" style="492" customWidth="1"/>
    <col min="9993" max="10240" width="9.109375" style="492"/>
    <col min="10241" max="10241" width="5.109375" style="492" customWidth="1"/>
    <col min="10242" max="10242" width="47.44140625" style="492" customWidth="1"/>
    <col min="10243" max="10243" width="26.44140625" style="492" customWidth="1"/>
    <col min="10244" max="10244" width="9.44140625" style="492" customWidth="1"/>
    <col min="10245" max="10245" width="7.5546875" style="492" customWidth="1"/>
    <col min="10246" max="10246" width="17.44140625" style="492" customWidth="1"/>
    <col min="10247" max="10247" width="9.88671875" style="492" customWidth="1"/>
    <col min="10248" max="10248" width="13.5546875" style="492" customWidth="1"/>
    <col min="10249" max="10496" width="9.109375" style="492"/>
    <col min="10497" max="10497" width="5.109375" style="492" customWidth="1"/>
    <col min="10498" max="10498" width="47.44140625" style="492" customWidth="1"/>
    <col min="10499" max="10499" width="26.44140625" style="492" customWidth="1"/>
    <col min="10500" max="10500" width="9.44140625" style="492" customWidth="1"/>
    <col min="10501" max="10501" width="7.5546875" style="492" customWidth="1"/>
    <col min="10502" max="10502" width="17.44140625" style="492" customWidth="1"/>
    <col min="10503" max="10503" width="9.88671875" style="492" customWidth="1"/>
    <col min="10504" max="10504" width="13.5546875" style="492" customWidth="1"/>
    <col min="10505" max="10752" width="9.109375" style="492"/>
    <col min="10753" max="10753" width="5.109375" style="492" customWidth="1"/>
    <col min="10754" max="10754" width="47.44140625" style="492" customWidth="1"/>
    <col min="10755" max="10755" width="26.44140625" style="492" customWidth="1"/>
    <col min="10756" max="10756" width="9.44140625" style="492" customWidth="1"/>
    <col min="10757" max="10757" width="7.5546875" style="492" customWidth="1"/>
    <col min="10758" max="10758" width="17.44140625" style="492" customWidth="1"/>
    <col min="10759" max="10759" width="9.88671875" style="492" customWidth="1"/>
    <col min="10760" max="10760" width="13.5546875" style="492" customWidth="1"/>
    <col min="10761" max="11008" width="9.109375" style="492"/>
    <col min="11009" max="11009" width="5.109375" style="492" customWidth="1"/>
    <col min="11010" max="11010" width="47.44140625" style="492" customWidth="1"/>
    <col min="11011" max="11011" width="26.44140625" style="492" customWidth="1"/>
    <col min="11012" max="11012" width="9.44140625" style="492" customWidth="1"/>
    <col min="11013" max="11013" width="7.5546875" style="492" customWidth="1"/>
    <col min="11014" max="11014" width="17.44140625" style="492" customWidth="1"/>
    <col min="11015" max="11015" width="9.88671875" style="492" customWidth="1"/>
    <col min="11016" max="11016" width="13.5546875" style="492" customWidth="1"/>
    <col min="11017" max="11264" width="9.109375" style="492"/>
    <col min="11265" max="11265" width="5.109375" style="492" customWidth="1"/>
    <col min="11266" max="11266" width="47.44140625" style="492" customWidth="1"/>
    <col min="11267" max="11267" width="26.44140625" style="492" customWidth="1"/>
    <col min="11268" max="11268" width="9.44140625" style="492" customWidth="1"/>
    <col min="11269" max="11269" width="7.5546875" style="492" customWidth="1"/>
    <col min="11270" max="11270" width="17.44140625" style="492" customWidth="1"/>
    <col min="11271" max="11271" width="9.88671875" style="492" customWidth="1"/>
    <col min="11272" max="11272" width="13.5546875" style="492" customWidth="1"/>
    <col min="11273" max="11520" width="9.109375" style="492"/>
    <col min="11521" max="11521" width="5.109375" style="492" customWidth="1"/>
    <col min="11522" max="11522" width="47.44140625" style="492" customWidth="1"/>
    <col min="11523" max="11523" width="26.44140625" style="492" customWidth="1"/>
    <col min="11524" max="11524" width="9.44140625" style="492" customWidth="1"/>
    <col min="11525" max="11525" width="7.5546875" style="492" customWidth="1"/>
    <col min="11526" max="11526" width="17.44140625" style="492" customWidth="1"/>
    <col min="11527" max="11527" width="9.88671875" style="492" customWidth="1"/>
    <col min="11528" max="11528" width="13.5546875" style="492" customWidth="1"/>
    <col min="11529" max="11776" width="9.109375" style="492"/>
    <col min="11777" max="11777" width="5.109375" style="492" customWidth="1"/>
    <col min="11778" max="11778" width="47.44140625" style="492" customWidth="1"/>
    <col min="11779" max="11779" width="26.44140625" style="492" customWidth="1"/>
    <col min="11780" max="11780" width="9.44140625" style="492" customWidth="1"/>
    <col min="11781" max="11781" width="7.5546875" style="492" customWidth="1"/>
    <col min="11782" max="11782" width="17.44140625" style="492" customWidth="1"/>
    <col min="11783" max="11783" width="9.88671875" style="492" customWidth="1"/>
    <col min="11784" max="11784" width="13.5546875" style="492" customWidth="1"/>
    <col min="11785" max="12032" width="9.109375" style="492"/>
    <col min="12033" max="12033" width="5.109375" style="492" customWidth="1"/>
    <col min="12034" max="12034" width="47.44140625" style="492" customWidth="1"/>
    <col min="12035" max="12035" width="26.44140625" style="492" customWidth="1"/>
    <col min="12036" max="12036" width="9.44140625" style="492" customWidth="1"/>
    <col min="12037" max="12037" width="7.5546875" style="492" customWidth="1"/>
    <col min="12038" max="12038" width="17.44140625" style="492" customWidth="1"/>
    <col min="12039" max="12039" width="9.88671875" style="492" customWidth="1"/>
    <col min="12040" max="12040" width="13.5546875" style="492" customWidth="1"/>
    <col min="12041" max="12288" width="9.109375" style="492"/>
    <col min="12289" max="12289" width="5.109375" style="492" customWidth="1"/>
    <col min="12290" max="12290" width="47.44140625" style="492" customWidth="1"/>
    <col min="12291" max="12291" width="26.44140625" style="492" customWidth="1"/>
    <col min="12292" max="12292" width="9.44140625" style="492" customWidth="1"/>
    <col min="12293" max="12293" width="7.5546875" style="492" customWidth="1"/>
    <col min="12294" max="12294" width="17.44140625" style="492" customWidth="1"/>
    <col min="12295" max="12295" width="9.88671875" style="492" customWidth="1"/>
    <col min="12296" max="12296" width="13.5546875" style="492" customWidth="1"/>
    <col min="12297" max="12544" width="9.109375" style="492"/>
    <col min="12545" max="12545" width="5.109375" style="492" customWidth="1"/>
    <col min="12546" max="12546" width="47.44140625" style="492" customWidth="1"/>
    <col min="12547" max="12547" width="26.44140625" style="492" customWidth="1"/>
    <col min="12548" max="12548" width="9.44140625" style="492" customWidth="1"/>
    <col min="12549" max="12549" width="7.5546875" style="492" customWidth="1"/>
    <col min="12550" max="12550" width="17.44140625" style="492" customWidth="1"/>
    <col min="12551" max="12551" width="9.88671875" style="492" customWidth="1"/>
    <col min="12552" max="12552" width="13.5546875" style="492" customWidth="1"/>
    <col min="12553" max="12800" width="9.109375" style="492"/>
    <col min="12801" max="12801" width="5.109375" style="492" customWidth="1"/>
    <col min="12802" max="12802" width="47.44140625" style="492" customWidth="1"/>
    <col min="12803" max="12803" width="26.44140625" style="492" customWidth="1"/>
    <col min="12804" max="12804" width="9.44140625" style="492" customWidth="1"/>
    <col min="12805" max="12805" width="7.5546875" style="492" customWidth="1"/>
    <col min="12806" max="12806" width="17.44140625" style="492" customWidth="1"/>
    <col min="12807" max="12807" width="9.88671875" style="492" customWidth="1"/>
    <col min="12808" max="12808" width="13.5546875" style="492" customWidth="1"/>
    <col min="12809" max="13056" width="9.109375" style="492"/>
    <col min="13057" max="13057" width="5.109375" style="492" customWidth="1"/>
    <col min="13058" max="13058" width="47.44140625" style="492" customWidth="1"/>
    <col min="13059" max="13059" width="26.44140625" style="492" customWidth="1"/>
    <col min="13060" max="13060" width="9.44140625" style="492" customWidth="1"/>
    <col min="13061" max="13061" width="7.5546875" style="492" customWidth="1"/>
    <col min="13062" max="13062" width="17.44140625" style="492" customWidth="1"/>
    <col min="13063" max="13063" width="9.88671875" style="492" customWidth="1"/>
    <col min="13064" max="13064" width="13.5546875" style="492" customWidth="1"/>
    <col min="13065" max="13312" width="9.109375" style="492"/>
    <col min="13313" max="13313" width="5.109375" style="492" customWidth="1"/>
    <col min="13314" max="13314" width="47.44140625" style="492" customWidth="1"/>
    <col min="13315" max="13315" width="26.44140625" style="492" customWidth="1"/>
    <col min="13316" max="13316" width="9.44140625" style="492" customWidth="1"/>
    <col min="13317" max="13317" width="7.5546875" style="492" customWidth="1"/>
    <col min="13318" max="13318" width="17.44140625" style="492" customWidth="1"/>
    <col min="13319" max="13319" width="9.88671875" style="492" customWidth="1"/>
    <col min="13320" max="13320" width="13.5546875" style="492" customWidth="1"/>
    <col min="13321" max="13568" width="9.109375" style="492"/>
    <col min="13569" max="13569" width="5.109375" style="492" customWidth="1"/>
    <col min="13570" max="13570" width="47.44140625" style="492" customWidth="1"/>
    <col min="13571" max="13571" width="26.44140625" style="492" customWidth="1"/>
    <col min="13572" max="13572" width="9.44140625" style="492" customWidth="1"/>
    <col min="13573" max="13573" width="7.5546875" style="492" customWidth="1"/>
    <col min="13574" max="13574" width="17.44140625" style="492" customWidth="1"/>
    <col min="13575" max="13575" width="9.88671875" style="492" customWidth="1"/>
    <col min="13576" max="13576" width="13.5546875" style="492" customWidth="1"/>
    <col min="13577" max="13824" width="9.109375" style="492"/>
    <col min="13825" max="13825" width="5.109375" style="492" customWidth="1"/>
    <col min="13826" max="13826" width="47.44140625" style="492" customWidth="1"/>
    <col min="13827" max="13827" width="26.44140625" style="492" customWidth="1"/>
    <col min="13828" max="13828" width="9.44140625" style="492" customWidth="1"/>
    <col min="13829" max="13829" width="7.5546875" style="492" customWidth="1"/>
    <col min="13830" max="13830" width="17.44140625" style="492" customWidth="1"/>
    <col min="13831" max="13831" width="9.88671875" style="492" customWidth="1"/>
    <col min="13832" max="13832" width="13.5546875" style="492" customWidth="1"/>
    <col min="13833" max="14080" width="9.109375" style="492"/>
    <col min="14081" max="14081" width="5.109375" style="492" customWidth="1"/>
    <col min="14082" max="14082" width="47.44140625" style="492" customWidth="1"/>
    <col min="14083" max="14083" width="26.44140625" style="492" customWidth="1"/>
    <col min="14084" max="14084" width="9.44140625" style="492" customWidth="1"/>
    <col min="14085" max="14085" width="7.5546875" style="492" customWidth="1"/>
    <col min="14086" max="14086" width="17.44140625" style="492" customWidth="1"/>
    <col min="14087" max="14087" width="9.88671875" style="492" customWidth="1"/>
    <col min="14088" max="14088" width="13.5546875" style="492" customWidth="1"/>
    <col min="14089" max="14336" width="9.109375" style="492"/>
    <col min="14337" max="14337" width="5.109375" style="492" customWidth="1"/>
    <col min="14338" max="14338" width="47.44140625" style="492" customWidth="1"/>
    <col min="14339" max="14339" width="26.44140625" style="492" customWidth="1"/>
    <col min="14340" max="14340" width="9.44140625" style="492" customWidth="1"/>
    <col min="14341" max="14341" width="7.5546875" style="492" customWidth="1"/>
    <col min="14342" max="14342" width="17.44140625" style="492" customWidth="1"/>
    <col min="14343" max="14343" width="9.88671875" style="492" customWidth="1"/>
    <col min="14344" max="14344" width="13.5546875" style="492" customWidth="1"/>
    <col min="14345" max="14592" width="9.109375" style="492"/>
    <col min="14593" max="14593" width="5.109375" style="492" customWidth="1"/>
    <col min="14594" max="14594" width="47.44140625" style="492" customWidth="1"/>
    <col min="14595" max="14595" width="26.44140625" style="492" customWidth="1"/>
    <col min="14596" max="14596" width="9.44140625" style="492" customWidth="1"/>
    <col min="14597" max="14597" width="7.5546875" style="492" customWidth="1"/>
    <col min="14598" max="14598" width="17.44140625" style="492" customWidth="1"/>
    <col min="14599" max="14599" width="9.88671875" style="492" customWidth="1"/>
    <col min="14600" max="14600" width="13.5546875" style="492" customWidth="1"/>
    <col min="14601" max="14848" width="9.109375" style="492"/>
    <col min="14849" max="14849" width="5.109375" style="492" customWidth="1"/>
    <col min="14850" max="14850" width="47.44140625" style="492" customWidth="1"/>
    <col min="14851" max="14851" width="26.44140625" style="492" customWidth="1"/>
    <col min="14852" max="14852" width="9.44140625" style="492" customWidth="1"/>
    <col min="14853" max="14853" width="7.5546875" style="492" customWidth="1"/>
    <col min="14854" max="14854" width="17.44140625" style="492" customWidth="1"/>
    <col min="14855" max="14855" width="9.88671875" style="492" customWidth="1"/>
    <col min="14856" max="14856" width="13.5546875" style="492" customWidth="1"/>
    <col min="14857" max="15104" width="9.109375" style="492"/>
    <col min="15105" max="15105" width="5.109375" style="492" customWidth="1"/>
    <col min="15106" max="15106" width="47.44140625" style="492" customWidth="1"/>
    <col min="15107" max="15107" width="26.44140625" style="492" customWidth="1"/>
    <col min="15108" max="15108" width="9.44140625" style="492" customWidth="1"/>
    <col min="15109" max="15109" width="7.5546875" style="492" customWidth="1"/>
    <col min="15110" max="15110" width="17.44140625" style="492" customWidth="1"/>
    <col min="15111" max="15111" width="9.88671875" style="492" customWidth="1"/>
    <col min="15112" max="15112" width="13.5546875" style="492" customWidth="1"/>
    <col min="15113" max="15360" width="9.109375" style="492"/>
    <col min="15361" max="15361" width="5.109375" style="492" customWidth="1"/>
    <col min="15362" max="15362" width="47.44140625" style="492" customWidth="1"/>
    <col min="15363" max="15363" width="26.44140625" style="492" customWidth="1"/>
    <col min="15364" max="15364" width="9.44140625" style="492" customWidth="1"/>
    <col min="15365" max="15365" width="7.5546875" style="492" customWidth="1"/>
    <col min="15366" max="15366" width="17.44140625" style="492" customWidth="1"/>
    <col min="15367" max="15367" width="9.88671875" style="492" customWidth="1"/>
    <col min="15368" max="15368" width="13.5546875" style="492" customWidth="1"/>
    <col min="15369" max="15616" width="9.109375" style="492"/>
    <col min="15617" max="15617" width="5.109375" style="492" customWidth="1"/>
    <col min="15618" max="15618" width="47.44140625" style="492" customWidth="1"/>
    <col min="15619" max="15619" width="26.44140625" style="492" customWidth="1"/>
    <col min="15620" max="15620" width="9.44140625" style="492" customWidth="1"/>
    <col min="15621" max="15621" width="7.5546875" style="492" customWidth="1"/>
    <col min="15622" max="15622" width="17.44140625" style="492" customWidth="1"/>
    <col min="15623" max="15623" width="9.88671875" style="492" customWidth="1"/>
    <col min="15624" max="15624" width="13.5546875" style="492" customWidth="1"/>
    <col min="15625" max="15872" width="9.109375" style="492"/>
    <col min="15873" max="15873" width="5.109375" style="492" customWidth="1"/>
    <col min="15874" max="15874" width="47.44140625" style="492" customWidth="1"/>
    <col min="15875" max="15875" width="26.44140625" style="492" customWidth="1"/>
    <col min="15876" max="15876" width="9.44140625" style="492" customWidth="1"/>
    <col min="15877" max="15877" width="7.5546875" style="492" customWidth="1"/>
    <col min="15878" max="15878" width="17.44140625" style="492" customWidth="1"/>
    <col min="15879" max="15879" width="9.88671875" style="492" customWidth="1"/>
    <col min="15880" max="15880" width="13.5546875" style="492" customWidth="1"/>
    <col min="15881" max="16128" width="9.109375" style="492"/>
    <col min="16129" max="16129" width="5.109375" style="492" customWidth="1"/>
    <col min="16130" max="16130" width="47.44140625" style="492" customWidth="1"/>
    <col min="16131" max="16131" width="26.44140625" style="492" customWidth="1"/>
    <col min="16132" max="16132" width="9.44140625" style="492" customWidth="1"/>
    <col min="16133" max="16133" width="7.5546875" style="492" customWidth="1"/>
    <col min="16134" max="16134" width="17.44140625" style="492" customWidth="1"/>
    <col min="16135" max="16135" width="9.88671875" style="492" customWidth="1"/>
    <col min="16136" max="16136" width="13.5546875" style="492" customWidth="1"/>
    <col min="16137" max="16384" width="9.109375" style="492"/>
  </cols>
  <sheetData>
    <row r="1" spans="1:8" x14ac:dyDescent="0.25">
      <c r="F1" s="1307" t="s">
        <v>603</v>
      </c>
      <c r="G1" s="1307"/>
      <c r="H1" s="1307"/>
    </row>
    <row r="2" spans="1:8" x14ac:dyDescent="0.25">
      <c r="F2" s="1307" t="s">
        <v>604</v>
      </c>
      <c r="G2" s="1307"/>
      <c r="H2" s="1307"/>
    </row>
    <row r="3" spans="1:8" x14ac:dyDescent="0.25">
      <c r="H3" s="495"/>
    </row>
    <row r="4" spans="1:8" ht="45" customHeight="1" thickBot="1" x14ac:dyDescent="0.3">
      <c r="A4" s="1308" t="s">
        <v>605</v>
      </c>
      <c r="B4" s="1309"/>
      <c r="C4" s="1309"/>
      <c r="D4" s="1309"/>
      <c r="E4" s="1309"/>
      <c r="F4" s="1309"/>
      <c r="G4" s="1309"/>
      <c r="H4" s="1309"/>
    </row>
    <row r="5" spans="1:8" ht="45.75" customHeight="1" x14ac:dyDescent="0.25">
      <c r="A5" s="1310" t="s">
        <v>606</v>
      </c>
      <c r="B5" s="1312" t="s">
        <v>607</v>
      </c>
      <c r="C5" s="1312" t="s">
        <v>608</v>
      </c>
      <c r="D5" s="1314" t="s">
        <v>609</v>
      </c>
      <c r="E5" s="1315"/>
      <c r="F5" s="1312" t="s">
        <v>610</v>
      </c>
      <c r="G5" s="1316" t="s">
        <v>611</v>
      </c>
      <c r="H5" s="1318" t="s">
        <v>612</v>
      </c>
    </row>
    <row r="6" spans="1:8" ht="14.4" thickBot="1" x14ac:dyDescent="0.3">
      <c r="A6" s="1311"/>
      <c r="B6" s="1313"/>
      <c r="C6" s="1313"/>
      <c r="D6" s="496" t="s">
        <v>109</v>
      </c>
      <c r="E6" s="497" t="s">
        <v>26</v>
      </c>
      <c r="F6" s="1313"/>
      <c r="G6" s="1317"/>
      <c r="H6" s="1319"/>
    </row>
    <row r="7" spans="1:8" x14ac:dyDescent="0.25">
      <c r="A7" s="1310">
        <v>1</v>
      </c>
      <c r="B7" s="1312"/>
      <c r="C7" s="1312"/>
      <c r="D7" s="1312" t="s">
        <v>443</v>
      </c>
      <c r="E7" s="1312">
        <v>1</v>
      </c>
      <c r="F7" s="498" t="s">
        <v>613</v>
      </c>
      <c r="G7" s="499">
        <v>200</v>
      </c>
      <c r="H7" s="1318"/>
    </row>
    <row r="8" spans="1:8" ht="27.6" x14ac:dyDescent="0.25">
      <c r="A8" s="1321"/>
      <c r="B8" s="1323"/>
      <c r="C8" s="1323"/>
      <c r="D8" s="1323"/>
      <c r="E8" s="1323"/>
      <c r="F8" s="500" t="s">
        <v>614</v>
      </c>
      <c r="G8" s="501">
        <v>50</v>
      </c>
      <c r="H8" s="1326"/>
    </row>
    <row r="9" spans="1:8" ht="27.6" x14ac:dyDescent="0.25">
      <c r="A9" s="1320">
        <v>2</v>
      </c>
      <c r="B9" s="1322"/>
      <c r="C9" s="1322"/>
      <c r="D9" s="1324" t="s">
        <v>443</v>
      </c>
      <c r="E9" s="1322">
        <v>2</v>
      </c>
      <c r="F9" s="500" t="s">
        <v>615</v>
      </c>
      <c r="G9" s="501">
        <v>200</v>
      </c>
      <c r="H9" s="1325"/>
    </row>
    <row r="10" spans="1:8" ht="27.6" x14ac:dyDescent="0.25">
      <c r="A10" s="1321"/>
      <c r="B10" s="1323"/>
      <c r="C10" s="1323"/>
      <c r="D10" s="1323"/>
      <c r="E10" s="1323"/>
      <c r="F10" s="500" t="s">
        <v>616</v>
      </c>
      <c r="G10" s="501">
        <v>50</v>
      </c>
      <c r="H10" s="1326"/>
    </row>
    <row r="11" spans="1:8" x14ac:dyDescent="0.25">
      <c r="A11" s="1333">
        <v>3</v>
      </c>
      <c r="B11" s="1324"/>
      <c r="C11" s="1324"/>
      <c r="D11" s="1324" t="s">
        <v>443</v>
      </c>
      <c r="E11" s="1324">
        <v>3</v>
      </c>
      <c r="F11" s="502" t="s">
        <v>617</v>
      </c>
      <c r="G11" s="503">
        <v>200</v>
      </c>
      <c r="H11" s="1336"/>
    </row>
    <row r="12" spans="1:8" ht="28.2" thickBot="1" x14ac:dyDescent="0.3">
      <c r="A12" s="1334"/>
      <c r="B12" s="1335"/>
      <c r="C12" s="1335"/>
      <c r="D12" s="1335"/>
      <c r="E12" s="1335"/>
      <c r="F12" s="504" t="s">
        <v>618</v>
      </c>
      <c r="G12" s="505">
        <v>50</v>
      </c>
      <c r="H12" s="1337"/>
    </row>
    <row r="13" spans="1:8" x14ac:dyDescent="0.25">
      <c r="A13" s="1327">
        <v>4</v>
      </c>
      <c r="B13" s="1329"/>
      <c r="C13" s="1329"/>
      <c r="D13" s="1329" t="s">
        <v>443</v>
      </c>
      <c r="E13" s="1329">
        <v>1</v>
      </c>
      <c r="F13" s="498" t="s">
        <v>613</v>
      </c>
      <c r="G13" s="499">
        <v>200</v>
      </c>
      <c r="H13" s="1331"/>
    </row>
    <row r="14" spans="1:8" ht="27.6" x14ac:dyDescent="0.25">
      <c r="A14" s="1328"/>
      <c r="B14" s="1330"/>
      <c r="C14" s="1330"/>
      <c r="D14" s="1330"/>
      <c r="E14" s="1330"/>
      <c r="F14" s="500" t="s">
        <v>614</v>
      </c>
      <c r="G14" s="501">
        <v>50</v>
      </c>
      <c r="H14" s="1332"/>
    </row>
    <row r="15" spans="1:8" ht="27.6" x14ac:dyDescent="0.25">
      <c r="A15" s="1338">
        <v>5</v>
      </c>
      <c r="B15" s="1340"/>
      <c r="C15" s="1340"/>
      <c r="D15" s="1340" t="s">
        <v>443</v>
      </c>
      <c r="E15" s="1340">
        <v>2</v>
      </c>
      <c r="F15" s="500" t="s">
        <v>615</v>
      </c>
      <c r="G15" s="501">
        <v>200</v>
      </c>
      <c r="H15" s="1342"/>
    </row>
    <row r="16" spans="1:8" ht="27.6" x14ac:dyDescent="0.25">
      <c r="A16" s="1328"/>
      <c r="B16" s="1330"/>
      <c r="C16" s="1330"/>
      <c r="D16" s="1330"/>
      <c r="E16" s="1330"/>
      <c r="F16" s="500" t="s">
        <v>616</v>
      </c>
      <c r="G16" s="501">
        <v>50</v>
      </c>
      <c r="H16" s="1332"/>
    </row>
    <row r="17" spans="1:8" x14ac:dyDescent="0.25">
      <c r="A17" s="1338">
        <v>6</v>
      </c>
      <c r="B17" s="1340"/>
      <c r="C17" s="1340"/>
      <c r="D17" s="1340" t="s">
        <v>443</v>
      </c>
      <c r="E17" s="1340">
        <v>3</v>
      </c>
      <c r="F17" s="500" t="s">
        <v>617</v>
      </c>
      <c r="G17" s="501">
        <v>200</v>
      </c>
      <c r="H17" s="1342"/>
    </row>
    <row r="18" spans="1:8" ht="28.2" thickBot="1" x14ac:dyDescent="0.3">
      <c r="A18" s="1339"/>
      <c r="B18" s="1341"/>
      <c r="C18" s="1341"/>
      <c r="D18" s="1341"/>
      <c r="E18" s="1341"/>
      <c r="F18" s="504" t="s">
        <v>618</v>
      </c>
      <c r="G18" s="505">
        <v>50</v>
      </c>
      <c r="H18" s="1343"/>
    </row>
    <row r="19" spans="1:8" s="509" customFormat="1" ht="87" customHeight="1" thickBot="1" x14ac:dyDescent="0.3">
      <c r="A19" s="506"/>
      <c r="B19" s="506"/>
      <c r="C19" s="506"/>
      <c r="D19" s="506"/>
      <c r="E19" s="506"/>
      <c r="F19" s="507"/>
      <c r="G19" s="508"/>
      <c r="H19" s="506"/>
    </row>
    <row r="20" spans="1:8" x14ac:dyDescent="0.25">
      <c r="A20" s="1310">
        <v>7</v>
      </c>
      <c r="B20" s="1346"/>
      <c r="C20" s="1312" t="str">
        <f>'[6]Итоговый протокол'!$F$294</f>
        <v>Ярославская область</v>
      </c>
      <c r="D20" s="1312" t="s">
        <v>619</v>
      </c>
      <c r="E20" s="1312">
        <v>1</v>
      </c>
      <c r="F20" s="498" t="s">
        <v>613</v>
      </c>
      <c r="G20" s="499">
        <v>200</v>
      </c>
      <c r="H20" s="1318"/>
    </row>
    <row r="21" spans="1:8" ht="27.6" x14ac:dyDescent="0.25">
      <c r="A21" s="1321"/>
      <c r="B21" s="1345"/>
      <c r="C21" s="1323"/>
      <c r="D21" s="1323"/>
      <c r="E21" s="1323"/>
      <c r="F21" s="500" t="s">
        <v>614</v>
      </c>
      <c r="G21" s="501">
        <v>50</v>
      </c>
      <c r="H21" s="1326"/>
    </row>
    <row r="22" spans="1:8" x14ac:dyDescent="0.25">
      <c r="A22" s="1320">
        <v>8</v>
      </c>
      <c r="B22" s="1344"/>
      <c r="C22" s="1322" t="str">
        <f>'[6]Итоговый протокол'!$F$294</f>
        <v>Ярославская область</v>
      </c>
      <c r="D22" s="1322" t="s">
        <v>619</v>
      </c>
      <c r="E22" s="1322">
        <v>1</v>
      </c>
      <c r="F22" s="500" t="s">
        <v>613</v>
      </c>
      <c r="G22" s="501">
        <v>200</v>
      </c>
      <c r="H22" s="1325"/>
    </row>
    <row r="23" spans="1:8" ht="27.6" x14ac:dyDescent="0.25">
      <c r="A23" s="1321"/>
      <c r="B23" s="1345"/>
      <c r="C23" s="1323"/>
      <c r="D23" s="1323"/>
      <c r="E23" s="1323"/>
      <c r="F23" s="500" t="s">
        <v>614</v>
      </c>
      <c r="G23" s="501">
        <v>50</v>
      </c>
      <c r="H23" s="1326"/>
    </row>
    <row r="24" spans="1:8" x14ac:dyDescent="0.25">
      <c r="A24" s="1320">
        <f>A22+1</f>
        <v>9</v>
      </c>
      <c r="B24" s="1344"/>
      <c r="C24" s="1322" t="str">
        <f>'[6]Итоговый протокол'!$F$294</f>
        <v>Ярославская область</v>
      </c>
      <c r="D24" s="1322" t="s">
        <v>619</v>
      </c>
      <c r="E24" s="1322">
        <v>1</v>
      </c>
      <c r="F24" s="500" t="s">
        <v>613</v>
      </c>
      <c r="G24" s="501">
        <v>200</v>
      </c>
      <c r="H24" s="1325"/>
    </row>
    <row r="25" spans="1:8" ht="27.6" x14ac:dyDescent="0.25">
      <c r="A25" s="1321"/>
      <c r="B25" s="1345"/>
      <c r="C25" s="1323"/>
      <c r="D25" s="1323"/>
      <c r="E25" s="1323"/>
      <c r="F25" s="500" t="s">
        <v>614</v>
      </c>
      <c r="G25" s="501">
        <v>50</v>
      </c>
      <c r="H25" s="1326"/>
    </row>
    <row r="26" spans="1:8" x14ac:dyDescent="0.25">
      <c r="A26" s="1320">
        <f>A24+1</f>
        <v>10</v>
      </c>
      <c r="B26" s="1344"/>
      <c r="C26" s="1322" t="str">
        <f>'[6]Итоговый протокол'!$F$294</f>
        <v>Ярославская область</v>
      </c>
      <c r="D26" s="1322" t="s">
        <v>619</v>
      </c>
      <c r="E26" s="1322">
        <v>1</v>
      </c>
      <c r="F26" s="500" t="s">
        <v>613</v>
      </c>
      <c r="G26" s="501">
        <v>200</v>
      </c>
      <c r="H26" s="1325"/>
    </row>
    <row r="27" spans="1:8" ht="28.2" thickBot="1" x14ac:dyDescent="0.3">
      <c r="A27" s="1334"/>
      <c r="B27" s="1347"/>
      <c r="C27" s="1335"/>
      <c r="D27" s="1335"/>
      <c r="E27" s="1335"/>
      <c r="F27" s="504" t="s">
        <v>614</v>
      </c>
      <c r="G27" s="505">
        <v>50</v>
      </c>
      <c r="H27" s="1337"/>
    </row>
    <row r="28" spans="1:8" ht="27.6" x14ac:dyDescent="0.25">
      <c r="A28" s="1310">
        <v>11</v>
      </c>
      <c r="B28" s="1346"/>
      <c r="C28" s="1312" t="str">
        <f>'[6]Итоговый протокол'!$F$300</f>
        <v>Тульская область</v>
      </c>
      <c r="D28" s="1312" t="s">
        <v>619</v>
      </c>
      <c r="E28" s="1312">
        <v>2</v>
      </c>
      <c r="F28" s="498" t="s">
        <v>615</v>
      </c>
      <c r="G28" s="499">
        <v>200</v>
      </c>
      <c r="H28" s="1318"/>
    </row>
    <row r="29" spans="1:8" ht="27.6" x14ac:dyDescent="0.25">
      <c r="A29" s="1349"/>
      <c r="B29" s="1345"/>
      <c r="C29" s="1323"/>
      <c r="D29" s="1348"/>
      <c r="E29" s="1348"/>
      <c r="F29" s="500" t="s">
        <v>616</v>
      </c>
      <c r="G29" s="501">
        <v>50</v>
      </c>
      <c r="H29" s="1350"/>
    </row>
    <row r="30" spans="1:8" ht="27.6" x14ac:dyDescent="0.25">
      <c r="A30" s="1320">
        <v>12</v>
      </c>
      <c r="B30" s="1344"/>
      <c r="C30" s="1322" t="str">
        <f>'[6]Итоговый протокол'!$F$300</f>
        <v>Тульская область</v>
      </c>
      <c r="D30" s="1322" t="s">
        <v>619</v>
      </c>
      <c r="E30" s="1322">
        <v>2</v>
      </c>
      <c r="F30" s="500" t="s">
        <v>615</v>
      </c>
      <c r="G30" s="501">
        <v>200</v>
      </c>
      <c r="H30" s="1325"/>
    </row>
    <row r="31" spans="1:8" ht="27.6" x14ac:dyDescent="0.25">
      <c r="A31" s="1321"/>
      <c r="B31" s="1345"/>
      <c r="C31" s="1323"/>
      <c r="D31" s="1348"/>
      <c r="E31" s="1323"/>
      <c r="F31" s="500" t="s">
        <v>616</v>
      </c>
      <c r="G31" s="501">
        <v>50</v>
      </c>
      <c r="H31" s="1326"/>
    </row>
    <row r="32" spans="1:8" ht="27.6" x14ac:dyDescent="0.25">
      <c r="A32" s="1320">
        <f>A30+1</f>
        <v>13</v>
      </c>
      <c r="B32" s="1344"/>
      <c r="C32" s="1322" t="str">
        <f>'[6]Итоговый протокол'!$F$300</f>
        <v>Тульская область</v>
      </c>
      <c r="D32" s="1322" t="s">
        <v>619</v>
      </c>
      <c r="E32" s="1322">
        <v>2</v>
      </c>
      <c r="F32" s="500" t="s">
        <v>615</v>
      </c>
      <c r="G32" s="501">
        <v>200</v>
      </c>
      <c r="H32" s="1325"/>
    </row>
    <row r="33" spans="1:8" ht="27.6" x14ac:dyDescent="0.25">
      <c r="A33" s="1321"/>
      <c r="B33" s="1345"/>
      <c r="C33" s="1323"/>
      <c r="D33" s="1348"/>
      <c r="E33" s="1323"/>
      <c r="F33" s="500" t="s">
        <v>616</v>
      </c>
      <c r="G33" s="501">
        <v>50</v>
      </c>
      <c r="H33" s="1326"/>
    </row>
    <row r="34" spans="1:8" ht="27.6" x14ac:dyDescent="0.25">
      <c r="A34" s="1320">
        <f>A32+1</f>
        <v>14</v>
      </c>
      <c r="B34" s="1344"/>
      <c r="C34" s="1322" t="str">
        <f>'[6]Итоговый протокол'!$F$300</f>
        <v>Тульская область</v>
      </c>
      <c r="D34" s="1322" t="s">
        <v>619</v>
      </c>
      <c r="E34" s="1322">
        <v>2</v>
      </c>
      <c r="F34" s="500" t="s">
        <v>615</v>
      </c>
      <c r="G34" s="501">
        <v>200</v>
      </c>
      <c r="H34" s="1325"/>
    </row>
    <row r="35" spans="1:8" ht="28.2" thickBot="1" x14ac:dyDescent="0.3">
      <c r="A35" s="1351"/>
      <c r="B35" s="1352"/>
      <c r="C35" s="1353"/>
      <c r="D35" s="1324"/>
      <c r="E35" s="1353"/>
      <c r="F35" s="510" t="s">
        <v>616</v>
      </c>
      <c r="G35" s="511">
        <v>50</v>
      </c>
      <c r="H35" s="1354"/>
    </row>
    <row r="36" spans="1:8" x14ac:dyDescent="0.25">
      <c r="A36" s="1358">
        <v>15</v>
      </c>
      <c r="B36" s="1359"/>
      <c r="C36" s="1329" t="str">
        <f>'[6]Итоговый протокол'!$F$304</f>
        <v>Челябинская область</v>
      </c>
      <c r="D36" s="1312" t="s">
        <v>619</v>
      </c>
      <c r="E36" s="1329">
        <v>3</v>
      </c>
      <c r="F36" s="498" t="s">
        <v>617</v>
      </c>
      <c r="G36" s="499">
        <v>200</v>
      </c>
      <c r="H36" s="1331"/>
    </row>
    <row r="37" spans="1:8" ht="27.6" x14ac:dyDescent="0.25">
      <c r="A37" s="1356"/>
      <c r="B37" s="1357"/>
      <c r="C37" s="1330"/>
      <c r="D37" s="1348"/>
      <c r="E37" s="1330"/>
      <c r="F37" s="500" t="s">
        <v>618</v>
      </c>
      <c r="G37" s="501">
        <v>50</v>
      </c>
      <c r="H37" s="1332"/>
    </row>
    <row r="38" spans="1:8" x14ac:dyDescent="0.25">
      <c r="A38" s="1355">
        <v>16</v>
      </c>
      <c r="B38" s="1357"/>
      <c r="C38" s="1340" t="str">
        <f>'[6]Итоговый протокол'!$F$304</f>
        <v>Челябинская область</v>
      </c>
      <c r="D38" s="1322" t="s">
        <v>619</v>
      </c>
      <c r="E38" s="1340">
        <v>3</v>
      </c>
      <c r="F38" s="500" t="s">
        <v>617</v>
      </c>
      <c r="G38" s="501">
        <v>200</v>
      </c>
      <c r="H38" s="1342"/>
    </row>
    <row r="39" spans="1:8" ht="27.6" x14ac:dyDescent="0.25">
      <c r="A39" s="1356"/>
      <c r="B39" s="1357"/>
      <c r="C39" s="1330"/>
      <c r="D39" s="1348"/>
      <c r="E39" s="1330"/>
      <c r="F39" s="500" t="s">
        <v>618</v>
      </c>
      <c r="G39" s="501">
        <v>50</v>
      </c>
      <c r="H39" s="1332"/>
    </row>
    <row r="40" spans="1:8" x14ac:dyDescent="0.25">
      <c r="A40" s="1355">
        <f>A38+1</f>
        <v>17</v>
      </c>
      <c r="B40" s="1357"/>
      <c r="C40" s="1340" t="str">
        <f>'[6]Итоговый протокол'!$F$304</f>
        <v>Челябинская область</v>
      </c>
      <c r="D40" s="1322" t="s">
        <v>619</v>
      </c>
      <c r="E40" s="1340">
        <v>3</v>
      </c>
      <c r="F40" s="500" t="s">
        <v>617</v>
      </c>
      <c r="G40" s="501">
        <v>200</v>
      </c>
      <c r="H40" s="1342"/>
    </row>
    <row r="41" spans="1:8" ht="27.6" x14ac:dyDescent="0.25">
      <c r="A41" s="1356"/>
      <c r="B41" s="1357"/>
      <c r="C41" s="1330"/>
      <c r="D41" s="1348"/>
      <c r="E41" s="1330"/>
      <c r="F41" s="500" t="s">
        <v>618</v>
      </c>
      <c r="G41" s="501">
        <v>50</v>
      </c>
      <c r="H41" s="1332"/>
    </row>
    <row r="42" spans="1:8" x14ac:dyDescent="0.25">
      <c r="A42" s="1355">
        <f>A40+1</f>
        <v>18</v>
      </c>
      <c r="B42" s="1357"/>
      <c r="C42" s="1340" t="str">
        <f>'[6]Итоговый протокол'!$F$304</f>
        <v>Челябинская область</v>
      </c>
      <c r="D42" s="1322" t="s">
        <v>619</v>
      </c>
      <c r="E42" s="1340">
        <v>3</v>
      </c>
      <c r="F42" s="500" t="s">
        <v>617</v>
      </c>
      <c r="G42" s="501">
        <v>200</v>
      </c>
      <c r="H42" s="1342"/>
    </row>
    <row r="43" spans="1:8" ht="28.2" thickBot="1" x14ac:dyDescent="0.3">
      <c r="A43" s="1360"/>
      <c r="B43" s="1361"/>
      <c r="C43" s="1341"/>
      <c r="D43" s="1313"/>
      <c r="E43" s="1341"/>
      <c r="F43" s="504" t="s">
        <v>618</v>
      </c>
      <c r="G43" s="505">
        <v>50</v>
      </c>
      <c r="H43" s="1343"/>
    </row>
    <row r="44" spans="1:8" x14ac:dyDescent="0.25">
      <c r="G44" s="512"/>
    </row>
    <row r="45" spans="1:8" x14ac:dyDescent="0.25">
      <c r="F45" s="493" t="s">
        <v>620</v>
      </c>
      <c r="G45" s="512">
        <f>SUM(G7:G43)</f>
        <v>4500</v>
      </c>
    </row>
  </sheetData>
  <mergeCells count="118">
    <mergeCell ref="A42:A43"/>
    <mergeCell ref="B42:B43"/>
    <mergeCell ref="C42:C43"/>
    <mergeCell ref="D42:D43"/>
    <mergeCell ref="E42:E43"/>
    <mergeCell ref="H42:H43"/>
    <mergeCell ref="A40:A41"/>
    <mergeCell ref="B40:B41"/>
    <mergeCell ref="C40:C41"/>
    <mergeCell ref="D40:D41"/>
    <mergeCell ref="E40:E41"/>
    <mergeCell ref="H40:H41"/>
    <mergeCell ref="A38:A39"/>
    <mergeCell ref="B38:B39"/>
    <mergeCell ref="C38:C39"/>
    <mergeCell ref="D38:D39"/>
    <mergeCell ref="E38:E39"/>
    <mergeCell ref="H38:H39"/>
    <mergeCell ref="A36:A37"/>
    <mergeCell ref="B36:B37"/>
    <mergeCell ref="C36:C37"/>
    <mergeCell ref="D36:D37"/>
    <mergeCell ref="E36:E37"/>
    <mergeCell ref="H36:H37"/>
    <mergeCell ref="A34:A35"/>
    <mergeCell ref="B34:B35"/>
    <mergeCell ref="C34:C35"/>
    <mergeCell ref="D34:D35"/>
    <mergeCell ref="E34:E35"/>
    <mergeCell ref="H34:H35"/>
    <mergeCell ref="A32:A33"/>
    <mergeCell ref="B32:B33"/>
    <mergeCell ref="C32:C33"/>
    <mergeCell ref="D32:D33"/>
    <mergeCell ref="E32:E33"/>
    <mergeCell ref="H32:H33"/>
    <mergeCell ref="A30:A31"/>
    <mergeCell ref="B30:B31"/>
    <mergeCell ref="C30:C31"/>
    <mergeCell ref="D30:D31"/>
    <mergeCell ref="E30:E31"/>
    <mergeCell ref="H30:H31"/>
    <mergeCell ref="A28:A29"/>
    <mergeCell ref="B28:B29"/>
    <mergeCell ref="C28:C29"/>
    <mergeCell ref="D28:D29"/>
    <mergeCell ref="E28:E29"/>
    <mergeCell ref="H28:H29"/>
    <mergeCell ref="A26:A27"/>
    <mergeCell ref="B26:B27"/>
    <mergeCell ref="C26:C27"/>
    <mergeCell ref="D26:D27"/>
    <mergeCell ref="E26:E27"/>
    <mergeCell ref="H26:H27"/>
    <mergeCell ref="A24:A25"/>
    <mergeCell ref="B24:B25"/>
    <mergeCell ref="C24:C25"/>
    <mergeCell ref="D24:D25"/>
    <mergeCell ref="E24:E25"/>
    <mergeCell ref="H24:H25"/>
    <mergeCell ref="A22:A23"/>
    <mergeCell ref="B22:B23"/>
    <mergeCell ref="C22:C23"/>
    <mergeCell ref="D22:D23"/>
    <mergeCell ref="E22:E23"/>
    <mergeCell ref="H22:H23"/>
    <mergeCell ref="A20:A21"/>
    <mergeCell ref="B20:B21"/>
    <mergeCell ref="C20:C21"/>
    <mergeCell ref="D20:D21"/>
    <mergeCell ref="E20:E21"/>
    <mergeCell ref="H20:H21"/>
    <mergeCell ref="A17:A18"/>
    <mergeCell ref="B17:B18"/>
    <mergeCell ref="C17:C18"/>
    <mergeCell ref="D17:D18"/>
    <mergeCell ref="E17:E18"/>
    <mergeCell ref="H17:H18"/>
    <mergeCell ref="A15:A16"/>
    <mergeCell ref="B15:B16"/>
    <mergeCell ref="C15:C16"/>
    <mergeCell ref="D15:D16"/>
    <mergeCell ref="E15:E16"/>
    <mergeCell ref="H15:H16"/>
    <mergeCell ref="A13:A14"/>
    <mergeCell ref="B13:B14"/>
    <mergeCell ref="C13:C14"/>
    <mergeCell ref="D13:D14"/>
    <mergeCell ref="E13:E14"/>
    <mergeCell ref="H13:H14"/>
    <mergeCell ref="A11:A12"/>
    <mergeCell ref="B11:B12"/>
    <mergeCell ref="C11:C12"/>
    <mergeCell ref="D11:D12"/>
    <mergeCell ref="E11:E12"/>
    <mergeCell ref="H11:H12"/>
    <mergeCell ref="A9:A10"/>
    <mergeCell ref="B9:B10"/>
    <mergeCell ref="C9:C10"/>
    <mergeCell ref="D9:D10"/>
    <mergeCell ref="E9:E10"/>
    <mergeCell ref="H9:H10"/>
    <mergeCell ref="A7:A8"/>
    <mergeCell ref="B7:B8"/>
    <mergeCell ref="C7:C8"/>
    <mergeCell ref="D7:D8"/>
    <mergeCell ref="E7:E8"/>
    <mergeCell ref="H7:H8"/>
    <mergeCell ref="F1:H1"/>
    <mergeCell ref="F2:H2"/>
    <mergeCell ref="A4:H4"/>
    <mergeCell ref="A5:A6"/>
    <mergeCell ref="B5:B6"/>
    <mergeCell ref="C5:C6"/>
    <mergeCell ref="D5:E5"/>
    <mergeCell ref="F5:F6"/>
    <mergeCell ref="G5:G6"/>
    <mergeCell ref="H5:H6"/>
  </mergeCells>
  <pageMargins left="0.35433070866141736" right="0.35433070866141736" top="0.59055118110236227" bottom="0.35433070866141736" header="0" footer="0"/>
  <pageSetup paperSize="9" scale="90" orientation="landscape" r:id="rId1"/>
  <headerFooter differentFirst="1" alignWithMargins="0">
    <oddFooter>&amp;RСтр. &amp;P из &amp;N</oddFooter>
  </headerFooter>
  <rowBreaks count="1" manualBreakCount="1">
    <brk id="19" max="7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8">
    <tabColor theme="5" tint="0.59999389629810485"/>
  </sheetPr>
  <dimension ref="A1:K76"/>
  <sheetViews>
    <sheetView workbookViewId="0">
      <selection activeCell="B15" sqref="B15:C15"/>
    </sheetView>
  </sheetViews>
  <sheetFormatPr defaultRowHeight="14.4" x14ac:dyDescent="0.3"/>
  <cols>
    <col min="1" max="1" width="3.88671875" customWidth="1"/>
    <col min="2" max="2" width="19.44140625" customWidth="1"/>
    <col min="3" max="3" width="3.109375" customWidth="1"/>
    <col min="4" max="4" width="18" customWidth="1"/>
    <col min="5" max="5" width="14.6640625" customWidth="1"/>
    <col min="6" max="6" width="16.109375" customWidth="1"/>
    <col min="7" max="7" width="10" customWidth="1"/>
    <col min="8" max="8" width="11" customWidth="1"/>
    <col min="9" max="9" width="9.88671875" customWidth="1"/>
    <col min="10" max="10" width="10" customWidth="1"/>
    <col min="11" max="11" width="25.88671875" customWidth="1"/>
    <col min="12" max="30" width="0.6640625" customWidth="1"/>
  </cols>
  <sheetData>
    <row r="1" spans="1:11" ht="23.25" customHeight="1" x14ac:dyDescent="0.3">
      <c r="H1" s="1372" t="s">
        <v>266</v>
      </c>
      <c r="I1" s="1372"/>
      <c r="J1" s="1372"/>
      <c r="K1" s="1372"/>
    </row>
    <row r="2" spans="1:11" ht="15.75" customHeight="1" x14ac:dyDescent="0.3">
      <c r="H2" s="1372"/>
      <c r="I2" s="1372"/>
      <c r="J2" s="1372"/>
      <c r="K2" s="1372"/>
    </row>
    <row r="3" spans="1:11" ht="31.8" x14ac:dyDescent="0.3">
      <c r="A3" s="1373" t="s">
        <v>264</v>
      </c>
      <c r="B3" s="1373"/>
      <c r="C3" s="1373"/>
      <c r="D3" s="1373"/>
      <c r="E3" s="1373"/>
      <c r="F3" s="1373"/>
      <c r="G3" s="1373"/>
      <c r="H3" s="1373"/>
      <c r="I3" s="1373"/>
      <c r="J3" s="1373"/>
      <c r="K3" s="1373"/>
    </row>
    <row r="4" spans="1:11" ht="23.25" customHeight="1" x14ac:dyDescent="0.3">
      <c r="A4" s="272"/>
      <c r="B4" s="277" t="s">
        <v>256</v>
      </c>
      <c r="C4" s="277"/>
      <c r="D4" s="1383" t="e">
        <f>#REF!</f>
        <v>#REF!</v>
      </c>
      <c r="E4" s="1383"/>
      <c r="F4" s="1383"/>
      <c r="G4" s="1383"/>
      <c r="H4" s="1383"/>
      <c r="I4" s="1383"/>
      <c r="J4" s="1383"/>
      <c r="K4" s="1383"/>
    </row>
    <row r="5" spans="1:11" ht="36.75" customHeight="1" x14ac:dyDescent="0.3">
      <c r="A5" s="1374" t="s">
        <v>70</v>
      </c>
      <c r="B5" s="1374"/>
      <c r="C5" s="294"/>
      <c r="D5" s="1375" t="e">
        <f>#REF!</f>
        <v>#REF!</v>
      </c>
      <c r="E5" s="1376"/>
      <c r="F5" s="1376"/>
      <c r="G5" s="1376"/>
      <c r="H5" s="1376"/>
      <c r="I5" s="1376"/>
      <c r="J5" s="1376"/>
      <c r="K5" s="1376"/>
    </row>
    <row r="6" spans="1:11" ht="26.25" customHeight="1" x14ac:dyDescent="0.3">
      <c r="A6" s="1377" t="s">
        <v>260</v>
      </c>
      <c r="B6" s="1377"/>
      <c r="C6" s="295"/>
      <c r="D6" s="1378" t="e">
        <f>#REF!</f>
        <v>#REF!</v>
      </c>
      <c r="E6" s="1378"/>
      <c r="F6" s="1378"/>
      <c r="G6" s="1378"/>
      <c r="H6" s="1378"/>
      <c r="I6" s="1378"/>
      <c r="J6" s="306" t="s">
        <v>261</v>
      </c>
      <c r="K6" s="307" t="e">
        <f>#REF!</f>
        <v>#REF!</v>
      </c>
    </row>
    <row r="7" spans="1:11" ht="21" customHeight="1" x14ac:dyDescent="0.3">
      <c r="A7" s="279"/>
      <c r="B7" s="279"/>
      <c r="C7" s="279"/>
      <c r="D7" s="282"/>
      <c r="E7" s="280"/>
      <c r="F7" s="280"/>
      <c r="G7" s="280"/>
      <c r="H7" s="275"/>
      <c r="I7" s="275"/>
      <c r="J7" s="280"/>
      <c r="K7" s="280"/>
    </row>
    <row r="8" spans="1:11" ht="51" customHeight="1" x14ac:dyDescent="0.3">
      <c r="A8" s="301" t="s">
        <v>1</v>
      </c>
      <c r="B8" s="1380" t="s">
        <v>263</v>
      </c>
      <c r="C8" s="1380"/>
      <c r="D8" s="1380"/>
      <c r="E8" s="303" t="s">
        <v>254</v>
      </c>
      <c r="F8" s="542" t="s">
        <v>257</v>
      </c>
      <c r="G8" s="303" t="s">
        <v>884</v>
      </c>
      <c r="H8" s="543" t="s">
        <v>883</v>
      </c>
      <c r="I8" s="1381" t="s">
        <v>18</v>
      </c>
      <c r="J8" s="1382"/>
      <c r="K8" s="304" t="s">
        <v>258</v>
      </c>
    </row>
    <row r="9" spans="1:11" s="276" customFormat="1" ht="21" customHeight="1" x14ac:dyDescent="0.3">
      <c r="A9" s="302">
        <v>1</v>
      </c>
      <c r="B9" s="1366" t="e">
        <f>#REF!</f>
        <v>#REF!</v>
      </c>
      <c r="C9" s="1367"/>
      <c r="D9" s="811" t="e">
        <f>#REF!</f>
        <v>#REF!</v>
      </c>
      <c r="E9" s="812" t="e">
        <f>#REF!</f>
        <v>#REF!</v>
      </c>
      <c r="F9" s="304" t="e">
        <f>IF(#REF!="Ж","спортсменка",IF(#REF!="М","спортсмен","не понятно кто"))</f>
        <v>#REF!</v>
      </c>
      <c r="G9" s="304" t="e">
        <f>#REF!</f>
        <v>#REF!</v>
      </c>
      <c r="H9" s="304" t="e">
        <f>#REF!</f>
        <v>#REF!</v>
      </c>
      <c r="I9" s="1368" t="e">
        <f>#REF!</f>
        <v>#REF!</v>
      </c>
      <c r="J9" s="1369"/>
      <c r="K9" s="305"/>
    </row>
    <row r="10" spans="1:11" s="276" customFormat="1" ht="21" customHeight="1" x14ac:dyDescent="0.3">
      <c r="A10" s="343">
        <v>2</v>
      </c>
      <c r="B10" s="1366" t="e">
        <f>#REF!</f>
        <v>#REF!</v>
      </c>
      <c r="C10" s="1367"/>
      <c r="D10" s="811" t="e">
        <f>#REF!</f>
        <v>#REF!</v>
      </c>
      <c r="E10" s="812" t="e">
        <f>#REF!</f>
        <v>#REF!</v>
      </c>
      <c r="F10" s="304" t="e">
        <f>IF(#REF!="Ж","спортсменка",IF(#REF!="М","спортсмен","не понятно кто"))</f>
        <v>#REF!</v>
      </c>
      <c r="G10" s="304" t="e">
        <f>#REF!</f>
        <v>#REF!</v>
      </c>
      <c r="H10" s="304" t="e">
        <f>#REF!</f>
        <v>#REF!</v>
      </c>
      <c r="I10" s="1368" t="e">
        <f>#REF!</f>
        <v>#REF!</v>
      </c>
      <c r="J10" s="1369"/>
      <c r="K10" s="305"/>
    </row>
    <row r="11" spans="1:11" s="276" customFormat="1" ht="21" customHeight="1" x14ac:dyDescent="0.3">
      <c r="A11" s="343">
        <v>3</v>
      </c>
      <c r="B11" s="1366" t="e">
        <f>#REF!</f>
        <v>#REF!</v>
      </c>
      <c r="C11" s="1367"/>
      <c r="D11" s="811" t="e">
        <f>#REF!</f>
        <v>#REF!</v>
      </c>
      <c r="E11" s="812" t="e">
        <f>#REF!</f>
        <v>#REF!</v>
      </c>
      <c r="F11" s="304" t="e">
        <f>IF(#REF!="Ж","спортсменка",IF(#REF!="М","спортсмен","не понятно кто"))</f>
        <v>#REF!</v>
      </c>
      <c r="G11" s="304" t="e">
        <f>#REF!</f>
        <v>#REF!</v>
      </c>
      <c r="H11" s="304" t="e">
        <f>#REF!</f>
        <v>#REF!</v>
      </c>
      <c r="I11" s="1368" t="e">
        <f>#REF!</f>
        <v>#REF!</v>
      </c>
      <c r="J11" s="1369"/>
      <c r="K11" s="305"/>
    </row>
    <row r="12" spans="1:11" s="276" customFormat="1" ht="21" customHeight="1" x14ac:dyDescent="0.3">
      <c r="A12" s="343">
        <v>4</v>
      </c>
      <c r="B12" s="1366" t="e">
        <f>#REF!</f>
        <v>#REF!</v>
      </c>
      <c r="C12" s="1367"/>
      <c r="D12" s="811" t="e">
        <f>#REF!</f>
        <v>#REF!</v>
      </c>
      <c r="E12" s="812" t="e">
        <f>#REF!</f>
        <v>#REF!</v>
      </c>
      <c r="F12" s="304" t="e">
        <f>IF(#REF!="Ж","спортсменка",IF(#REF!="М","спортсмен","не понятно кто"))</f>
        <v>#REF!</v>
      </c>
      <c r="G12" s="304" t="e">
        <f>#REF!</f>
        <v>#REF!</v>
      </c>
      <c r="H12" s="304" t="e">
        <f>#REF!</f>
        <v>#REF!</v>
      </c>
      <c r="I12" s="1368" t="e">
        <f>#REF!</f>
        <v>#REF!</v>
      </c>
      <c r="J12" s="1369"/>
      <c r="K12" s="305"/>
    </row>
    <row r="13" spans="1:11" s="276" customFormat="1" ht="21" customHeight="1" x14ac:dyDescent="0.3">
      <c r="A13" s="343">
        <v>5</v>
      </c>
      <c r="B13" s="1366" t="e">
        <f>#REF!</f>
        <v>#REF!</v>
      </c>
      <c r="C13" s="1367"/>
      <c r="D13" s="811" t="e">
        <f>#REF!</f>
        <v>#REF!</v>
      </c>
      <c r="E13" s="812" t="e">
        <f>#REF!</f>
        <v>#REF!</v>
      </c>
      <c r="F13" s="304" t="e">
        <f>IF(#REF!="Ж","спортсменка",IF(#REF!="М","спортсмен","не понятно кто"))</f>
        <v>#REF!</v>
      </c>
      <c r="G13" s="304" t="e">
        <f>#REF!</f>
        <v>#REF!</v>
      </c>
      <c r="H13" s="304" t="e">
        <f>#REF!</f>
        <v>#REF!</v>
      </c>
      <c r="I13" s="1368" t="e">
        <f>#REF!</f>
        <v>#REF!</v>
      </c>
      <c r="J13" s="1369"/>
      <c r="K13" s="305"/>
    </row>
    <row r="14" spans="1:11" s="276" customFormat="1" ht="21" customHeight="1" x14ac:dyDescent="0.3">
      <c r="A14" s="343">
        <v>6</v>
      </c>
      <c r="B14" s="1366" t="e">
        <f>#REF!</f>
        <v>#REF!</v>
      </c>
      <c r="C14" s="1367"/>
      <c r="D14" s="811" t="e">
        <f>#REF!</f>
        <v>#REF!</v>
      </c>
      <c r="E14" s="812" t="e">
        <f>#REF!</f>
        <v>#REF!</v>
      </c>
      <c r="F14" s="304" t="e">
        <f>IF(#REF!="Ж","спортсменка",IF(#REF!="М","спортсмен","не понятно кто"))</f>
        <v>#REF!</v>
      </c>
      <c r="G14" s="304" t="e">
        <f>#REF!</f>
        <v>#REF!</v>
      </c>
      <c r="H14" s="304" t="e">
        <f>#REF!</f>
        <v>#REF!</v>
      </c>
      <c r="I14" s="1368" t="e">
        <f>#REF!</f>
        <v>#REF!</v>
      </c>
      <c r="J14" s="1369"/>
      <c r="K14" s="305"/>
    </row>
    <row r="15" spans="1:11" s="276" customFormat="1" ht="21" customHeight="1" x14ac:dyDescent="0.3">
      <c r="A15" s="343">
        <v>7</v>
      </c>
      <c r="B15" s="1366" t="e">
        <f>#REF!</f>
        <v>#REF!</v>
      </c>
      <c r="C15" s="1367"/>
      <c r="D15" s="811" t="e">
        <f>#REF!</f>
        <v>#REF!</v>
      </c>
      <c r="E15" s="812" t="e">
        <f>#REF!</f>
        <v>#REF!</v>
      </c>
      <c r="F15" s="304" t="e">
        <f>IF(#REF!="Ж","спортсменка",IF(#REF!="М","спортсмен","не понятно кто"))</f>
        <v>#REF!</v>
      </c>
      <c r="G15" s="304" t="e">
        <f>#REF!</f>
        <v>#REF!</v>
      </c>
      <c r="H15" s="304" t="e">
        <f>#REF!</f>
        <v>#REF!</v>
      </c>
      <c r="I15" s="1368" t="e">
        <f>#REF!</f>
        <v>#REF!</v>
      </c>
      <c r="J15" s="1369"/>
      <c r="K15" s="305"/>
    </row>
    <row r="16" spans="1:11" s="276" customFormat="1" ht="21" customHeight="1" x14ac:dyDescent="0.3">
      <c r="A16" s="343">
        <v>8</v>
      </c>
      <c r="B16" s="1366" t="e">
        <f>#REF!</f>
        <v>#REF!</v>
      </c>
      <c r="C16" s="1367"/>
      <c r="D16" s="811" t="e">
        <f>#REF!</f>
        <v>#REF!</v>
      </c>
      <c r="E16" s="812" t="e">
        <f>#REF!</f>
        <v>#REF!</v>
      </c>
      <c r="F16" s="304" t="e">
        <f>IF(#REF!="Ж","спортсменка",IF(#REF!="М","спортсмен","не понятно кто"))</f>
        <v>#REF!</v>
      </c>
      <c r="G16" s="304" t="e">
        <f>#REF!</f>
        <v>#REF!</v>
      </c>
      <c r="H16" s="304" t="e">
        <f>#REF!</f>
        <v>#REF!</v>
      </c>
      <c r="I16" s="1368" t="e">
        <f>#REF!</f>
        <v>#REF!</v>
      </c>
      <c r="J16" s="1369"/>
      <c r="K16" s="305"/>
    </row>
    <row r="17" spans="1:11" s="276" customFormat="1" ht="21" customHeight="1" x14ac:dyDescent="0.3">
      <c r="A17" s="343">
        <v>9</v>
      </c>
      <c r="B17" s="1366" t="e">
        <f>#REF!</f>
        <v>#REF!</v>
      </c>
      <c r="C17" s="1367"/>
      <c r="D17" s="811" t="e">
        <f>#REF!</f>
        <v>#REF!</v>
      </c>
      <c r="E17" s="812" t="e">
        <f>#REF!</f>
        <v>#REF!</v>
      </c>
      <c r="F17" s="304" t="e">
        <f>IF(#REF!="Ж","спортсменка",IF(#REF!="М","спортсмен","не понятно кто"))</f>
        <v>#REF!</v>
      </c>
      <c r="G17" s="304" t="e">
        <f>#REF!</f>
        <v>#REF!</v>
      </c>
      <c r="H17" s="304" t="e">
        <f>#REF!</f>
        <v>#REF!</v>
      </c>
      <c r="I17" s="1368" t="e">
        <f>#REF!</f>
        <v>#REF!</v>
      </c>
      <c r="J17" s="1369"/>
      <c r="K17" s="305"/>
    </row>
    <row r="18" spans="1:11" s="276" customFormat="1" ht="21" customHeight="1" x14ac:dyDescent="0.3">
      <c r="A18" s="343">
        <v>10</v>
      </c>
      <c r="B18" s="1366" t="e">
        <f>#REF!</f>
        <v>#REF!</v>
      </c>
      <c r="C18" s="1367"/>
      <c r="D18" s="811" t="e">
        <f>#REF!</f>
        <v>#REF!</v>
      </c>
      <c r="E18" s="812" t="e">
        <f>#REF!</f>
        <v>#REF!</v>
      </c>
      <c r="F18" s="304" t="e">
        <f>IF(#REF!="Ж","спортсменка",IF(#REF!="М","спортсмен","не понятно кто"))</f>
        <v>#REF!</v>
      </c>
      <c r="G18" s="304" t="e">
        <f>#REF!</f>
        <v>#REF!</v>
      </c>
      <c r="H18" s="304" t="e">
        <f>#REF!</f>
        <v>#REF!</v>
      </c>
      <c r="I18" s="1368" t="e">
        <f>#REF!</f>
        <v>#REF!</v>
      </c>
      <c r="J18" s="1369"/>
      <c r="K18" s="305"/>
    </row>
    <row r="19" spans="1:11" s="276" customFormat="1" ht="21" customHeight="1" x14ac:dyDescent="0.3">
      <c r="A19" s="343">
        <v>11</v>
      </c>
      <c r="B19" s="1366" t="e">
        <f>#REF!</f>
        <v>#REF!</v>
      </c>
      <c r="C19" s="1367"/>
      <c r="D19" s="811" t="e">
        <f>#REF!</f>
        <v>#REF!</v>
      </c>
      <c r="E19" s="812" t="e">
        <f>#REF!</f>
        <v>#REF!</v>
      </c>
      <c r="F19" s="304" t="e">
        <f>IF(#REF!="Ж","спортсменка",IF(#REF!="М","спортсмен","не понятно кто"))</f>
        <v>#REF!</v>
      </c>
      <c r="G19" s="304" t="e">
        <f>#REF!</f>
        <v>#REF!</v>
      </c>
      <c r="H19" s="304" t="e">
        <f>#REF!</f>
        <v>#REF!</v>
      </c>
      <c r="I19" s="1368" t="e">
        <f>#REF!</f>
        <v>#REF!</v>
      </c>
      <c r="J19" s="1369"/>
      <c r="K19" s="305"/>
    </row>
    <row r="20" spans="1:11" s="276" customFormat="1" ht="21" customHeight="1" x14ac:dyDescent="0.3">
      <c r="A20" s="343">
        <v>12</v>
      </c>
      <c r="B20" s="1366" t="e">
        <f>#REF!</f>
        <v>#REF!</v>
      </c>
      <c r="C20" s="1367"/>
      <c r="D20" s="811" t="e">
        <f>#REF!</f>
        <v>#REF!</v>
      </c>
      <c r="E20" s="812" t="e">
        <f>#REF!</f>
        <v>#REF!</v>
      </c>
      <c r="F20" s="304" t="e">
        <f>IF(#REF!="Ж","спортсменка",IF(#REF!="М","спортсмен","не понятно кто"))</f>
        <v>#REF!</v>
      </c>
      <c r="G20" s="304" t="e">
        <f>#REF!</f>
        <v>#REF!</v>
      </c>
      <c r="H20" s="304" t="e">
        <f>#REF!</f>
        <v>#REF!</v>
      </c>
      <c r="I20" s="1368" t="e">
        <f>#REF!</f>
        <v>#REF!</v>
      </c>
      <c r="J20" s="1369"/>
      <c r="K20" s="305"/>
    </row>
    <row r="21" spans="1:11" s="276" customFormat="1" ht="21" customHeight="1" x14ac:dyDescent="0.3">
      <c r="A21" s="343">
        <v>13</v>
      </c>
      <c r="B21" s="1366" t="e">
        <f>#REF!</f>
        <v>#REF!</v>
      </c>
      <c r="C21" s="1367"/>
      <c r="D21" s="811" t="e">
        <f>#REF!</f>
        <v>#REF!</v>
      </c>
      <c r="E21" s="812" t="e">
        <f>#REF!</f>
        <v>#REF!</v>
      </c>
      <c r="F21" s="304" t="e">
        <f>IF(#REF!="Ж","спортсменка",IF(#REF!="М","спортсмен","не понятно кто"))</f>
        <v>#REF!</v>
      </c>
      <c r="G21" s="304" t="e">
        <f>#REF!</f>
        <v>#REF!</v>
      </c>
      <c r="H21" s="304" t="e">
        <f>#REF!</f>
        <v>#REF!</v>
      </c>
      <c r="I21" s="1368" t="e">
        <f>#REF!</f>
        <v>#REF!</v>
      </c>
      <c r="J21" s="1369"/>
      <c r="K21" s="305"/>
    </row>
    <row r="22" spans="1:11" s="276" customFormat="1" ht="21" customHeight="1" x14ac:dyDescent="0.3">
      <c r="A22" s="343">
        <v>14</v>
      </c>
      <c r="B22" s="1366" t="e">
        <f>#REF!</f>
        <v>#REF!</v>
      </c>
      <c r="C22" s="1367"/>
      <c r="D22" s="811" t="e">
        <f>#REF!</f>
        <v>#REF!</v>
      </c>
      <c r="E22" s="812" t="e">
        <f>#REF!</f>
        <v>#REF!</v>
      </c>
      <c r="F22" s="304" t="e">
        <f>IF(#REF!="Ж","спортсменка",IF(#REF!="М","спортсмен","не понятно кто"))</f>
        <v>#REF!</v>
      </c>
      <c r="G22" s="304" t="e">
        <f>#REF!</f>
        <v>#REF!</v>
      </c>
      <c r="H22" s="304" t="e">
        <f>#REF!</f>
        <v>#REF!</v>
      </c>
      <c r="I22" s="1368" t="e">
        <f>#REF!</f>
        <v>#REF!</v>
      </c>
      <c r="J22" s="1369"/>
      <c r="K22" s="305"/>
    </row>
    <row r="23" spans="1:11" s="276" customFormat="1" ht="21" customHeight="1" x14ac:dyDescent="0.3">
      <c r="A23" s="343">
        <v>15</v>
      </c>
      <c r="B23" s="1366" t="e">
        <f>#REF!</f>
        <v>#REF!</v>
      </c>
      <c r="C23" s="1367"/>
      <c r="D23" s="811" t="e">
        <f>#REF!</f>
        <v>#REF!</v>
      </c>
      <c r="E23" s="812" t="e">
        <f>#REF!</f>
        <v>#REF!</v>
      </c>
      <c r="F23" s="304" t="e">
        <f>IF(#REF!="Ж","спортсменка",IF(#REF!="М","спортсмен","не понятно кто"))</f>
        <v>#REF!</v>
      </c>
      <c r="G23" s="304" t="e">
        <f>#REF!</f>
        <v>#REF!</v>
      </c>
      <c r="H23" s="304" t="e">
        <f>#REF!</f>
        <v>#REF!</v>
      </c>
      <c r="I23" s="1368" t="e">
        <f>#REF!</f>
        <v>#REF!</v>
      </c>
      <c r="J23" s="1369"/>
      <c r="K23" s="305"/>
    </row>
    <row r="24" spans="1:11" s="276" customFormat="1" ht="21" customHeight="1" x14ac:dyDescent="0.3">
      <c r="A24" s="343">
        <v>16</v>
      </c>
      <c r="B24" s="1366" t="e">
        <f>#REF!</f>
        <v>#REF!</v>
      </c>
      <c r="C24" s="1367"/>
      <c r="D24" s="811" t="e">
        <f>#REF!</f>
        <v>#REF!</v>
      </c>
      <c r="E24" s="812" t="e">
        <f>#REF!</f>
        <v>#REF!</v>
      </c>
      <c r="F24" s="304" t="e">
        <f>IF(#REF!="Ж","спортсменка",IF(#REF!="М","спортсмен","не понятно кто"))</f>
        <v>#REF!</v>
      </c>
      <c r="G24" s="304" t="e">
        <f>#REF!</f>
        <v>#REF!</v>
      </c>
      <c r="H24" s="304" t="e">
        <f>#REF!</f>
        <v>#REF!</v>
      </c>
      <c r="I24" s="1368" t="e">
        <f>#REF!</f>
        <v>#REF!</v>
      </c>
      <c r="J24" s="1369"/>
      <c r="K24" s="305"/>
    </row>
    <row r="25" spans="1:11" s="276" customFormat="1" ht="21" customHeight="1" x14ac:dyDescent="0.3">
      <c r="A25" s="343">
        <v>17</v>
      </c>
      <c r="B25" s="1366" t="e">
        <f>#REF!</f>
        <v>#REF!</v>
      </c>
      <c r="C25" s="1367"/>
      <c r="D25" s="811" t="e">
        <f>#REF!</f>
        <v>#REF!</v>
      </c>
      <c r="E25" s="812" t="e">
        <f>#REF!</f>
        <v>#REF!</v>
      </c>
      <c r="F25" s="304" t="e">
        <f>IF(#REF!="Ж","спортсменка",IF(#REF!="М","спортсмен","не понятно кто"))</f>
        <v>#REF!</v>
      </c>
      <c r="G25" s="304" t="e">
        <f>#REF!</f>
        <v>#REF!</v>
      </c>
      <c r="H25" s="304" t="e">
        <f>#REF!</f>
        <v>#REF!</v>
      </c>
      <c r="I25" s="1368" t="e">
        <f>#REF!</f>
        <v>#REF!</v>
      </c>
      <c r="J25" s="1369"/>
      <c r="K25" s="305"/>
    </row>
    <row r="26" spans="1:11" s="276" customFormat="1" ht="21" customHeight="1" x14ac:dyDescent="0.3">
      <c r="A26" s="343">
        <v>18</v>
      </c>
      <c r="B26" s="1366" t="e">
        <f>#REF!</f>
        <v>#REF!</v>
      </c>
      <c r="C26" s="1367"/>
      <c r="D26" s="811" t="e">
        <f>#REF!</f>
        <v>#REF!</v>
      </c>
      <c r="E26" s="812" t="e">
        <f>#REF!</f>
        <v>#REF!</v>
      </c>
      <c r="F26" s="304" t="e">
        <f>IF(#REF!="Ж","спортсменка",IF(#REF!="М","спортсмен","не понятно кто"))</f>
        <v>#REF!</v>
      </c>
      <c r="G26" s="304" t="e">
        <f>#REF!</f>
        <v>#REF!</v>
      </c>
      <c r="H26" s="304" t="e">
        <f>#REF!</f>
        <v>#REF!</v>
      </c>
      <c r="I26" s="1368" t="e">
        <f>#REF!</f>
        <v>#REF!</v>
      </c>
      <c r="J26" s="1369"/>
      <c r="K26" s="305"/>
    </row>
    <row r="27" spans="1:11" s="276" customFormat="1" ht="21" customHeight="1" x14ac:dyDescent="0.3">
      <c r="A27" s="343">
        <v>19</v>
      </c>
      <c r="B27" s="1366" t="e">
        <f>#REF!</f>
        <v>#REF!</v>
      </c>
      <c r="C27" s="1367"/>
      <c r="D27" s="811" t="e">
        <f>#REF!</f>
        <v>#REF!</v>
      </c>
      <c r="E27" s="812" t="e">
        <f>#REF!</f>
        <v>#REF!</v>
      </c>
      <c r="F27" s="304" t="e">
        <f>IF(#REF!="Ж","спортсменка",IF(#REF!="М","спортсмен","не понятно кто"))</f>
        <v>#REF!</v>
      </c>
      <c r="G27" s="304" t="e">
        <f>#REF!</f>
        <v>#REF!</v>
      </c>
      <c r="H27" s="304" t="e">
        <f>#REF!</f>
        <v>#REF!</v>
      </c>
      <c r="I27" s="1368" t="e">
        <f>#REF!</f>
        <v>#REF!</v>
      </c>
      <c r="J27" s="1369"/>
      <c r="K27" s="305"/>
    </row>
    <row r="28" spans="1:11" s="276" customFormat="1" ht="21" customHeight="1" x14ac:dyDescent="0.3">
      <c r="A28" s="343">
        <v>20</v>
      </c>
      <c r="B28" s="1366" t="e">
        <f>#REF!</f>
        <v>#REF!</v>
      </c>
      <c r="C28" s="1367"/>
      <c r="D28" s="811" t="e">
        <f>#REF!</f>
        <v>#REF!</v>
      </c>
      <c r="E28" s="812" t="e">
        <f>#REF!</f>
        <v>#REF!</v>
      </c>
      <c r="F28" s="304" t="e">
        <f>IF(#REF!="Ж","спортсменка",IF(#REF!="М","спортсмен","не понятно кто"))</f>
        <v>#REF!</v>
      </c>
      <c r="G28" s="304" t="e">
        <f>#REF!</f>
        <v>#REF!</v>
      </c>
      <c r="H28" s="304" t="e">
        <f>#REF!</f>
        <v>#REF!</v>
      </c>
      <c r="I28" s="1368" t="e">
        <f>#REF!</f>
        <v>#REF!</v>
      </c>
      <c r="J28" s="1369"/>
      <c r="K28" s="305"/>
    </row>
    <row r="29" spans="1:11" s="276" customFormat="1" ht="21" customHeight="1" x14ac:dyDescent="0.3">
      <c r="A29" s="343">
        <v>21</v>
      </c>
      <c r="B29" s="1366" t="e">
        <f>#REF!</f>
        <v>#REF!</v>
      </c>
      <c r="C29" s="1367"/>
      <c r="D29" s="811" t="e">
        <f>#REF!</f>
        <v>#REF!</v>
      </c>
      <c r="E29" s="812" t="e">
        <f>#REF!</f>
        <v>#REF!</v>
      </c>
      <c r="F29" s="304" t="e">
        <f>IF(#REF!="Ж","спортсменка",IF(#REF!="М","спортсмен","не понятно кто"))</f>
        <v>#REF!</v>
      </c>
      <c r="G29" s="304" t="e">
        <f>#REF!</f>
        <v>#REF!</v>
      </c>
      <c r="H29" s="304" t="e">
        <f>#REF!</f>
        <v>#REF!</v>
      </c>
      <c r="I29" s="1368" t="e">
        <f>#REF!</f>
        <v>#REF!</v>
      </c>
      <c r="J29" s="1369"/>
      <c r="K29" s="305"/>
    </row>
    <row r="30" spans="1:11" s="276" customFormat="1" ht="21" customHeight="1" x14ac:dyDescent="0.3">
      <c r="A30" s="343">
        <v>22</v>
      </c>
      <c r="B30" s="1366" t="e">
        <f>#REF!</f>
        <v>#REF!</v>
      </c>
      <c r="C30" s="1367"/>
      <c r="D30" s="811" t="e">
        <f>#REF!</f>
        <v>#REF!</v>
      </c>
      <c r="E30" s="812" t="e">
        <f>#REF!</f>
        <v>#REF!</v>
      </c>
      <c r="F30" s="304" t="e">
        <f>IF(#REF!="Ж","спортсменка",IF(#REF!="М","спортсмен","не понятно кто"))</f>
        <v>#REF!</v>
      </c>
      <c r="G30" s="304" t="e">
        <f>#REF!</f>
        <v>#REF!</v>
      </c>
      <c r="H30" s="304" t="e">
        <f>#REF!</f>
        <v>#REF!</v>
      </c>
      <c r="I30" s="1368" t="e">
        <f>#REF!</f>
        <v>#REF!</v>
      </c>
      <c r="J30" s="1369"/>
      <c r="K30" s="305"/>
    </row>
    <row r="31" spans="1:11" s="276" customFormat="1" ht="21" customHeight="1" x14ac:dyDescent="0.3">
      <c r="A31" s="343">
        <v>23</v>
      </c>
      <c r="B31" s="1366" t="e">
        <f>#REF!</f>
        <v>#REF!</v>
      </c>
      <c r="C31" s="1367"/>
      <c r="D31" s="811" t="e">
        <f>#REF!</f>
        <v>#REF!</v>
      </c>
      <c r="E31" s="812" t="e">
        <f>#REF!</f>
        <v>#REF!</v>
      </c>
      <c r="F31" s="304" t="e">
        <f>IF(#REF!="Ж","спортсменка",IF(#REF!="М","спортсмен","не понятно кто"))</f>
        <v>#REF!</v>
      </c>
      <c r="G31" s="304" t="e">
        <f>#REF!</f>
        <v>#REF!</v>
      </c>
      <c r="H31" s="304" t="e">
        <f>#REF!</f>
        <v>#REF!</v>
      </c>
      <c r="I31" s="1368" t="e">
        <f>#REF!</f>
        <v>#REF!</v>
      </c>
      <c r="J31" s="1369"/>
      <c r="K31" s="305"/>
    </row>
    <row r="32" spans="1:11" s="276" customFormat="1" ht="21" customHeight="1" x14ac:dyDescent="0.3">
      <c r="A32" s="343">
        <v>24</v>
      </c>
      <c r="B32" s="1366" t="e">
        <f>#REF!</f>
        <v>#REF!</v>
      </c>
      <c r="C32" s="1367"/>
      <c r="D32" s="811" t="e">
        <f>#REF!</f>
        <v>#REF!</v>
      </c>
      <c r="E32" s="812" t="e">
        <f>#REF!</f>
        <v>#REF!</v>
      </c>
      <c r="F32" s="304" t="e">
        <f>IF(#REF!="Ж","спортсменка",IF(#REF!="М","спортсмен","не понятно кто"))</f>
        <v>#REF!</v>
      </c>
      <c r="G32" s="304" t="e">
        <f>#REF!</f>
        <v>#REF!</v>
      </c>
      <c r="H32" s="304" t="e">
        <f>#REF!</f>
        <v>#REF!</v>
      </c>
      <c r="I32" s="1368" t="e">
        <f>#REF!</f>
        <v>#REF!</v>
      </c>
      <c r="J32" s="1369"/>
      <c r="K32" s="305"/>
    </row>
    <row r="33" spans="1:11" s="276" customFormat="1" ht="21" customHeight="1" x14ac:dyDescent="0.3">
      <c r="A33" s="343">
        <v>25</v>
      </c>
      <c r="B33" s="1366" t="e">
        <f>#REF!</f>
        <v>#REF!</v>
      </c>
      <c r="C33" s="1367"/>
      <c r="D33" s="811" t="e">
        <f>#REF!</f>
        <v>#REF!</v>
      </c>
      <c r="E33" s="812" t="e">
        <f>#REF!</f>
        <v>#REF!</v>
      </c>
      <c r="F33" s="304" t="e">
        <f>IF(#REF!="Ж","спортсменка",IF(#REF!="М","спортсмен","не понятно кто"))</f>
        <v>#REF!</v>
      </c>
      <c r="G33" s="304" t="e">
        <f>#REF!</f>
        <v>#REF!</v>
      </c>
      <c r="H33" s="304" t="e">
        <f>#REF!</f>
        <v>#REF!</v>
      </c>
      <c r="I33" s="1368" t="e">
        <f>#REF!</f>
        <v>#REF!</v>
      </c>
      <c r="J33" s="1369"/>
      <c r="K33" s="305"/>
    </row>
    <row r="34" spans="1:11" s="276" customFormat="1" ht="21" customHeight="1" x14ac:dyDescent="0.3">
      <c r="A34" s="343">
        <v>26</v>
      </c>
      <c r="B34" s="1366" t="e">
        <f>#REF!</f>
        <v>#REF!</v>
      </c>
      <c r="C34" s="1367"/>
      <c r="D34" s="811" t="e">
        <f>#REF!</f>
        <v>#REF!</v>
      </c>
      <c r="E34" s="812" t="e">
        <f>#REF!</f>
        <v>#REF!</v>
      </c>
      <c r="F34" s="304" t="e">
        <f>IF(#REF!="Ж","спортсменка",IF(#REF!="М","спортсмен","не понятно кто"))</f>
        <v>#REF!</v>
      </c>
      <c r="G34" s="304" t="e">
        <f>#REF!</f>
        <v>#REF!</v>
      </c>
      <c r="H34" s="304" t="e">
        <f>#REF!</f>
        <v>#REF!</v>
      </c>
      <c r="I34" s="1368" t="e">
        <f>#REF!</f>
        <v>#REF!</v>
      </c>
      <c r="J34" s="1369"/>
      <c r="K34" s="305"/>
    </row>
    <row r="35" spans="1:11" s="276" customFormat="1" ht="21" customHeight="1" x14ac:dyDescent="0.3">
      <c r="A35" s="343">
        <v>27</v>
      </c>
      <c r="B35" s="1366" t="e">
        <f>#REF!</f>
        <v>#REF!</v>
      </c>
      <c r="C35" s="1367"/>
      <c r="D35" s="811" t="e">
        <f>#REF!</f>
        <v>#REF!</v>
      </c>
      <c r="E35" s="812" t="e">
        <f>#REF!</f>
        <v>#REF!</v>
      </c>
      <c r="F35" s="304" t="e">
        <f>IF(#REF!="Ж","спортсменка",IF(#REF!="М","спортсмен","не понятно кто"))</f>
        <v>#REF!</v>
      </c>
      <c r="G35" s="304" t="e">
        <f>#REF!</f>
        <v>#REF!</v>
      </c>
      <c r="H35" s="304" t="e">
        <f>#REF!</f>
        <v>#REF!</v>
      </c>
      <c r="I35" s="1368" t="e">
        <f>#REF!</f>
        <v>#REF!</v>
      </c>
      <c r="J35" s="1369"/>
      <c r="K35" s="305"/>
    </row>
    <row r="36" spans="1:11" s="276" customFormat="1" ht="21" customHeight="1" x14ac:dyDescent="0.3">
      <c r="A36" s="343">
        <v>28</v>
      </c>
      <c r="B36" s="1366" t="e">
        <f>#REF!</f>
        <v>#REF!</v>
      </c>
      <c r="C36" s="1367"/>
      <c r="D36" s="811" t="e">
        <f>#REF!</f>
        <v>#REF!</v>
      </c>
      <c r="E36" s="812" t="e">
        <f>#REF!</f>
        <v>#REF!</v>
      </c>
      <c r="F36" s="304" t="e">
        <f>IF(#REF!="Ж","спортсменка",IF(#REF!="М","спортсмен","не понятно кто"))</f>
        <v>#REF!</v>
      </c>
      <c r="G36" s="304" t="e">
        <f>#REF!</f>
        <v>#REF!</v>
      </c>
      <c r="H36" s="304" t="e">
        <f>#REF!</f>
        <v>#REF!</v>
      </c>
      <c r="I36" s="1368" t="e">
        <f>#REF!</f>
        <v>#REF!</v>
      </c>
      <c r="J36" s="1369"/>
      <c r="K36" s="305"/>
    </row>
    <row r="37" spans="1:11" s="276" customFormat="1" ht="21" customHeight="1" x14ac:dyDescent="0.3">
      <c r="A37" s="343">
        <v>29</v>
      </c>
      <c r="B37" s="1366" t="e">
        <f>#REF!</f>
        <v>#REF!</v>
      </c>
      <c r="C37" s="1367"/>
      <c r="D37" s="811" t="e">
        <f>#REF!</f>
        <v>#REF!</v>
      </c>
      <c r="E37" s="812" t="e">
        <f>#REF!</f>
        <v>#REF!</v>
      </c>
      <c r="F37" s="304" t="e">
        <f>IF(#REF!="Ж","спортсменка",IF(#REF!="М","спортсмен","не понятно кто"))</f>
        <v>#REF!</v>
      </c>
      <c r="G37" s="304" t="e">
        <f>#REF!</f>
        <v>#REF!</v>
      </c>
      <c r="H37" s="304" t="e">
        <f>#REF!</f>
        <v>#REF!</v>
      </c>
      <c r="I37" s="1368" t="e">
        <f>#REF!</f>
        <v>#REF!</v>
      </c>
      <c r="J37" s="1369"/>
      <c r="K37" s="305"/>
    </row>
    <row r="38" spans="1:11" s="276" customFormat="1" ht="21" customHeight="1" x14ac:dyDescent="0.3">
      <c r="A38" s="343">
        <v>30</v>
      </c>
      <c r="B38" s="1366" t="e">
        <f>#REF!</f>
        <v>#REF!</v>
      </c>
      <c r="C38" s="1367"/>
      <c r="D38" s="811" t="e">
        <f>#REF!</f>
        <v>#REF!</v>
      </c>
      <c r="E38" s="812" t="e">
        <f>#REF!</f>
        <v>#REF!</v>
      </c>
      <c r="F38" s="304" t="e">
        <f>IF(#REF!="Ж","спортсменка",IF(#REF!="М","спортсмен","не понятно кто"))</f>
        <v>#REF!</v>
      </c>
      <c r="G38" s="304" t="e">
        <f>#REF!</f>
        <v>#REF!</v>
      </c>
      <c r="H38" s="304" t="e">
        <f>#REF!</f>
        <v>#REF!</v>
      </c>
      <c r="I38" s="1368" t="e">
        <f>#REF!</f>
        <v>#REF!</v>
      </c>
      <c r="J38" s="1369"/>
      <c r="K38" s="305"/>
    </row>
    <row r="39" spans="1:11" s="276" customFormat="1" ht="21" customHeight="1" x14ac:dyDescent="0.3">
      <c r="A39" s="343">
        <v>31</v>
      </c>
      <c r="B39" s="1366" t="e">
        <f>#REF!</f>
        <v>#REF!</v>
      </c>
      <c r="C39" s="1367"/>
      <c r="D39" s="811" t="e">
        <f>#REF!</f>
        <v>#REF!</v>
      </c>
      <c r="E39" s="812" t="e">
        <f>#REF!</f>
        <v>#REF!</v>
      </c>
      <c r="F39" s="304" t="e">
        <f>IF(#REF!="Ж","спортсменка",IF(#REF!="М","спортсмен","не понятно кто"))</f>
        <v>#REF!</v>
      </c>
      <c r="G39" s="304" t="e">
        <f>#REF!</f>
        <v>#REF!</v>
      </c>
      <c r="H39" s="304" t="e">
        <f>#REF!</f>
        <v>#REF!</v>
      </c>
      <c r="I39" s="1368" t="e">
        <f>#REF!</f>
        <v>#REF!</v>
      </c>
      <c r="J39" s="1369"/>
      <c r="K39" s="305"/>
    </row>
    <row r="40" spans="1:11" s="276" customFormat="1" ht="21" customHeight="1" x14ac:dyDescent="0.3">
      <c r="A40" s="343">
        <v>32</v>
      </c>
      <c r="B40" s="1366" t="e">
        <f>#REF!</f>
        <v>#REF!</v>
      </c>
      <c r="C40" s="1367"/>
      <c r="D40" s="811" t="e">
        <f>#REF!</f>
        <v>#REF!</v>
      </c>
      <c r="E40" s="812" t="e">
        <f>#REF!</f>
        <v>#REF!</v>
      </c>
      <c r="F40" s="304" t="e">
        <f>IF(#REF!="Ж","спортсменка",IF(#REF!="М","спортсмен","не понятно кто"))</f>
        <v>#REF!</v>
      </c>
      <c r="G40" s="304" t="e">
        <f>#REF!</f>
        <v>#REF!</v>
      </c>
      <c r="H40" s="304" t="e">
        <f>#REF!</f>
        <v>#REF!</v>
      </c>
      <c r="I40" s="1368" t="e">
        <f>#REF!</f>
        <v>#REF!</v>
      </c>
      <c r="J40" s="1369"/>
      <c r="K40" s="305"/>
    </row>
    <row r="41" spans="1:11" s="276" customFormat="1" ht="21" customHeight="1" x14ac:dyDescent="0.3">
      <c r="A41" s="343">
        <v>33</v>
      </c>
      <c r="B41" s="1366" t="e">
        <f>#REF!</f>
        <v>#REF!</v>
      </c>
      <c r="C41" s="1367"/>
      <c r="D41" s="811" t="e">
        <f>#REF!</f>
        <v>#REF!</v>
      </c>
      <c r="E41" s="812" t="e">
        <f>#REF!</f>
        <v>#REF!</v>
      </c>
      <c r="F41" s="304" t="e">
        <f>IF(#REF!="Ж","спортсменка",IF(#REF!="М","спортсмен","не понятно кто"))</f>
        <v>#REF!</v>
      </c>
      <c r="G41" s="304" t="e">
        <f>#REF!</f>
        <v>#REF!</v>
      </c>
      <c r="H41" s="304" t="e">
        <f>#REF!</f>
        <v>#REF!</v>
      </c>
      <c r="I41" s="1368" t="e">
        <f>#REF!</f>
        <v>#REF!</v>
      </c>
      <c r="J41" s="1369"/>
      <c r="K41" s="305"/>
    </row>
    <row r="42" spans="1:11" s="276" customFormat="1" ht="21" customHeight="1" x14ac:dyDescent="0.3">
      <c r="A42" s="343">
        <v>34</v>
      </c>
      <c r="B42" s="1366" t="e">
        <f>#REF!</f>
        <v>#REF!</v>
      </c>
      <c r="C42" s="1367"/>
      <c r="D42" s="811" t="e">
        <f>#REF!</f>
        <v>#REF!</v>
      </c>
      <c r="E42" s="812" t="e">
        <f>#REF!</f>
        <v>#REF!</v>
      </c>
      <c r="F42" s="304" t="e">
        <f>IF(#REF!="Ж","спортсменка",IF(#REF!="М","спортсмен","не понятно кто"))</f>
        <v>#REF!</v>
      </c>
      <c r="G42" s="304" t="e">
        <f>#REF!</f>
        <v>#REF!</v>
      </c>
      <c r="H42" s="304" t="e">
        <f>#REF!</f>
        <v>#REF!</v>
      </c>
      <c r="I42" s="1368" t="e">
        <f>#REF!</f>
        <v>#REF!</v>
      </c>
      <c r="J42" s="1369"/>
      <c r="K42" s="305"/>
    </row>
    <row r="43" spans="1:11" s="276" customFormat="1" ht="21" customHeight="1" x14ac:dyDescent="0.3">
      <c r="A43" s="343">
        <v>35</v>
      </c>
      <c r="B43" s="1366" t="e">
        <f>#REF!</f>
        <v>#REF!</v>
      </c>
      <c r="C43" s="1367"/>
      <c r="D43" s="811" t="e">
        <f>#REF!</f>
        <v>#REF!</v>
      </c>
      <c r="E43" s="812" t="e">
        <f>#REF!</f>
        <v>#REF!</v>
      </c>
      <c r="F43" s="304" t="e">
        <f>IF(#REF!="Ж","спортсменка",IF(#REF!="М","спортсмен","не понятно кто"))</f>
        <v>#REF!</v>
      </c>
      <c r="G43" s="304" t="e">
        <f>#REF!</f>
        <v>#REF!</v>
      </c>
      <c r="H43" s="304" t="e">
        <f>#REF!</f>
        <v>#REF!</v>
      </c>
      <c r="I43" s="1368" t="e">
        <f>#REF!</f>
        <v>#REF!</v>
      </c>
      <c r="J43" s="1369"/>
      <c r="K43" s="305"/>
    </row>
    <row r="44" spans="1:11" s="276" customFormat="1" ht="21" customHeight="1" x14ac:dyDescent="0.3">
      <c r="A44" s="343">
        <v>36</v>
      </c>
      <c r="B44" s="1366" t="e">
        <f>#REF!</f>
        <v>#REF!</v>
      </c>
      <c r="C44" s="1367"/>
      <c r="D44" s="811" t="e">
        <f>#REF!</f>
        <v>#REF!</v>
      </c>
      <c r="E44" s="812" t="e">
        <f>#REF!</f>
        <v>#REF!</v>
      </c>
      <c r="F44" s="304" t="e">
        <f>IF(#REF!="Ж","спортсменка",IF(#REF!="М","спортсмен","не понятно кто"))</f>
        <v>#REF!</v>
      </c>
      <c r="G44" s="304" t="e">
        <f>#REF!</f>
        <v>#REF!</v>
      </c>
      <c r="H44" s="304" t="e">
        <f>#REF!</f>
        <v>#REF!</v>
      </c>
      <c r="I44" s="1368" t="e">
        <f>#REF!</f>
        <v>#REF!</v>
      </c>
      <c r="J44" s="1369"/>
      <c r="K44" s="305"/>
    </row>
    <row r="45" spans="1:11" s="276" customFormat="1" ht="21" customHeight="1" x14ac:dyDescent="0.3">
      <c r="A45" s="343">
        <v>37</v>
      </c>
      <c r="B45" s="1366" t="e">
        <f>#REF!</f>
        <v>#REF!</v>
      </c>
      <c r="C45" s="1367"/>
      <c r="D45" s="811" t="e">
        <f>#REF!</f>
        <v>#REF!</v>
      </c>
      <c r="E45" s="812" t="e">
        <f>#REF!</f>
        <v>#REF!</v>
      </c>
      <c r="F45" s="304" t="e">
        <f>IF(#REF!="Ж","спортсменка",IF(#REF!="М","спортсмен","не понятно кто"))</f>
        <v>#REF!</v>
      </c>
      <c r="G45" s="304" t="e">
        <f>#REF!</f>
        <v>#REF!</v>
      </c>
      <c r="H45" s="304" t="e">
        <f>#REF!</f>
        <v>#REF!</v>
      </c>
      <c r="I45" s="1368" t="e">
        <f>#REF!</f>
        <v>#REF!</v>
      </c>
      <c r="J45" s="1369"/>
      <c r="K45" s="305"/>
    </row>
    <row r="46" spans="1:11" s="276" customFormat="1" ht="21" customHeight="1" x14ac:dyDescent="0.3">
      <c r="A46" s="343">
        <v>38</v>
      </c>
      <c r="B46" s="1366" t="e">
        <f>#REF!</f>
        <v>#REF!</v>
      </c>
      <c r="C46" s="1367"/>
      <c r="D46" s="811" t="e">
        <f>#REF!</f>
        <v>#REF!</v>
      </c>
      <c r="E46" s="812" t="e">
        <f>#REF!</f>
        <v>#REF!</v>
      </c>
      <c r="F46" s="304" t="e">
        <f>IF(#REF!="Ж","спортсменка",IF(#REF!="М","спортсмен","не понятно кто"))</f>
        <v>#REF!</v>
      </c>
      <c r="G46" s="304" t="e">
        <f>#REF!</f>
        <v>#REF!</v>
      </c>
      <c r="H46" s="304" t="e">
        <f>#REF!</f>
        <v>#REF!</v>
      </c>
      <c r="I46" s="1368" t="e">
        <f>#REF!</f>
        <v>#REF!</v>
      </c>
      <c r="J46" s="1369"/>
      <c r="K46" s="305"/>
    </row>
    <row r="47" spans="1:11" s="276" customFormat="1" ht="21" customHeight="1" x14ac:dyDescent="0.3">
      <c r="A47" s="343">
        <v>39</v>
      </c>
      <c r="B47" s="1366" t="e">
        <f>#REF!</f>
        <v>#REF!</v>
      </c>
      <c r="C47" s="1367"/>
      <c r="D47" s="811" t="e">
        <f>#REF!</f>
        <v>#REF!</v>
      </c>
      <c r="E47" s="812" t="e">
        <f>#REF!</f>
        <v>#REF!</v>
      </c>
      <c r="F47" s="304" t="e">
        <f>IF(#REF!="Ж","спортсменка",IF(#REF!="М","спортсмен","не понятно кто"))</f>
        <v>#REF!</v>
      </c>
      <c r="G47" s="304" t="e">
        <f>#REF!</f>
        <v>#REF!</v>
      </c>
      <c r="H47" s="304" t="e">
        <f>#REF!</f>
        <v>#REF!</v>
      </c>
      <c r="I47" s="1368" t="e">
        <f>#REF!</f>
        <v>#REF!</v>
      </c>
      <c r="J47" s="1369"/>
      <c r="K47" s="305"/>
    </row>
    <row r="48" spans="1:11" s="276" customFormat="1" ht="21" customHeight="1" x14ac:dyDescent="0.3">
      <c r="A48" s="343">
        <v>40</v>
      </c>
      <c r="B48" s="1366" t="e">
        <f>#REF!</f>
        <v>#REF!</v>
      </c>
      <c r="C48" s="1367"/>
      <c r="D48" s="811" t="e">
        <f>#REF!</f>
        <v>#REF!</v>
      </c>
      <c r="E48" s="812" t="e">
        <f>#REF!</f>
        <v>#REF!</v>
      </c>
      <c r="F48" s="304" t="e">
        <f>IF(#REF!="Ж","спортсменка",IF(#REF!="М","спортсмен","не понятно кто"))</f>
        <v>#REF!</v>
      </c>
      <c r="G48" s="304" t="e">
        <f>#REF!</f>
        <v>#REF!</v>
      </c>
      <c r="H48" s="304" t="e">
        <f>#REF!</f>
        <v>#REF!</v>
      </c>
      <c r="I48" s="1368" t="e">
        <f>#REF!</f>
        <v>#REF!</v>
      </c>
      <c r="J48" s="1369"/>
      <c r="K48" s="305"/>
    </row>
    <row r="49" spans="1:11" s="276" customFormat="1" ht="21" customHeight="1" x14ac:dyDescent="0.3">
      <c r="A49" s="343">
        <v>41</v>
      </c>
      <c r="B49" s="1366" t="e">
        <f>#REF!</f>
        <v>#REF!</v>
      </c>
      <c r="C49" s="1367"/>
      <c r="D49" s="811" t="e">
        <f>#REF!</f>
        <v>#REF!</v>
      </c>
      <c r="E49" s="812" t="e">
        <f>#REF!</f>
        <v>#REF!</v>
      </c>
      <c r="F49" s="304" t="e">
        <f>IF(#REF!="Ж","спортсменка",IF(#REF!="М","спортсмен","не понятно кто"))</f>
        <v>#REF!</v>
      </c>
      <c r="G49" s="304" t="e">
        <f>#REF!</f>
        <v>#REF!</v>
      </c>
      <c r="H49" s="304" t="e">
        <f>#REF!</f>
        <v>#REF!</v>
      </c>
      <c r="I49" s="1368" t="e">
        <f>#REF!</f>
        <v>#REF!</v>
      </c>
      <c r="J49" s="1369"/>
      <c r="K49" s="305"/>
    </row>
    <row r="50" spans="1:11" s="276" customFormat="1" ht="21" customHeight="1" x14ac:dyDescent="0.3">
      <c r="A50" s="343">
        <v>42</v>
      </c>
      <c r="B50" s="1366" t="e">
        <f>#REF!</f>
        <v>#REF!</v>
      </c>
      <c r="C50" s="1367"/>
      <c r="D50" s="811" t="e">
        <f>#REF!</f>
        <v>#REF!</v>
      </c>
      <c r="E50" s="812" t="e">
        <f>#REF!</f>
        <v>#REF!</v>
      </c>
      <c r="F50" s="304" t="e">
        <f>IF(#REF!="Ж","спортсменка",IF(#REF!="М","спортсмен","не понятно кто"))</f>
        <v>#REF!</v>
      </c>
      <c r="G50" s="304" t="e">
        <f>#REF!</f>
        <v>#REF!</v>
      </c>
      <c r="H50" s="304" t="e">
        <f>#REF!</f>
        <v>#REF!</v>
      </c>
      <c r="I50" s="1368" t="e">
        <f>#REF!</f>
        <v>#REF!</v>
      </c>
      <c r="J50" s="1369"/>
      <c r="K50" s="305"/>
    </row>
    <row r="51" spans="1:11" s="276" customFormat="1" ht="21" customHeight="1" x14ac:dyDescent="0.3">
      <c r="A51" s="343">
        <v>43</v>
      </c>
      <c r="B51" s="1366" t="e">
        <f>#REF!</f>
        <v>#REF!</v>
      </c>
      <c r="C51" s="1367"/>
      <c r="D51" s="811" t="e">
        <f>#REF!</f>
        <v>#REF!</v>
      </c>
      <c r="E51" s="812" t="e">
        <f>#REF!</f>
        <v>#REF!</v>
      </c>
      <c r="F51" s="304" t="e">
        <f>IF(#REF!="Ж","спортсменка",IF(#REF!="М","спортсмен","не понятно кто"))</f>
        <v>#REF!</v>
      </c>
      <c r="G51" s="304" t="e">
        <f>#REF!</f>
        <v>#REF!</v>
      </c>
      <c r="H51" s="304" t="e">
        <f>#REF!</f>
        <v>#REF!</v>
      </c>
      <c r="I51" s="1368" t="e">
        <f>#REF!</f>
        <v>#REF!</v>
      </c>
      <c r="J51" s="1369"/>
      <c r="K51" s="305"/>
    </row>
    <row r="52" spans="1:11" s="276" customFormat="1" ht="21" customHeight="1" x14ac:dyDescent="0.3">
      <c r="A52" s="343">
        <v>44</v>
      </c>
      <c r="B52" s="1366" t="e">
        <f>#REF!</f>
        <v>#REF!</v>
      </c>
      <c r="C52" s="1367"/>
      <c r="D52" s="811" t="e">
        <f>#REF!</f>
        <v>#REF!</v>
      </c>
      <c r="E52" s="812" t="e">
        <f>#REF!</f>
        <v>#REF!</v>
      </c>
      <c r="F52" s="304" t="e">
        <f>IF(#REF!="Ж","спортсменка",IF(#REF!="М","спортсмен","не понятно кто"))</f>
        <v>#REF!</v>
      </c>
      <c r="G52" s="304" t="e">
        <f>#REF!</f>
        <v>#REF!</v>
      </c>
      <c r="H52" s="304" t="e">
        <f>#REF!</f>
        <v>#REF!</v>
      </c>
      <c r="I52" s="1368" t="e">
        <f>#REF!</f>
        <v>#REF!</v>
      </c>
      <c r="J52" s="1369"/>
      <c r="K52" s="305"/>
    </row>
    <row r="53" spans="1:11" s="276" customFormat="1" ht="21" customHeight="1" x14ac:dyDescent="0.3">
      <c r="A53" s="343">
        <v>45</v>
      </c>
      <c r="B53" s="1366" t="e">
        <f>#REF!</f>
        <v>#REF!</v>
      </c>
      <c r="C53" s="1367"/>
      <c r="D53" s="811" t="e">
        <f>#REF!</f>
        <v>#REF!</v>
      </c>
      <c r="E53" s="812" t="e">
        <f>#REF!</f>
        <v>#REF!</v>
      </c>
      <c r="F53" s="304" t="e">
        <f>IF(#REF!="Ж","спортсменка",IF(#REF!="М","спортсмен","не понятно кто"))</f>
        <v>#REF!</v>
      </c>
      <c r="G53" s="304" t="e">
        <f>#REF!</f>
        <v>#REF!</v>
      </c>
      <c r="H53" s="304" t="e">
        <f>#REF!</f>
        <v>#REF!</v>
      </c>
      <c r="I53" s="1368" t="e">
        <f>#REF!</f>
        <v>#REF!</v>
      </c>
      <c r="J53" s="1369"/>
      <c r="K53" s="305"/>
    </row>
    <row r="54" spans="1:11" s="276" customFormat="1" ht="21" customHeight="1" x14ac:dyDescent="0.3">
      <c r="A54" s="343">
        <v>46</v>
      </c>
      <c r="B54" s="1366" t="e">
        <f>#REF!</f>
        <v>#REF!</v>
      </c>
      <c r="C54" s="1367"/>
      <c r="D54" s="811" t="e">
        <f>#REF!</f>
        <v>#REF!</v>
      </c>
      <c r="E54" s="812" t="e">
        <f>#REF!</f>
        <v>#REF!</v>
      </c>
      <c r="F54" s="304" t="e">
        <f>IF(#REF!="Ж","спортсменка",IF(#REF!="М","спортсмен","не понятно кто"))</f>
        <v>#REF!</v>
      </c>
      <c r="G54" s="304" t="e">
        <f>#REF!</f>
        <v>#REF!</v>
      </c>
      <c r="H54" s="304" t="e">
        <f>#REF!</f>
        <v>#REF!</v>
      </c>
      <c r="I54" s="1368" t="e">
        <f>#REF!</f>
        <v>#REF!</v>
      </c>
      <c r="J54" s="1369"/>
      <c r="K54" s="305"/>
    </row>
    <row r="55" spans="1:11" s="276" customFormat="1" ht="21" customHeight="1" x14ac:dyDescent="0.3">
      <c r="A55" s="343">
        <v>47</v>
      </c>
      <c r="B55" s="1366" t="e">
        <f>#REF!</f>
        <v>#REF!</v>
      </c>
      <c r="C55" s="1367"/>
      <c r="D55" s="811" t="e">
        <f>#REF!</f>
        <v>#REF!</v>
      </c>
      <c r="E55" s="812" t="e">
        <f>#REF!</f>
        <v>#REF!</v>
      </c>
      <c r="F55" s="304" t="e">
        <f>IF(#REF!="Ж","спортсменка",IF(#REF!="М","спортсмен","не понятно кто"))</f>
        <v>#REF!</v>
      </c>
      <c r="G55" s="304" t="e">
        <f>#REF!</f>
        <v>#REF!</v>
      </c>
      <c r="H55" s="304" t="e">
        <f>#REF!</f>
        <v>#REF!</v>
      </c>
      <c r="I55" s="1368" t="e">
        <f>#REF!</f>
        <v>#REF!</v>
      </c>
      <c r="J55" s="1369"/>
      <c r="K55" s="305"/>
    </row>
    <row r="56" spans="1:11" s="276" customFormat="1" ht="21" customHeight="1" x14ac:dyDescent="0.3">
      <c r="A56" s="343">
        <v>48</v>
      </c>
      <c r="B56" s="1366" t="e">
        <f>#REF!</f>
        <v>#REF!</v>
      </c>
      <c r="C56" s="1367"/>
      <c r="D56" s="811" t="e">
        <f>#REF!</f>
        <v>#REF!</v>
      </c>
      <c r="E56" s="812" t="e">
        <f>#REF!</f>
        <v>#REF!</v>
      </c>
      <c r="F56" s="304" t="e">
        <f>IF(#REF!="Ж","спортсменка",IF(#REF!="М","спортсмен","не понятно кто"))</f>
        <v>#REF!</v>
      </c>
      <c r="G56" s="304" t="e">
        <f>#REF!</f>
        <v>#REF!</v>
      </c>
      <c r="H56" s="304" t="e">
        <f>#REF!</f>
        <v>#REF!</v>
      </c>
      <c r="I56" s="1368" t="e">
        <f>#REF!</f>
        <v>#REF!</v>
      </c>
      <c r="J56" s="1369"/>
      <c r="K56" s="305"/>
    </row>
    <row r="57" spans="1:11" s="276" customFormat="1" ht="21" customHeight="1" x14ac:dyDescent="0.3">
      <c r="A57" s="343">
        <v>49</v>
      </c>
      <c r="B57" s="1366" t="e">
        <f>#REF!</f>
        <v>#REF!</v>
      </c>
      <c r="C57" s="1367"/>
      <c r="D57" s="811" t="e">
        <f>#REF!</f>
        <v>#REF!</v>
      </c>
      <c r="E57" s="812" t="e">
        <f>#REF!</f>
        <v>#REF!</v>
      </c>
      <c r="F57" s="304" t="e">
        <f>IF(#REF!="Ж","спортсменка",IF(#REF!="М","спортсмен","не понятно кто"))</f>
        <v>#REF!</v>
      </c>
      <c r="G57" s="304" t="e">
        <f>#REF!</f>
        <v>#REF!</v>
      </c>
      <c r="H57" s="304" t="e">
        <f>#REF!</f>
        <v>#REF!</v>
      </c>
      <c r="I57" s="1368" t="e">
        <f>#REF!</f>
        <v>#REF!</v>
      </c>
      <c r="J57" s="1369"/>
      <c r="K57" s="305"/>
    </row>
    <row r="58" spans="1:11" s="276" customFormat="1" ht="21" customHeight="1" x14ac:dyDescent="0.3">
      <c r="A58" s="343">
        <v>50</v>
      </c>
      <c r="B58" s="1366" t="e">
        <f>#REF!</f>
        <v>#REF!</v>
      </c>
      <c r="C58" s="1367"/>
      <c r="D58" s="811" t="e">
        <f>#REF!</f>
        <v>#REF!</v>
      </c>
      <c r="E58" s="812" t="e">
        <f>#REF!</f>
        <v>#REF!</v>
      </c>
      <c r="F58" s="304" t="e">
        <f>IF(#REF!="Ж","спортсменка",IF(#REF!="М","спортсмен","не понятно кто"))</f>
        <v>#REF!</v>
      </c>
      <c r="G58" s="304" t="e">
        <f>#REF!</f>
        <v>#REF!</v>
      </c>
      <c r="H58" s="304" t="e">
        <f>#REF!</f>
        <v>#REF!</v>
      </c>
      <c r="I58" s="1368" t="e">
        <f>#REF!</f>
        <v>#REF!</v>
      </c>
      <c r="J58" s="1369"/>
      <c r="K58" s="305"/>
    </row>
    <row r="59" spans="1:11" ht="12" customHeight="1" x14ac:dyDescent="0.3">
      <c r="A59" s="275"/>
      <c r="B59" s="281"/>
      <c r="C59" s="281"/>
      <c r="D59" s="282"/>
      <c r="E59" s="275"/>
      <c r="F59" s="275"/>
      <c r="G59" s="275"/>
      <c r="H59" s="283"/>
      <c r="I59" s="308"/>
      <c r="J59" s="279"/>
      <c r="K59" s="282"/>
    </row>
    <row r="60" spans="1:11" s="276" customFormat="1" ht="24.75" customHeight="1" x14ac:dyDescent="0.35">
      <c r="A60" s="284"/>
      <c r="B60" s="278" t="s">
        <v>255</v>
      </c>
      <c r="C60" s="278"/>
      <c r="D60" s="285" t="e">
        <f>#REF!</f>
        <v>#REF!</v>
      </c>
      <c r="E60" s="286"/>
      <c r="F60" s="286"/>
      <c r="G60" s="278" t="s">
        <v>259</v>
      </c>
      <c r="H60" s="1363"/>
      <c r="I60" s="1363"/>
      <c r="J60" s="1363"/>
      <c r="K60" s="1363"/>
    </row>
    <row r="61" spans="1:11" s="276" customFormat="1" ht="24.75" customHeight="1" x14ac:dyDescent="0.35">
      <c r="A61" s="275"/>
      <c r="B61" s="291"/>
      <c r="C61" s="291"/>
      <c r="D61" s="285" t="e">
        <f>#REF!</f>
        <v>#REF!</v>
      </c>
      <c r="E61" s="287"/>
      <c r="F61" s="287"/>
      <c r="G61" s="288"/>
      <c r="H61" s="1364"/>
      <c r="I61" s="1364"/>
      <c r="J61" s="1364"/>
      <c r="K61" s="1364"/>
    </row>
    <row r="62" spans="1:11" s="276" customFormat="1" ht="24.75" customHeight="1" x14ac:dyDescent="0.35">
      <c r="A62" s="275"/>
      <c r="B62" s="291"/>
      <c r="C62" s="291"/>
      <c r="D62" s="285" t="e">
        <f>#REF!</f>
        <v>#REF!</v>
      </c>
      <c r="E62" s="287"/>
      <c r="F62" s="287"/>
      <c r="G62" s="288"/>
      <c r="H62" s="1364"/>
      <c r="I62" s="1364"/>
      <c r="J62" s="1364"/>
      <c r="K62" s="1364"/>
    </row>
    <row r="63" spans="1:11" s="276" customFormat="1" ht="21" customHeight="1" x14ac:dyDescent="0.35">
      <c r="A63" s="288"/>
      <c r="B63" s="291"/>
      <c r="C63" s="291"/>
      <c r="D63" s="291"/>
      <c r="E63" s="288"/>
      <c r="F63" s="288"/>
      <c r="G63" s="288"/>
      <c r="H63" s="288"/>
      <c r="I63" s="288"/>
      <c r="J63" s="288"/>
      <c r="K63" s="289"/>
    </row>
    <row r="64" spans="1:11" s="276" customFormat="1" ht="17.25" customHeight="1" x14ac:dyDescent="0.35">
      <c r="D64" s="299" t="s">
        <v>262</v>
      </c>
      <c r="E64" s="286"/>
      <c r="F64" s="286"/>
      <c r="G64" s="286"/>
      <c r="H64" s="1365" t="e">
        <f>#REF!</f>
        <v>#REF!</v>
      </c>
      <c r="I64" s="1365"/>
      <c r="J64" s="1365"/>
      <c r="K64" s="1365"/>
    </row>
    <row r="65" spans="1:11" s="314" customFormat="1" ht="12.75" customHeight="1" x14ac:dyDescent="0.3">
      <c r="A65" s="313"/>
      <c r="B65" s="313"/>
      <c r="C65" s="313"/>
      <c r="F65" s="310" t="s">
        <v>71</v>
      </c>
      <c r="G65" s="312"/>
      <c r="H65" s="310"/>
      <c r="I65" s="310"/>
      <c r="J65" s="310" t="s">
        <v>72</v>
      </c>
      <c r="K65" s="315"/>
    </row>
    <row r="66" spans="1:11" s="297" customFormat="1" ht="21" customHeight="1" x14ac:dyDescent="0.3">
      <c r="A66" s="296"/>
      <c r="B66" s="296"/>
      <c r="C66" s="296"/>
      <c r="F66" s="101"/>
      <c r="G66" s="300"/>
      <c r="H66" s="101"/>
      <c r="I66" s="101"/>
      <c r="J66" s="101"/>
      <c r="K66" s="298"/>
    </row>
    <row r="67" spans="1:11" s="276" customFormat="1" ht="18" x14ac:dyDescent="0.35">
      <c r="A67" s="57" t="s">
        <v>885</v>
      </c>
      <c r="B67" s="57"/>
      <c r="C67" s="57"/>
      <c r="D67" s="545"/>
      <c r="E67" s="544"/>
      <c r="F67" s="1379" t="s">
        <v>886</v>
      </c>
      <c r="G67" s="1379"/>
      <c r="H67" s="309"/>
      <c r="I67" s="340"/>
      <c r="J67" s="1362"/>
      <c r="K67" s="1362"/>
    </row>
    <row r="68" spans="1:11" s="312" customFormat="1" ht="12" x14ac:dyDescent="0.3">
      <c r="A68" s="311"/>
      <c r="B68" s="311"/>
      <c r="C68" s="311"/>
      <c r="E68" s="311"/>
      <c r="F68" s="310"/>
      <c r="I68" s="310" t="s">
        <v>71</v>
      </c>
      <c r="J68" s="310"/>
      <c r="K68" s="310" t="s">
        <v>72</v>
      </c>
    </row>
    <row r="70" spans="1:11" s="276" customFormat="1" ht="33.75" customHeight="1" x14ac:dyDescent="0.35">
      <c r="A70" s="1370" t="s">
        <v>280</v>
      </c>
      <c r="B70" s="1371"/>
      <c r="C70" s="1371"/>
      <c r="D70" s="1371"/>
      <c r="E70" s="293"/>
      <c r="F70" s="293"/>
      <c r="G70" s="293"/>
      <c r="H70" s="293"/>
      <c r="I70" s="1362"/>
      <c r="J70" s="1362"/>
      <c r="K70" s="1362"/>
    </row>
    <row r="71" spans="1:11" s="314" customFormat="1" ht="12.75" customHeight="1" x14ac:dyDescent="0.3">
      <c r="A71" s="313"/>
      <c r="B71" s="313"/>
      <c r="C71" s="313"/>
      <c r="F71" s="310" t="s">
        <v>71</v>
      </c>
      <c r="G71" s="312"/>
      <c r="H71" s="310"/>
      <c r="I71" s="310"/>
      <c r="J71" s="310" t="s">
        <v>72</v>
      </c>
      <c r="K71" s="315"/>
    </row>
    <row r="72" spans="1:11" s="276" customFormat="1" ht="12" customHeight="1" x14ac:dyDescent="0.3">
      <c r="A72" s="290"/>
      <c r="B72" s="280"/>
      <c r="C72" s="280"/>
      <c r="D72" s="280"/>
      <c r="E72" s="280"/>
      <c r="F72" s="280"/>
      <c r="G72" s="280"/>
      <c r="H72" s="280"/>
      <c r="I72" s="280"/>
      <c r="J72" s="280"/>
      <c r="K72" s="280"/>
    </row>
    <row r="73" spans="1:11" s="276" customFormat="1" ht="33.75" customHeight="1" x14ac:dyDescent="0.35">
      <c r="A73" s="1370" t="s">
        <v>265</v>
      </c>
      <c r="B73" s="1371"/>
      <c r="C73" s="1371"/>
      <c r="D73" s="1371"/>
      <c r="E73" s="293"/>
      <c r="F73" s="293"/>
      <c r="G73" s="293"/>
      <c r="H73" s="293"/>
      <c r="I73" s="1362"/>
      <c r="J73" s="1362"/>
      <c r="K73" s="1362"/>
    </row>
    <row r="74" spans="1:11" s="314" customFormat="1" ht="12.75" customHeight="1" x14ac:dyDescent="0.3">
      <c r="A74" s="313"/>
      <c r="B74" s="313"/>
      <c r="C74" s="313"/>
      <c r="F74" s="310" t="s">
        <v>71</v>
      </c>
      <c r="G74" s="312"/>
      <c r="H74" s="310"/>
      <c r="I74" s="310"/>
      <c r="J74" s="310" t="s">
        <v>72</v>
      </c>
      <c r="K74" s="315"/>
    </row>
    <row r="75" spans="1:11" s="276" customFormat="1" ht="12" customHeight="1" x14ac:dyDescent="0.3">
      <c r="A75" s="290"/>
      <c r="B75" s="290"/>
      <c r="C75" s="290"/>
      <c r="D75" s="280"/>
      <c r="E75" s="275"/>
      <c r="F75" s="275"/>
      <c r="G75" s="275"/>
      <c r="H75" s="280"/>
      <c r="I75" s="280"/>
      <c r="J75" s="275"/>
      <c r="K75" s="275"/>
    </row>
    <row r="76" spans="1:11" s="276" customFormat="1" ht="18" x14ac:dyDescent="0.35">
      <c r="A76" s="292"/>
      <c r="B76" s="292"/>
      <c r="C76" s="292"/>
      <c r="D76" s="292"/>
      <c r="E76" s="292"/>
      <c r="F76" s="292"/>
      <c r="G76" s="292"/>
      <c r="H76" s="292"/>
      <c r="I76" s="292"/>
      <c r="J76" s="292"/>
      <c r="K76" s="292"/>
    </row>
  </sheetData>
  <mergeCells count="119">
    <mergeCell ref="B54:C54"/>
    <mergeCell ref="B55:C55"/>
    <mergeCell ref="B56:C56"/>
    <mergeCell ref="B57:C57"/>
    <mergeCell ref="B58:C58"/>
    <mergeCell ref="B49:C49"/>
    <mergeCell ref="B50:C50"/>
    <mergeCell ref="B51:C51"/>
    <mergeCell ref="B52:C52"/>
    <mergeCell ref="B53:C53"/>
    <mergeCell ref="B44:C44"/>
    <mergeCell ref="B45:C45"/>
    <mergeCell ref="B46:C46"/>
    <mergeCell ref="B47:C47"/>
    <mergeCell ref="B48:C48"/>
    <mergeCell ref="B39:C39"/>
    <mergeCell ref="B40:C40"/>
    <mergeCell ref="B41:C41"/>
    <mergeCell ref="B42:C42"/>
    <mergeCell ref="B43:C43"/>
    <mergeCell ref="B35:C35"/>
    <mergeCell ref="B36:C36"/>
    <mergeCell ref="B37:C37"/>
    <mergeCell ref="B38:C38"/>
    <mergeCell ref="B29:C29"/>
    <mergeCell ref="B30:C30"/>
    <mergeCell ref="B31:C31"/>
    <mergeCell ref="B32:C32"/>
    <mergeCell ref="B33:C33"/>
    <mergeCell ref="D4:K4"/>
    <mergeCell ref="I55:J55"/>
    <mergeCell ref="I56:J56"/>
    <mergeCell ref="I57:J57"/>
    <mergeCell ref="I58:J58"/>
    <mergeCell ref="A70:D70"/>
    <mergeCell ref="I50:J50"/>
    <mergeCell ref="I51:J51"/>
    <mergeCell ref="I52:J52"/>
    <mergeCell ref="I53:J53"/>
    <mergeCell ref="I54:J54"/>
    <mergeCell ref="I45:J45"/>
    <mergeCell ref="I46:J46"/>
    <mergeCell ref="I47:J47"/>
    <mergeCell ref="I37:J37"/>
    <mergeCell ref="I38:J38"/>
    <mergeCell ref="I39:J39"/>
    <mergeCell ref="I48:J48"/>
    <mergeCell ref="I49:J49"/>
    <mergeCell ref="I40:J40"/>
    <mergeCell ref="I41:J41"/>
    <mergeCell ref="I42:J42"/>
    <mergeCell ref="I43:J43"/>
    <mergeCell ref="B24:C24"/>
    <mergeCell ref="B16:C16"/>
    <mergeCell ref="I22:J22"/>
    <mergeCell ref="I23:J23"/>
    <mergeCell ref="I24:J24"/>
    <mergeCell ref="I25:J25"/>
    <mergeCell ref="I26:J26"/>
    <mergeCell ref="I17:J17"/>
    <mergeCell ref="I18:J18"/>
    <mergeCell ref="I19:J19"/>
    <mergeCell ref="I20:J20"/>
    <mergeCell ref="I21:J21"/>
    <mergeCell ref="B25:C25"/>
    <mergeCell ref="B26:C26"/>
    <mergeCell ref="B19:C19"/>
    <mergeCell ref="B20:C20"/>
    <mergeCell ref="B21:C21"/>
    <mergeCell ref="B22:C22"/>
    <mergeCell ref="B23:C23"/>
    <mergeCell ref="H1:K2"/>
    <mergeCell ref="A3:K3"/>
    <mergeCell ref="A5:B5"/>
    <mergeCell ref="D5:K5"/>
    <mergeCell ref="A6:B6"/>
    <mergeCell ref="D6:I6"/>
    <mergeCell ref="F67:G67"/>
    <mergeCell ref="I12:J12"/>
    <mergeCell ref="I13:J13"/>
    <mergeCell ref="I14:J14"/>
    <mergeCell ref="I15:J15"/>
    <mergeCell ref="I16:J16"/>
    <mergeCell ref="B8:D8"/>
    <mergeCell ref="I8:J8"/>
    <mergeCell ref="I9:J9"/>
    <mergeCell ref="I10:J10"/>
    <mergeCell ref="I11:J11"/>
    <mergeCell ref="B9:C9"/>
    <mergeCell ref="B10:C10"/>
    <mergeCell ref="B11:C11"/>
    <mergeCell ref="B12:C12"/>
    <mergeCell ref="B13:C13"/>
    <mergeCell ref="B14:C14"/>
    <mergeCell ref="B15:C15"/>
    <mergeCell ref="I70:K70"/>
    <mergeCell ref="I73:K73"/>
    <mergeCell ref="H60:K60"/>
    <mergeCell ref="H61:K61"/>
    <mergeCell ref="H62:K62"/>
    <mergeCell ref="H64:K64"/>
    <mergeCell ref="J67:K67"/>
    <mergeCell ref="B17:C17"/>
    <mergeCell ref="B18:C18"/>
    <mergeCell ref="I44:J44"/>
    <mergeCell ref="I32:J32"/>
    <mergeCell ref="I33:J33"/>
    <mergeCell ref="I34:J34"/>
    <mergeCell ref="I35:J35"/>
    <mergeCell ref="I36:J36"/>
    <mergeCell ref="I27:J27"/>
    <mergeCell ref="I28:J28"/>
    <mergeCell ref="I29:J29"/>
    <mergeCell ref="I30:J30"/>
    <mergeCell ref="I31:J31"/>
    <mergeCell ref="A73:D73"/>
    <mergeCell ref="B27:C27"/>
    <mergeCell ref="B28:C28"/>
    <mergeCell ref="B34:C34"/>
  </mergeCells>
  <pageMargins left="0.31496062992125984" right="0.31496062992125984" top="0.55118110236220474" bottom="0.31496062992125984" header="0" footer="0.11811023622047245"/>
  <pageSetup paperSize="9" orientation="landscape" verticalDpi="300" r:id="rId1"/>
  <headerFooter>
    <oddFooter>&amp;R&amp;"Times New Roman,курсив"&amp;8Стр. &amp;P из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>
    <tabColor rgb="FF00B050"/>
  </sheetPr>
  <dimension ref="A1:DU119"/>
  <sheetViews>
    <sheetView topLeftCell="A28" workbookViewId="0">
      <selection activeCell="L34" sqref="L34"/>
    </sheetView>
  </sheetViews>
  <sheetFormatPr defaultColWidth="9.109375" defaultRowHeight="14.4" x14ac:dyDescent="0.3"/>
  <cols>
    <col min="1" max="1" width="2.6640625" style="188" customWidth="1"/>
    <col min="2" max="2" width="6.5546875" style="188" customWidth="1"/>
    <col min="3" max="3" width="4.5546875" style="188" customWidth="1"/>
    <col min="4" max="4" width="5.33203125" style="188" customWidth="1"/>
    <col min="5" max="5" width="6.33203125" style="188" customWidth="1"/>
    <col min="6" max="6" width="8.5546875" style="188" customWidth="1"/>
    <col min="7" max="7" width="4.44140625" style="188" customWidth="1"/>
    <col min="8" max="8" width="11" style="188" customWidth="1"/>
    <col min="9" max="16" width="2.6640625" style="188" customWidth="1"/>
    <col min="17" max="17" width="4.88671875" style="188" customWidth="1"/>
    <col min="18" max="19" width="2.33203125" style="188" customWidth="1"/>
    <col min="20" max="20" width="2" style="188" bestFit="1" customWidth="1"/>
    <col min="21" max="21" width="3" style="188" bestFit="1" customWidth="1"/>
    <col min="22" max="22" width="5" style="188" customWidth="1"/>
    <col min="23" max="24" width="2.33203125" style="188" customWidth="1"/>
    <col min="25" max="26" width="3" style="188" bestFit="1" customWidth="1"/>
    <col min="27" max="27" width="5.109375" style="188" customWidth="1"/>
    <col min="28" max="29" width="2.33203125" style="188" customWidth="1"/>
    <col min="30" max="30" width="2.109375" style="188" customWidth="1"/>
    <col min="31" max="31" width="3" style="188" bestFit="1" customWidth="1"/>
    <col min="32" max="32" width="5.44140625" style="188" customWidth="1"/>
    <col min="33" max="35" width="2.33203125" style="188" customWidth="1"/>
    <col min="36" max="36" width="3" style="188" bestFit="1" customWidth="1"/>
    <col min="37" max="37" width="5.6640625" style="188" customWidth="1"/>
    <col min="38" max="39" width="2.33203125" style="188" customWidth="1"/>
    <col min="40" max="40" width="2" style="188" customWidth="1"/>
    <col min="41" max="41" width="3" style="188" bestFit="1" customWidth="1"/>
    <col min="42" max="42" width="4.6640625" style="188" customWidth="1"/>
    <col min="43" max="44" width="2.33203125" style="188" customWidth="1"/>
    <col min="45" max="45" width="2" style="188" bestFit="1" customWidth="1"/>
    <col min="46" max="46" width="3" style="188" bestFit="1" customWidth="1"/>
    <col min="47" max="47" width="6.109375" style="188" customWidth="1"/>
    <col min="48" max="49" width="2.33203125" style="188" customWidth="1"/>
    <col min="50" max="50" width="2.44140625" style="188" customWidth="1"/>
    <col min="51" max="51" width="3" style="188" bestFit="1" customWidth="1"/>
    <col min="52" max="52" width="5.44140625" style="188" customWidth="1"/>
    <col min="53" max="55" width="2.33203125" style="188" customWidth="1"/>
    <col min="56" max="56" width="3" style="188" bestFit="1" customWidth="1"/>
    <col min="57" max="57" width="5.109375" style="188" customWidth="1"/>
    <col min="58" max="59" width="2.33203125" style="188" customWidth="1"/>
    <col min="60" max="60" width="2.44140625" style="188" customWidth="1"/>
    <col min="61" max="61" width="3" style="188" bestFit="1" customWidth="1"/>
    <col min="62" max="62" width="5.5546875" style="188" customWidth="1"/>
    <col min="63" max="64" width="2.33203125" style="188" customWidth="1"/>
    <col min="65" max="65" width="2.44140625" style="188" customWidth="1"/>
    <col min="66" max="66" width="3" style="188" bestFit="1" customWidth="1"/>
    <col min="67" max="67" width="4.44140625" style="188" customWidth="1"/>
    <col min="68" max="69" width="2.33203125" style="188" customWidth="1"/>
    <col min="70" max="70" width="2" style="188" bestFit="1" customWidth="1"/>
    <col min="71" max="71" width="3" style="188" bestFit="1" customWidth="1"/>
    <col min="72" max="72" width="5.6640625" style="188" customWidth="1"/>
    <col min="73" max="74" width="2.33203125" style="188" customWidth="1"/>
    <col min="75" max="75" width="2.109375" style="188" customWidth="1"/>
    <col min="76" max="76" width="3" style="188" bestFit="1" customWidth="1"/>
    <col min="77" max="77" width="6" style="188" customWidth="1"/>
    <col min="78" max="79" width="2.33203125" style="188" customWidth="1"/>
    <col min="80" max="80" width="2" style="188" bestFit="1" customWidth="1"/>
    <col min="81" max="81" width="3" style="188" bestFit="1" customWidth="1"/>
    <col min="82" max="82" width="5.44140625" style="188" customWidth="1"/>
    <col min="83" max="84" width="2.33203125" style="188" customWidth="1"/>
    <col min="85" max="86" width="2" style="188" bestFit="1" customWidth="1"/>
    <col min="87" max="87" width="5.88671875" style="188" customWidth="1"/>
    <col min="88" max="90" width="2.33203125" style="188" customWidth="1"/>
    <col min="91" max="92" width="2" style="188" bestFit="1" customWidth="1"/>
    <col min="93" max="93" width="6.33203125" style="188" customWidth="1"/>
    <col min="94" max="96" width="2.33203125" style="188" customWidth="1"/>
    <col min="97" max="97" width="2" style="188" bestFit="1" customWidth="1"/>
    <col min="98" max="98" width="2.5546875" style="188" customWidth="1"/>
    <col min="99" max="99" width="7.109375" style="188" customWidth="1"/>
    <col min="100" max="102" width="2.33203125" style="188" customWidth="1"/>
    <col min="103" max="103" width="2" style="188" bestFit="1" customWidth="1"/>
    <col min="104" max="104" width="2.6640625" style="188" customWidth="1"/>
    <col min="105" max="105" width="6.109375" style="188" customWidth="1"/>
    <col min="106" max="109" width="3" style="188" bestFit="1" customWidth="1"/>
    <col min="110" max="110" width="3" style="188" customWidth="1"/>
    <col min="111" max="16384" width="9.109375" style="188"/>
  </cols>
  <sheetData>
    <row r="1" spans="1:105" ht="18" x14ac:dyDescent="0.3">
      <c r="A1" s="17"/>
      <c r="B1" s="169" t="s">
        <v>195</v>
      </c>
      <c r="C1" s="2"/>
      <c r="D1" s="76"/>
      <c r="E1" s="4"/>
      <c r="F1" s="4"/>
      <c r="G1" s="2"/>
      <c r="H1" s="2"/>
      <c r="I1" s="2"/>
      <c r="J1" s="2"/>
      <c r="K1" s="2"/>
      <c r="L1" s="2"/>
      <c r="M1" s="2"/>
      <c r="N1" s="2"/>
      <c r="O1" s="47"/>
      <c r="P1" s="47"/>
      <c r="Q1" s="2"/>
      <c r="R1" s="2"/>
      <c r="S1" s="2"/>
      <c r="T1" s="47"/>
      <c r="U1" s="47"/>
      <c r="V1" s="2"/>
      <c r="W1" s="2"/>
      <c r="X1" s="2"/>
      <c r="Y1" s="45"/>
      <c r="Z1" s="45"/>
      <c r="AA1" s="2"/>
      <c r="AB1" s="2"/>
      <c r="AC1" s="2"/>
      <c r="AD1" s="45"/>
      <c r="AE1" s="45"/>
      <c r="AF1" s="2"/>
      <c r="AG1" s="2"/>
      <c r="AH1" s="2"/>
      <c r="AI1" s="46"/>
      <c r="AJ1" s="46"/>
      <c r="AK1" s="2"/>
      <c r="AL1" s="2"/>
      <c r="AM1" s="2"/>
      <c r="AN1" s="46"/>
      <c r="AO1" s="46"/>
      <c r="AP1" s="2"/>
      <c r="AQ1" s="2"/>
      <c r="AR1" s="2"/>
      <c r="AS1" s="47"/>
      <c r="AT1" s="47"/>
      <c r="AU1" s="2"/>
      <c r="AV1" s="2"/>
      <c r="AW1" s="2"/>
      <c r="AX1" s="47"/>
      <c r="AY1" s="47"/>
      <c r="AZ1" s="2"/>
      <c r="BA1" s="2"/>
      <c r="BB1" s="2"/>
      <c r="BC1" s="47"/>
      <c r="BD1" s="47"/>
      <c r="BE1" s="2"/>
      <c r="BF1" s="2"/>
      <c r="BG1" s="2"/>
      <c r="BH1" s="47"/>
      <c r="BI1" s="74"/>
      <c r="BJ1" s="2"/>
      <c r="BK1" s="2"/>
      <c r="BL1" s="2"/>
      <c r="BM1" s="74"/>
      <c r="BN1" s="74"/>
      <c r="BO1" s="2"/>
      <c r="BP1" s="2"/>
      <c r="BQ1" s="2"/>
      <c r="BR1" s="74"/>
      <c r="BS1" s="74"/>
      <c r="BT1" s="2"/>
      <c r="BU1" s="2"/>
      <c r="BV1" s="2"/>
      <c r="BW1" s="74"/>
      <c r="BX1" s="63"/>
      <c r="BY1" s="2"/>
      <c r="BZ1" s="2"/>
      <c r="CA1" s="2"/>
      <c r="CB1" s="149"/>
      <c r="CC1" s="63"/>
      <c r="CD1" s="2"/>
      <c r="CE1" s="2"/>
      <c r="CF1" s="2"/>
      <c r="CG1" s="149"/>
      <c r="CH1" s="149"/>
      <c r="CI1" s="46"/>
      <c r="CJ1" s="2"/>
      <c r="CK1" s="2"/>
      <c r="CL1" s="2"/>
      <c r="CM1" s="149"/>
      <c r="CN1" s="3"/>
      <c r="CO1" s="3"/>
      <c r="CP1" s="2"/>
      <c r="CQ1" s="2"/>
      <c r="CR1" s="2"/>
      <c r="CS1" s="149"/>
      <c r="CT1" s="3"/>
      <c r="CV1" s="2"/>
      <c r="CW1" s="2"/>
      <c r="CX1" s="2"/>
      <c r="CY1" s="149"/>
    </row>
    <row r="2" spans="1:105" s="239" customFormat="1" x14ac:dyDescent="0.3">
      <c r="A2" s="240"/>
      <c r="B2" s="241" t="s">
        <v>198</v>
      </c>
      <c r="C2" s="241"/>
      <c r="D2" s="242"/>
      <c r="E2" s="243"/>
      <c r="F2" s="243"/>
      <c r="G2" s="241"/>
      <c r="H2" s="241"/>
      <c r="I2" s="241"/>
      <c r="J2" s="241"/>
      <c r="K2" s="241"/>
      <c r="L2" s="241"/>
      <c r="M2" s="241"/>
      <c r="N2" s="241"/>
      <c r="O2" s="244"/>
      <c r="P2" s="244"/>
      <c r="Q2" s="241"/>
      <c r="R2" s="241"/>
      <c r="S2" s="241"/>
      <c r="T2" s="244"/>
      <c r="U2" s="244"/>
      <c r="V2" s="241"/>
      <c r="W2" s="241"/>
      <c r="X2" s="241"/>
      <c r="Y2" s="245"/>
      <c r="Z2" s="245"/>
      <c r="AA2" s="241"/>
      <c r="AB2" s="241"/>
      <c r="AC2" s="241"/>
      <c r="AD2" s="245"/>
      <c r="AE2" s="245"/>
      <c r="AF2" s="241"/>
      <c r="AG2" s="241"/>
      <c r="AH2" s="241"/>
      <c r="AI2" s="246"/>
      <c r="AJ2" s="246"/>
      <c r="AK2" s="241"/>
      <c r="AL2" s="241"/>
      <c r="AM2" s="241"/>
      <c r="AN2" s="246"/>
      <c r="AO2" s="246"/>
      <c r="AP2" s="241"/>
      <c r="AQ2" s="241"/>
      <c r="AR2" s="241"/>
      <c r="AS2" s="244"/>
      <c r="AT2" s="244"/>
      <c r="AU2" s="241"/>
      <c r="AV2" s="241"/>
      <c r="AW2" s="241"/>
      <c r="AX2" s="244"/>
      <c r="AY2" s="244"/>
      <c r="AZ2" s="241"/>
      <c r="BA2" s="241"/>
      <c r="BB2" s="241"/>
      <c r="BC2" s="244"/>
      <c r="BD2" s="244"/>
      <c r="BE2" s="241"/>
      <c r="BF2" s="241"/>
      <c r="BG2" s="241"/>
      <c r="BH2" s="244"/>
      <c r="BI2" s="247"/>
      <c r="BJ2" s="241"/>
      <c r="BK2" s="241"/>
      <c r="BL2" s="241"/>
      <c r="BM2" s="251"/>
      <c r="BN2" s="251"/>
      <c r="BO2" s="241"/>
      <c r="BP2" s="241"/>
      <c r="BQ2" s="241"/>
      <c r="BR2" s="251"/>
      <c r="BS2" s="251"/>
      <c r="BT2" s="241"/>
      <c r="BU2" s="241"/>
      <c r="BV2" s="241"/>
      <c r="BW2" s="251"/>
      <c r="BX2" s="252"/>
      <c r="BY2" s="241"/>
      <c r="BZ2" s="241"/>
      <c r="CA2" s="241"/>
      <c r="CB2" s="253"/>
      <c r="CC2" s="252"/>
      <c r="CD2" s="241"/>
      <c r="CE2" s="241"/>
      <c r="CF2" s="241"/>
      <c r="CG2" s="253"/>
      <c r="CH2" s="253"/>
      <c r="CI2" s="341"/>
      <c r="CJ2" s="241"/>
      <c r="CK2" s="241"/>
      <c r="CL2" s="241"/>
      <c r="CM2" s="253"/>
      <c r="CN2" s="342"/>
      <c r="CO2" s="238"/>
      <c r="CP2" s="241"/>
      <c r="CQ2" s="241"/>
      <c r="CR2" s="241"/>
      <c r="CS2" s="253"/>
      <c r="CT2" s="238"/>
      <c r="CV2" s="241"/>
      <c r="CW2" s="241"/>
      <c r="CX2" s="241"/>
      <c r="CY2" s="253"/>
    </row>
    <row r="3" spans="1:105" s="239" customFormat="1" x14ac:dyDescent="0.3">
      <c r="A3" s="240"/>
      <c r="B3" s="241" t="s">
        <v>196</v>
      </c>
      <c r="C3" s="241"/>
      <c r="D3" s="242"/>
      <c r="E3" s="243"/>
      <c r="F3" s="243"/>
      <c r="G3" s="241"/>
      <c r="H3" s="241"/>
      <c r="I3" s="241"/>
      <c r="J3" s="241"/>
      <c r="K3" s="241"/>
      <c r="L3" s="241"/>
      <c r="M3" s="241"/>
      <c r="N3" s="241"/>
      <c r="O3" s="244"/>
      <c r="P3" s="244"/>
      <c r="Q3" s="241"/>
      <c r="R3" s="241"/>
      <c r="S3" s="241"/>
      <c r="T3" s="244"/>
      <c r="U3" s="244"/>
      <c r="V3" s="241"/>
      <c r="W3" s="241"/>
      <c r="X3" s="241"/>
      <c r="Y3" s="245"/>
      <c r="Z3" s="245"/>
      <c r="AA3" s="241"/>
      <c r="AB3" s="241"/>
      <c r="AC3" s="241"/>
      <c r="AD3" s="245"/>
      <c r="AE3" s="245"/>
      <c r="AF3" s="241"/>
      <c r="AG3" s="241"/>
      <c r="AH3" s="241"/>
      <c r="AI3" s="246"/>
      <c r="AJ3" s="246"/>
      <c r="AK3" s="241"/>
      <c r="AL3" s="241"/>
      <c r="AM3" s="241"/>
      <c r="AN3" s="246"/>
      <c r="AO3" s="246"/>
      <c r="AP3" s="241"/>
      <c r="AQ3" s="241"/>
      <c r="AR3" s="241"/>
      <c r="AS3" s="244"/>
      <c r="AT3" s="244"/>
      <c r="AU3" s="241"/>
      <c r="AV3" s="241"/>
      <c r="AW3" s="241"/>
      <c r="AX3" s="244"/>
      <c r="AY3" s="244"/>
      <c r="AZ3" s="241"/>
      <c r="BA3" s="241"/>
      <c r="BB3" s="241"/>
      <c r="BC3" s="244"/>
      <c r="BD3" s="244"/>
      <c r="BE3" s="241"/>
      <c r="BF3" s="241"/>
      <c r="BG3" s="241"/>
      <c r="BH3" s="244"/>
      <c r="BI3" s="247"/>
      <c r="BJ3" s="241"/>
      <c r="BK3" s="241"/>
      <c r="BL3" s="241"/>
      <c r="BM3" s="251"/>
      <c r="BN3" s="251"/>
      <c r="BO3" s="241"/>
      <c r="BP3" s="241"/>
      <c r="BQ3" s="241"/>
      <c r="BR3" s="251"/>
      <c r="BS3" s="251"/>
      <c r="BT3" s="241"/>
      <c r="BU3" s="241"/>
      <c r="BV3" s="241"/>
      <c r="BW3" s="251"/>
      <c r="BX3" s="252"/>
      <c r="BY3" s="241"/>
      <c r="BZ3" s="241"/>
      <c r="CA3" s="241"/>
      <c r="CB3" s="253"/>
      <c r="CC3" s="252"/>
      <c r="CD3" s="241"/>
      <c r="CE3" s="241"/>
      <c r="CF3" s="241"/>
      <c r="CG3" s="253"/>
      <c r="CH3" s="253"/>
      <c r="CI3" s="341"/>
      <c r="CJ3" s="241"/>
      <c r="CK3" s="241"/>
      <c r="CL3" s="241"/>
      <c r="CM3" s="253"/>
      <c r="CN3" s="342"/>
      <c r="CO3" s="238"/>
      <c r="CP3" s="241"/>
      <c r="CQ3" s="241"/>
      <c r="CR3" s="241"/>
      <c r="CS3" s="253"/>
      <c r="CT3" s="238"/>
      <c r="CV3" s="241"/>
      <c r="CW3" s="241"/>
      <c r="CX3" s="241"/>
      <c r="CY3" s="253"/>
    </row>
    <row r="4" spans="1:105" s="239" customFormat="1" x14ac:dyDescent="0.3">
      <c r="A4" s="240"/>
      <c r="B4" s="1416" t="s">
        <v>199</v>
      </c>
      <c r="C4" s="1416"/>
      <c r="D4" s="1416"/>
      <c r="E4" s="1416"/>
      <c r="F4" s="1416"/>
      <c r="G4" s="1416"/>
      <c r="H4" s="1416"/>
      <c r="I4" s="1416"/>
      <c r="J4" s="1416"/>
      <c r="K4" s="1416"/>
      <c r="L4" s="1416"/>
      <c r="M4" s="1416"/>
      <c r="N4" s="1416"/>
      <c r="O4" s="1416"/>
      <c r="P4" s="1416"/>
      <c r="Q4" s="1416"/>
      <c r="R4" s="1416"/>
      <c r="S4" s="1416"/>
      <c r="T4" s="1416"/>
      <c r="U4" s="1416"/>
      <c r="V4" s="1416"/>
      <c r="W4" s="1416"/>
      <c r="X4" s="1416"/>
      <c r="Y4" s="1416"/>
      <c r="Z4" s="1416"/>
      <c r="AA4" s="1416"/>
      <c r="AB4" s="1416"/>
      <c r="AC4" s="1416"/>
      <c r="AD4" s="1416"/>
      <c r="AE4" s="1416"/>
      <c r="AF4" s="1416"/>
      <c r="AG4" s="1416"/>
      <c r="AH4" s="1416"/>
      <c r="AI4" s="1416"/>
      <c r="AJ4" s="1416"/>
      <c r="AK4" s="1416"/>
      <c r="AL4" s="1416"/>
      <c r="AM4" s="1416"/>
      <c r="AN4" s="1416"/>
      <c r="AO4" s="1416"/>
      <c r="AP4" s="1416"/>
      <c r="AQ4" s="1416"/>
      <c r="AR4" s="1416"/>
      <c r="AS4" s="1416"/>
      <c r="AT4" s="1416"/>
      <c r="AU4" s="1416"/>
      <c r="AV4" s="1416"/>
      <c r="AW4" s="1416"/>
      <c r="AX4" s="1416"/>
      <c r="AY4" s="1416"/>
      <c r="AZ4" s="1416"/>
      <c r="BA4" s="1416"/>
      <c r="BB4" s="1416"/>
      <c r="BC4" s="1416"/>
      <c r="BD4" s="1416"/>
      <c r="BE4" s="712"/>
      <c r="BF4" s="712"/>
      <c r="BG4" s="712"/>
      <c r="BH4" s="244"/>
      <c r="BI4" s="247"/>
      <c r="BJ4" s="247"/>
      <c r="BK4" s="247"/>
      <c r="BL4" s="247"/>
      <c r="BM4" s="251"/>
      <c r="BN4" s="251"/>
      <c r="BO4" s="247"/>
      <c r="BP4" s="247"/>
      <c r="BQ4" s="247"/>
      <c r="BR4" s="251"/>
      <c r="BS4" s="251"/>
      <c r="BT4" s="247"/>
      <c r="BU4" s="247"/>
      <c r="BV4" s="247"/>
      <c r="BW4" s="251"/>
      <c r="BX4" s="252"/>
      <c r="BY4" s="247"/>
      <c r="BZ4" s="247"/>
      <c r="CA4" s="247"/>
      <c r="CB4" s="253"/>
      <c r="CC4" s="252"/>
      <c r="CD4" s="247"/>
      <c r="CE4" s="247"/>
      <c r="CF4" s="247"/>
      <c r="CG4" s="253"/>
      <c r="CH4" s="253"/>
      <c r="CI4" s="341"/>
      <c r="CJ4" s="247"/>
      <c r="CK4" s="247"/>
      <c r="CL4" s="247"/>
      <c r="CM4" s="253"/>
      <c r="CN4" s="342"/>
      <c r="CO4" s="238"/>
      <c r="CP4" s="247"/>
      <c r="CQ4" s="247"/>
      <c r="CR4" s="247"/>
      <c r="CS4" s="253"/>
      <c r="CT4" s="238"/>
      <c r="CV4" s="247"/>
      <c r="CW4" s="247"/>
      <c r="CX4" s="247"/>
      <c r="CY4" s="253"/>
    </row>
    <row r="5" spans="1:105" s="239" customFormat="1" ht="27" customHeight="1" x14ac:dyDescent="0.3">
      <c r="A5" s="240"/>
      <c r="B5" s="1416"/>
      <c r="C5" s="1416"/>
      <c r="D5" s="1416"/>
      <c r="E5" s="1416"/>
      <c r="F5" s="1416"/>
      <c r="G5" s="1416"/>
      <c r="H5" s="1416"/>
      <c r="I5" s="1416"/>
      <c r="J5" s="1416"/>
      <c r="K5" s="1416"/>
      <c r="L5" s="1416"/>
      <c r="M5" s="1416"/>
      <c r="N5" s="1416"/>
      <c r="O5" s="1416"/>
      <c r="P5" s="1416"/>
      <c r="Q5" s="1416"/>
      <c r="R5" s="1416"/>
      <c r="S5" s="1416"/>
      <c r="T5" s="1416"/>
      <c r="U5" s="1416"/>
      <c r="V5" s="1416"/>
      <c r="W5" s="1416"/>
      <c r="X5" s="1416"/>
      <c r="Y5" s="1416"/>
      <c r="Z5" s="1416"/>
      <c r="AA5" s="1416"/>
      <c r="AB5" s="1416"/>
      <c r="AC5" s="1416"/>
      <c r="AD5" s="1416"/>
      <c r="AE5" s="1416"/>
      <c r="AF5" s="1416"/>
      <c r="AG5" s="1416"/>
      <c r="AH5" s="1416"/>
      <c r="AI5" s="1416"/>
      <c r="AJ5" s="1416"/>
      <c r="AK5" s="1416"/>
      <c r="AL5" s="1416"/>
      <c r="AM5" s="1416"/>
      <c r="AN5" s="1416"/>
      <c r="AO5" s="1416"/>
      <c r="AP5" s="1416"/>
      <c r="AQ5" s="1416"/>
      <c r="AR5" s="1416"/>
      <c r="AS5" s="1416"/>
      <c r="AT5" s="1416"/>
      <c r="AU5" s="1416"/>
      <c r="AV5" s="1416"/>
      <c r="AW5" s="1416"/>
      <c r="AX5" s="1416"/>
      <c r="AY5" s="1416"/>
      <c r="AZ5" s="1416"/>
      <c r="BA5" s="1416"/>
      <c r="BB5" s="1416"/>
      <c r="BC5" s="1416"/>
      <c r="BD5" s="1416"/>
      <c r="BE5" s="712"/>
      <c r="BF5" s="712"/>
      <c r="BG5" s="712"/>
      <c r="BH5" s="244"/>
      <c r="BI5" s="247"/>
      <c r="BJ5" s="247"/>
      <c r="BK5" s="247"/>
      <c r="BL5" s="247"/>
      <c r="BM5" s="251"/>
      <c r="BN5" s="251"/>
      <c r="BO5" s="247"/>
      <c r="BP5" s="247"/>
      <c r="BQ5" s="247"/>
      <c r="BR5" s="251"/>
      <c r="BS5" s="251"/>
      <c r="BT5" s="247"/>
      <c r="BU5" s="247"/>
      <c r="BV5" s="247"/>
      <c r="BW5" s="251"/>
      <c r="BX5" s="252"/>
      <c r="BY5" s="247"/>
      <c r="BZ5" s="247"/>
      <c r="CA5" s="247"/>
      <c r="CB5" s="253"/>
      <c r="CC5" s="252"/>
      <c r="CD5" s="247"/>
      <c r="CE5" s="247"/>
      <c r="CF5" s="247"/>
      <c r="CG5" s="253"/>
      <c r="CH5" s="253"/>
      <c r="CI5" s="341"/>
      <c r="CJ5" s="247"/>
      <c r="CK5" s="247"/>
      <c r="CL5" s="247"/>
      <c r="CM5" s="253"/>
      <c r="CN5" s="342"/>
      <c r="CO5" s="238"/>
      <c r="CP5" s="247"/>
      <c r="CQ5" s="247"/>
      <c r="CR5" s="247"/>
      <c r="CS5" s="253"/>
      <c r="CT5" s="238"/>
      <c r="CV5" s="247"/>
      <c r="CW5" s="247"/>
      <c r="CX5" s="247"/>
      <c r="CY5" s="253"/>
    </row>
    <row r="6" spans="1:105" s="239" customFormat="1" x14ac:dyDescent="0.3">
      <c r="A6" s="240"/>
      <c r="B6" s="241" t="s">
        <v>197</v>
      </c>
      <c r="C6" s="241"/>
      <c r="D6" s="242"/>
      <c r="E6" s="243"/>
      <c r="F6" s="243"/>
      <c r="G6" s="241"/>
      <c r="H6" s="241"/>
      <c r="I6" s="241"/>
      <c r="J6" s="241"/>
      <c r="K6" s="241"/>
      <c r="L6" s="241"/>
      <c r="M6" s="241"/>
      <c r="N6" s="241"/>
      <c r="O6" s="244"/>
      <c r="P6" s="244"/>
      <c r="Q6" s="241"/>
      <c r="R6" s="241"/>
      <c r="S6" s="241"/>
      <c r="T6" s="244"/>
      <c r="U6" s="244"/>
      <c r="V6" s="241"/>
      <c r="W6" s="241"/>
      <c r="X6" s="241"/>
      <c r="Y6" s="245"/>
      <c r="Z6" s="245"/>
      <c r="AA6" s="241"/>
      <c r="AB6" s="241"/>
      <c r="AC6" s="241"/>
      <c r="AD6" s="245"/>
      <c r="AE6" s="245"/>
      <c r="AF6" s="241"/>
      <c r="AG6" s="241"/>
      <c r="AH6" s="241"/>
      <c r="AI6" s="246"/>
      <c r="AJ6" s="246"/>
      <c r="AK6" s="241"/>
      <c r="AL6" s="241"/>
      <c r="AM6" s="241"/>
      <c r="AN6" s="246"/>
      <c r="AO6" s="246"/>
      <c r="AP6" s="241"/>
      <c r="AQ6" s="241"/>
      <c r="AR6" s="241"/>
      <c r="AS6" s="244"/>
      <c r="AT6" s="244"/>
      <c r="AU6" s="241"/>
      <c r="AV6" s="241"/>
      <c r="AW6" s="241"/>
      <c r="AX6" s="244"/>
      <c r="AY6" s="244"/>
      <c r="AZ6" s="241"/>
      <c r="BA6" s="241"/>
      <c r="BB6" s="241"/>
      <c r="BC6" s="244"/>
      <c r="BD6" s="244"/>
      <c r="BE6" s="241"/>
      <c r="BF6" s="241"/>
      <c r="BG6" s="241"/>
      <c r="BH6" s="244"/>
      <c r="BI6" s="247"/>
      <c r="BJ6" s="241"/>
      <c r="BK6" s="241"/>
      <c r="BL6" s="241"/>
      <c r="BM6" s="251"/>
      <c r="BN6" s="251"/>
      <c r="BO6" s="241"/>
      <c r="BP6" s="241"/>
      <c r="BQ6" s="241"/>
      <c r="BR6" s="251"/>
      <c r="BS6" s="251"/>
      <c r="BT6" s="241"/>
      <c r="BU6" s="241"/>
      <c r="BV6" s="241"/>
      <c r="BW6" s="251"/>
      <c r="BX6" s="252"/>
      <c r="BY6" s="241"/>
      <c r="BZ6" s="241"/>
      <c r="CA6" s="241"/>
      <c r="CB6" s="253"/>
      <c r="CC6" s="252"/>
      <c r="CD6" s="241"/>
      <c r="CE6" s="241"/>
      <c r="CF6" s="241"/>
      <c r="CG6" s="253"/>
      <c r="CH6" s="253"/>
      <c r="CI6" s="341"/>
      <c r="CJ6" s="241"/>
      <c r="CK6" s="241"/>
      <c r="CL6" s="241"/>
      <c r="CM6" s="253"/>
      <c r="CN6" s="342"/>
      <c r="CO6" s="238"/>
      <c r="CP6" s="241"/>
      <c r="CQ6" s="241"/>
      <c r="CR6" s="241"/>
      <c r="CS6" s="253"/>
      <c r="CT6" s="238"/>
      <c r="CV6" s="241"/>
      <c r="CW6" s="241"/>
      <c r="CX6" s="241"/>
      <c r="CY6" s="253"/>
    </row>
    <row r="7" spans="1:105" s="239" customFormat="1" x14ac:dyDescent="0.3">
      <c r="A7" s="240"/>
      <c r="B7" s="1416" t="s">
        <v>324</v>
      </c>
      <c r="C7" s="1416"/>
      <c r="D7" s="1416"/>
      <c r="E7" s="1416"/>
      <c r="F7" s="1416"/>
      <c r="G7" s="1416"/>
      <c r="H7" s="1416"/>
      <c r="I7" s="1416"/>
      <c r="J7" s="1416"/>
      <c r="K7" s="1416"/>
      <c r="L7" s="1416"/>
      <c r="M7" s="1416"/>
      <c r="N7" s="1416"/>
      <c r="O7" s="1416"/>
      <c r="P7" s="1416"/>
      <c r="Q7" s="1416"/>
      <c r="R7" s="1416"/>
      <c r="S7" s="1416"/>
      <c r="T7" s="1416"/>
      <c r="U7" s="1416"/>
      <c r="V7" s="1416"/>
      <c r="W7" s="1416"/>
      <c r="X7" s="1416"/>
      <c r="Y7" s="1416"/>
      <c r="Z7" s="1416"/>
      <c r="AA7" s="1416"/>
      <c r="AB7" s="1416"/>
      <c r="AC7" s="1416"/>
      <c r="AD7" s="1416"/>
      <c r="AE7" s="1416"/>
      <c r="AF7" s="1416"/>
      <c r="AG7" s="1416"/>
      <c r="AH7" s="1416"/>
      <c r="AI7" s="1416"/>
      <c r="AJ7" s="1416"/>
      <c r="AK7" s="1416"/>
      <c r="AL7" s="1416"/>
      <c r="AM7" s="1416"/>
      <c r="AN7" s="1416"/>
      <c r="AO7" s="1416"/>
      <c r="AP7" s="1416"/>
      <c r="AQ7" s="1416"/>
      <c r="AR7" s="1416"/>
      <c r="AS7" s="1416"/>
      <c r="AT7" s="1416"/>
      <c r="AU7" s="1416"/>
      <c r="AV7" s="1416"/>
      <c r="AW7" s="1416"/>
      <c r="AX7" s="1416"/>
      <c r="AY7" s="1416"/>
      <c r="AZ7" s="1416"/>
      <c r="BA7" s="1416"/>
      <c r="BB7" s="1416"/>
      <c r="BC7" s="1416"/>
      <c r="BD7" s="1416"/>
      <c r="BE7" s="712"/>
      <c r="BF7" s="712"/>
      <c r="BG7" s="712"/>
      <c r="BH7" s="244"/>
      <c r="BI7" s="247"/>
      <c r="BJ7" s="247"/>
      <c r="BK7" s="247"/>
      <c r="BL7" s="247"/>
      <c r="BM7" s="251"/>
      <c r="BN7" s="251"/>
      <c r="BO7" s="247"/>
      <c r="BP7" s="247"/>
      <c r="BQ7" s="247"/>
      <c r="BR7" s="251"/>
      <c r="BS7" s="251"/>
      <c r="BT7" s="247"/>
      <c r="BU7" s="247"/>
      <c r="BV7" s="247"/>
      <c r="BW7" s="251"/>
      <c r="BX7" s="252"/>
      <c r="BY7" s="247"/>
      <c r="BZ7" s="247"/>
      <c r="CA7" s="247"/>
      <c r="CB7" s="253"/>
      <c r="CC7" s="252"/>
      <c r="CD7" s="247"/>
      <c r="CE7" s="247"/>
      <c r="CF7" s="247"/>
      <c r="CG7" s="253"/>
      <c r="CH7" s="253"/>
      <c r="CI7" s="341"/>
      <c r="CJ7" s="247"/>
      <c r="CK7" s="247"/>
      <c r="CL7" s="247"/>
      <c r="CM7" s="253"/>
      <c r="CN7" s="342"/>
      <c r="CO7" s="238"/>
      <c r="CP7" s="247"/>
      <c r="CQ7" s="247"/>
      <c r="CR7" s="247"/>
      <c r="CS7" s="253"/>
      <c r="CT7" s="238"/>
      <c r="CV7" s="247"/>
      <c r="CW7" s="247"/>
      <c r="CX7" s="247"/>
      <c r="CY7" s="253"/>
    </row>
    <row r="8" spans="1:105" s="239" customFormat="1" ht="35.25" customHeight="1" x14ac:dyDescent="0.3">
      <c r="A8" s="240"/>
      <c r="B8" s="1416"/>
      <c r="C8" s="1416"/>
      <c r="D8" s="1416"/>
      <c r="E8" s="1416"/>
      <c r="F8" s="1416"/>
      <c r="G8" s="1416"/>
      <c r="H8" s="1416"/>
      <c r="I8" s="1416"/>
      <c r="J8" s="1416"/>
      <c r="K8" s="1416"/>
      <c r="L8" s="1416"/>
      <c r="M8" s="1416"/>
      <c r="N8" s="1416"/>
      <c r="O8" s="1416"/>
      <c r="P8" s="1416"/>
      <c r="Q8" s="1416"/>
      <c r="R8" s="1416"/>
      <c r="S8" s="1416"/>
      <c r="T8" s="1416"/>
      <c r="U8" s="1416"/>
      <c r="V8" s="1416"/>
      <c r="W8" s="1416"/>
      <c r="X8" s="1416"/>
      <c r="Y8" s="1416"/>
      <c r="Z8" s="1416"/>
      <c r="AA8" s="1416"/>
      <c r="AB8" s="1416"/>
      <c r="AC8" s="1416"/>
      <c r="AD8" s="1416"/>
      <c r="AE8" s="1416"/>
      <c r="AF8" s="1416"/>
      <c r="AG8" s="1416"/>
      <c r="AH8" s="1416"/>
      <c r="AI8" s="1416"/>
      <c r="AJ8" s="1416"/>
      <c r="AK8" s="1416"/>
      <c r="AL8" s="1416"/>
      <c r="AM8" s="1416"/>
      <c r="AN8" s="1416"/>
      <c r="AO8" s="1416"/>
      <c r="AP8" s="1416"/>
      <c r="AQ8" s="1416"/>
      <c r="AR8" s="1416"/>
      <c r="AS8" s="1416"/>
      <c r="AT8" s="1416"/>
      <c r="AU8" s="1416"/>
      <c r="AV8" s="1416"/>
      <c r="AW8" s="1416"/>
      <c r="AX8" s="1416"/>
      <c r="AY8" s="1416"/>
      <c r="AZ8" s="1416"/>
      <c r="BA8" s="1416"/>
      <c r="BB8" s="1416"/>
      <c r="BC8" s="1416"/>
      <c r="BD8" s="1416"/>
      <c r="BE8" s="712"/>
      <c r="BF8" s="712"/>
      <c r="BG8" s="712"/>
      <c r="BH8" s="244"/>
      <c r="BI8" s="247"/>
      <c r="BJ8" s="247"/>
      <c r="BK8" s="247"/>
      <c r="BL8" s="247"/>
      <c r="BM8" s="251"/>
      <c r="BN8" s="251"/>
      <c r="BO8" s="247"/>
      <c r="BP8" s="247"/>
      <c r="BQ8" s="247"/>
      <c r="BR8" s="251"/>
      <c r="BS8" s="251"/>
      <c r="BT8" s="247"/>
      <c r="BU8" s="247"/>
      <c r="BV8" s="247"/>
      <c r="BW8" s="251"/>
      <c r="BX8" s="252"/>
      <c r="BY8" s="247"/>
      <c r="BZ8" s="247"/>
      <c r="CA8" s="247"/>
      <c r="CB8" s="253"/>
      <c r="CC8" s="252"/>
      <c r="CD8" s="247"/>
      <c r="CE8" s="247"/>
      <c r="CF8" s="247"/>
      <c r="CG8" s="253"/>
      <c r="CH8" s="253"/>
      <c r="CI8" s="341"/>
      <c r="CJ8" s="247"/>
      <c r="CK8" s="247"/>
      <c r="CL8" s="247"/>
      <c r="CM8" s="253"/>
      <c r="CN8" s="342"/>
      <c r="CO8" s="238"/>
      <c r="CP8" s="247"/>
      <c r="CQ8" s="247"/>
      <c r="CR8" s="247"/>
      <c r="CS8" s="253"/>
      <c r="CT8" s="238"/>
      <c r="CV8" s="247"/>
      <c r="CW8" s="247"/>
      <c r="CX8" s="247"/>
      <c r="CY8" s="253"/>
    </row>
    <row r="9" spans="1:105" ht="12.75" customHeight="1" thickBot="1" x14ac:dyDescent="0.35">
      <c r="A9" s="17"/>
      <c r="B9" s="2"/>
      <c r="C9" s="2"/>
      <c r="D9" s="76"/>
      <c r="F9" s="4"/>
      <c r="G9" s="2"/>
      <c r="H9" s="2"/>
      <c r="I9" s="2"/>
      <c r="J9" s="2"/>
      <c r="K9" s="2"/>
      <c r="L9" s="2"/>
      <c r="M9" s="2"/>
      <c r="N9" s="2"/>
      <c r="O9" s="47"/>
      <c r="P9" s="47"/>
      <c r="Q9" s="2"/>
      <c r="R9" s="2"/>
      <c r="S9" s="2"/>
      <c r="T9" s="47"/>
      <c r="U9" s="47"/>
      <c r="V9" s="2"/>
      <c r="W9" s="2"/>
      <c r="X9" s="2"/>
      <c r="Y9" s="45"/>
      <c r="Z9" s="45"/>
      <c r="AA9" s="2"/>
      <c r="AB9" s="2"/>
      <c r="AC9" s="2"/>
      <c r="AD9" s="45"/>
      <c r="AE9" s="45"/>
      <c r="AF9" s="2"/>
      <c r="AG9" s="2"/>
      <c r="AH9" s="2"/>
      <c r="AI9" s="46"/>
      <c r="AJ9" s="46"/>
      <c r="AK9" s="2"/>
      <c r="AL9" s="2"/>
      <c r="AM9" s="2"/>
      <c r="AN9" s="46"/>
      <c r="AO9" s="46"/>
      <c r="AP9" s="2"/>
      <c r="AQ9" s="2"/>
      <c r="AR9" s="2"/>
      <c r="AS9" s="47"/>
      <c r="AT9" s="47"/>
      <c r="AU9" s="2"/>
      <c r="AV9" s="2"/>
      <c r="AW9" s="2"/>
      <c r="AX9" s="47"/>
      <c r="AY9" s="47"/>
      <c r="AZ9" s="2"/>
      <c r="BA9" s="2"/>
      <c r="BB9" s="2"/>
      <c r="BC9" s="47"/>
      <c r="BD9" s="47"/>
      <c r="BE9" s="2"/>
      <c r="BF9" s="2"/>
      <c r="BG9" s="2"/>
      <c r="BH9" s="47"/>
      <c r="BI9" s="74"/>
      <c r="BJ9" s="2"/>
      <c r="BK9" s="2"/>
      <c r="BL9" s="2"/>
      <c r="BM9" s="74"/>
      <c r="BN9" s="74"/>
      <c r="BO9" s="2"/>
      <c r="BP9" s="2"/>
      <c r="BQ9" s="2"/>
      <c r="BR9" s="74"/>
      <c r="BS9" s="74"/>
      <c r="BT9" s="2"/>
      <c r="BU9" s="2"/>
      <c r="BV9" s="2"/>
      <c r="BW9" s="74"/>
      <c r="BX9" s="74"/>
      <c r="BY9" s="2"/>
      <c r="BZ9" s="2"/>
      <c r="CA9" s="2"/>
      <c r="CB9" s="74"/>
      <c r="CC9" s="149"/>
      <c r="CD9" s="2"/>
      <c r="CE9" s="2"/>
      <c r="CF9" s="2"/>
      <c r="CG9" s="74"/>
      <c r="CH9" s="63"/>
      <c r="CI9" s="149"/>
      <c r="CJ9" s="2"/>
      <c r="CK9" s="2"/>
      <c r="CL9" s="2"/>
      <c r="CM9" s="74"/>
      <c r="CN9" s="63"/>
      <c r="CO9" s="149"/>
      <c r="CP9" s="2"/>
      <c r="CQ9" s="2"/>
      <c r="CR9" s="2"/>
      <c r="CS9" s="74"/>
      <c r="CT9" s="46"/>
      <c r="CU9" s="3"/>
      <c r="CV9" s="2"/>
      <c r="CW9" s="2"/>
      <c r="CX9" s="2"/>
      <c r="CY9" s="74"/>
      <c r="CZ9" s="3"/>
      <c r="DA9" s="3"/>
    </row>
    <row r="10" spans="1:105" ht="15.75" customHeight="1" x14ac:dyDescent="0.3">
      <c r="A10" s="178"/>
      <c r="B10" s="179" t="s">
        <v>1032</v>
      </c>
      <c r="C10" s="180"/>
      <c r="D10" s="180"/>
      <c r="E10" s="181"/>
      <c r="F10" s="197"/>
      <c r="G10" s="180"/>
      <c r="H10" s="1417" t="s">
        <v>194</v>
      </c>
      <c r="I10" s="1418"/>
      <c r="J10" s="1418"/>
      <c r="K10" s="1418"/>
      <c r="L10" s="1418"/>
      <c r="M10" s="1418"/>
      <c r="N10" s="1418"/>
      <c r="O10" s="1418"/>
      <c r="P10" s="1418"/>
      <c r="Q10" s="1418"/>
      <c r="R10" s="1418"/>
      <c r="S10" s="1418"/>
      <c r="T10" s="1418"/>
      <c r="U10" s="1419"/>
      <c r="V10" s="720"/>
      <c r="W10" s="720"/>
      <c r="X10" s="720"/>
      <c r="Y10" s="1398" t="s">
        <v>269</v>
      </c>
      <c r="Z10" s="1399"/>
      <c r="AA10" s="1400"/>
      <c r="AB10" s="1400"/>
      <c r="AC10" s="1400"/>
      <c r="AD10" s="1399"/>
      <c r="AE10" s="1399"/>
      <c r="AF10" s="1400"/>
      <c r="AG10" s="1400"/>
      <c r="AH10" s="1400"/>
      <c r="AI10" s="1401"/>
      <c r="AJ10" s="1405" t="s">
        <v>267</v>
      </c>
      <c r="AK10" s="1406"/>
      <c r="AL10" s="1406"/>
      <c r="AM10" s="1406"/>
      <c r="AN10" s="1407"/>
      <c r="AO10" s="1407"/>
      <c r="AP10" s="1406"/>
      <c r="AQ10" s="1406"/>
      <c r="AR10" s="1406"/>
      <c r="AS10" s="1407"/>
      <c r="AT10" s="1407"/>
      <c r="AU10" s="1406"/>
      <c r="AV10" s="1406"/>
      <c r="AW10" s="1406"/>
      <c r="AX10" s="1407"/>
      <c r="AY10" s="1407"/>
      <c r="AZ10" s="1406"/>
      <c r="BA10" s="1406"/>
      <c r="BB10" s="1406"/>
      <c r="BC10" s="1407"/>
      <c r="BD10" s="1408"/>
      <c r="BE10" s="718"/>
      <c r="BF10" s="718"/>
      <c r="BG10" s="718"/>
      <c r="BH10" s="1384" t="s">
        <v>193</v>
      </c>
      <c r="BI10" s="1385"/>
      <c r="BJ10" s="1386"/>
      <c r="BK10" s="1386"/>
      <c r="BL10" s="1386"/>
      <c r="BM10" s="1385"/>
      <c r="BN10" s="1385"/>
      <c r="BO10" s="1386"/>
      <c r="BP10" s="1386"/>
      <c r="BQ10" s="1386"/>
      <c r="BR10" s="1385"/>
      <c r="BS10" s="1386"/>
      <c r="BT10" s="1386"/>
      <c r="BU10" s="1386"/>
      <c r="BV10" s="1386"/>
      <c r="BW10" s="1386"/>
      <c r="BX10" s="1385"/>
      <c r="BY10" s="1386"/>
      <c r="BZ10" s="1386"/>
      <c r="CA10" s="1386"/>
      <c r="CB10" s="1385"/>
      <c r="CC10" s="1385"/>
      <c r="CD10" s="1386"/>
      <c r="CE10" s="1386"/>
      <c r="CF10" s="1386"/>
      <c r="CG10" s="1386"/>
      <c r="CH10" s="1385"/>
      <c r="CI10" s="1385"/>
      <c r="CJ10" s="1386"/>
      <c r="CK10" s="1386"/>
      <c r="CL10" s="1386"/>
      <c r="CM10" s="1386"/>
      <c r="CN10" s="1387"/>
      <c r="CO10" s="62"/>
      <c r="CP10" s="62"/>
      <c r="CQ10" s="62"/>
      <c r="CR10" s="62"/>
      <c r="CS10" s="62"/>
      <c r="CT10" s="3"/>
      <c r="CU10" s="3"/>
      <c r="CV10" s="62"/>
      <c r="CW10" s="62"/>
      <c r="CX10" s="62"/>
      <c r="CY10" s="62"/>
      <c r="CZ10" s="3"/>
    </row>
    <row r="11" spans="1:105" ht="18" customHeight="1" thickBot="1" x14ac:dyDescent="0.35">
      <c r="A11" s="178"/>
      <c r="B11" s="184" t="s">
        <v>176</v>
      </c>
      <c r="C11" s="185"/>
      <c r="D11" s="186" t="s">
        <v>177</v>
      </c>
      <c r="E11" s="182">
        <v>7</v>
      </c>
      <c r="F11" s="186" t="s">
        <v>179</v>
      </c>
      <c r="G11" s="248">
        <v>3</v>
      </c>
      <c r="H11" s="237" t="s">
        <v>31</v>
      </c>
      <c r="I11" s="1394" t="s">
        <v>34</v>
      </c>
      <c r="J11" s="1395"/>
      <c r="K11" s="1396"/>
      <c r="L11" s="709"/>
      <c r="M11" s="709"/>
      <c r="N11" s="709"/>
      <c r="O11" s="1394" t="s">
        <v>24</v>
      </c>
      <c r="P11" s="1396"/>
      <c r="Q11" s="709"/>
      <c r="R11" s="709"/>
      <c r="S11" s="709"/>
      <c r="T11" s="1394" t="s">
        <v>21</v>
      </c>
      <c r="U11" s="1397"/>
      <c r="V11" s="709"/>
      <c r="W11" s="709"/>
      <c r="X11" s="709"/>
      <c r="Y11" s="1402"/>
      <c r="Z11" s="1403"/>
      <c r="AA11" s="1403"/>
      <c r="AB11" s="1403"/>
      <c r="AC11" s="1403"/>
      <c r="AD11" s="1403"/>
      <c r="AE11" s="1403"/>
      <c r="AF11" s="1403"/>
      <c r="AG11" s="1403"/>
      <c r="AH11" s="1403"/>
      <c r="AI11" s="1404"/>
      <c r="AJ11" s="1409"/>
      <c r="AK11" s="1410"/>
      <c r="AL11" s="1410"/>
      <c r="AM11" s="1410"/>
      <c r="AN11" s="1410"/>
      <c r="AO11" s="1410"/>
      <c r="AP11" s="1410"/>
      <c r="AQ11" s="1410"/>
      <c r="AR11" s="1410"/>
      <c r="AS11" s="1410"/>
      <c r="AT11" s="1410"/>
      <c r="AU11" s="1410"/>
      <c r="AV11" s="1410"/>
      <c r="AW11" s="1410"/>
      <c r="AX11" s="1410"/>
      <c r="AY11" s="1410"/>
      <c r="AZ11" s="1410"/>
      <c r="BA11" s="1410"/>
      <c r="BB11" s="1410"/>
      <c r="BC11" s="1410"/>
      <c r="BD11" s="1411"/>
      <c r="BE11" s="723"/>
      <c r="BF11" s="723"/>
      <c r="BG11" s="723"/>
      <c r="BH11" s="1388"/>
      <c r="BI11" s="1389"/>
      <c r="BJ11" s="1389"/>
      <c r="BK11" s="1389"/>
      <c r="BL11" s="1389"/>
      <c r="BM11" s="1389"/>
      <c r="BN11" s="1389"/>
      <c r="BO11" s="1389"/>
      <c r="BP11" s="1389"/>
      <c r="BQ11" s="1389"/>
      <c r="BR11" s="1389"/>
      <c r="BS11" s="1389"/>
      <c r="BT11" s="1389"/>
      <c r="BU11" s="1389"/>
      <c r="BV11" s="1389"/>
      <c r="BW11" s="1389"/>
      <c r="BX11" s="1389"/>
      <c r="BY11" s="1389"/>
      <c r="BZ11" s="1389"/>
      <c r="CA11" s="1389"/>
      <c r="CB11" s="1389"/>
      <c r="CC11" s="1389"/>
      <c r="CD11" s="1389"/>
      <c r="CE11" s="1389"/>
      <c r="CF11" s="1389"/>
      <c r="CG11" s="1389"/>
      <c r="CH11" s="1389"/>
      <c r="CI11" s="1389"/>
      <c r="CJ11" s="1389"/>
      <c r="CK11" s="1389"/>
      <c r="CL11" s="1389"/>
      <c r="CM11" s="1389"/>
      <c r="CN11" s="1390"/>
      <c r="CO11" s="177"/>
      <c r="CP11" s="177"/>
      <c r="CQ11" s="177"/>
      <c r="CR11" s="177"/>
      <c r="CS11" s="177"/>
      <c r="CT11" s="3"/>
      <c r="CU11" s="3"/>
      <c r="CV11" s="177"/>
      <c r="CW11" s="177"/>
      <c r="CX11" s="177"/>
      <c r="CY11" s="177"/>
      <c r="CZ11" s="3"/>
    </row>
    <row r="12" spans="1:105" ht="18" customHeight="1" x14ac:dyDescent="0.3">
      <c r="A12" s="178"/>
      <c r="B12" s="180"/>
      <c r="C12" s="185"/>
      <c r="D12" s="186" t="s">
        <v>178</v>
      </c>
      <c r="E12" s="182">
        <v>7</v>
      </c>
      <c r="F12" s="186" t="s">
        <v>22</v>
      </c>
      <c r="G12" s="248">
        <v>2</v>
      </c>
      <c r="H12" s="237" t="s">
        <v>32</v>
      </c>
      <c r="I12" s="1394" t="s">
        <v>6</v>
      </c>
      <c r="J12" s="1395"/>
      <c r="K12" s="1396"/>
      <c r="L12" s="709"/>
      <c r="M12" s="709"/>
      <c r="N12" s="709"/>
      <c r="O12" s="1394" t="s">
        <v>35</v>
      </c>
      <c r="P12" s="1396"/>
      <c r="Q12" s="709"/>
      <c r="R12" s="709"/>
      <c r="S12" s="709"/>
      <c r="T12" s="1394" t="s">
        <v>25</v>
      </c>
      <c r="U12" s="1397"/>
      <c r="V12" s="709"/>
      <c r="W12" s="709"/>
      <c r="X12" s="709"/>
      <c r="Y12" s="1398" t="s">
        <v>268</v>
      </c>
      <c r="Z12" s="1399"/>
      <c r="AA12" s="1400"/>
      <c r="AB12" s="1400"/>
      <c r="AC12" s="1400"/>
      <c r="AD12" s="1399"/>
      <c r="AE12" s="1399"/>
      <c r="AF12" s="1400"/>
      <c r="AG12" s="1400"/>
      <c r="AH12" s="1400"/>
      <c r="AI12" s="1401"/>
      <c r="AJ12" s="1405" t="s">
        <v>272</v>
      </c>
      <c r="AK12" s="1406"/>
      <c r="AL12" s="1406"/>
      <c r="AM12" s="1406"/>
      <c r="AN12" s="1407"/>
      <c r="AO12" s="1407"/>
      <c r="AP12" s="1406"/>
      <c r="AQ12" s="1406"/>
      <c r="AR12" s="1406"/>
      <c r="AS12" s="1407"/>
      <c r="AT12" s="1407"/>
      <c r="AU12" s="1406"/>
      <c r="AV12" s="1406"/>
      <c r="AW12" s="1406"/>
      <c r="AX12" s="1407"/>
      <c r="AY12" s="1407"/>
      <c r="AZ12" s="1406"/>
      <c r="BA12" s="1406"/>
      <c r="BB12" s="1406"/>
      <c r="BC12" s="1407"/>
      <c r="BD12" s="1408"/>
      <c r="BE12" s="723"/>
      <c r="BF12" s="723"/>
      <c r="BG12" s="723"/>
      <c r="BH12" s="1388"/>
      <c r="BI12" s="1389"/>
      <c r="BJ12" s="1389"/>
      <c r="BK12" s="1389"/>
      <c r="BL12" s="1389"/>
      <c r="BM12" s="1389"/>
      <c r="BN12" s="1389"/>
      <c r="BO12" s="1389"/>
      <c r="BP12" s="1389"/>
      <c r="BQ12" s="1389"/>
      <c r="BR12" s="1389"/>
      <c r="BS12" s="1389"/>
      <c r="BT12" s="1389"/>
      <c r="BU12" s="1389"/>
      <c r="BV12" s="1389"/>
      <c r="BW12" s="1389"/>
      <c r="BX12" s="1389"/>
      <c r="BY12" s="1389"/>
      <c r="BZ12" s="1389"/>
      <c r="CA12" s="1389"/>
      <c r="CB12" s="1389"/>
      <c r="CC12" s="1389"/>
      <c r="CD12" s="1389"/>
      <c r="CE12" s="1389"/>
      <c r="CF12" s="1389"/>
      <c r="CG12" s="1389"/>
      <c r="CH12" s="1389"/>
      <c r="CI12" s="1389"/>
      <c r="CJ12" s="1389"/>
      <c r="CK12" s="1389"/>
      <c r="CL12" s="1389"/>
      <c r="CM12" s="1389"/>
      <c r="CN12" s="1390"/>
      <c r="CO12" s="62"/>
      <c r="CP12" s="62"/>
      <c r="CQ12" s="62"/>
      <c r="CR12" s="62"/>
      <c r="CS12" s="62"/>
      <c r="CT12" s="3"/>
      <c r="CU12" s="3"/>
      <c r="CV12" s="62"/>
      <c r="CW12" s="62"/>
      <c r="CX12" s="62"/>
      <c r="CY12" s="62"/>
      <c r="CZ12" s="3"/>
    </row>
    <row r="13" spans="1:105" ht="18" customHeight="1" thickBot="1" x14ac:dyDescent="0.35">
      <c r="A13" s="178"/>
      <c r="B13" s="198"/>
      <c r="C13" s="178" t="s">
        <v>190</v>
      </c>
      <c r="D13" s="234" t="s">
        <v>191</v>
      </c>
      <c r="E13" s="249">
        <v>18</v>
      </c>
      <c r="F13" s="234" t="s">
        <v>192</v>
      </c>
      <c r="G13" s="183"/>
      <c r="H13" s="250" t="s">
        <v>33</v>
      </c>
      <c r="I13" s="1412" t="s">
        <v>23</v>
      </c>
      <c r="J13" s="1413"/>
      <c r="K13" s="1414"/>
      <c r="L13" s="711"/>
      <c r="M13" s="711"/>
      <c r="N13" s="711"/>
      <c r="O13" s="1412" t="s">
        <v>20</v>
      </c>
      <c r="P13" s="1414"/>
      <c r="Q13" s="711"/>
      <c r="R13" s="711"/>
      <c r="S13" s="711"/>
      <c r="T13" s="1412"/>
      <c r="U13" s="1415"/>
      <c r="V13" s="711"/>
      <c r="W13" s="711"/>
      <c r="X13" s="711"/>
      <c r="Y13" s="1402"/>
      <c r="Z13" s="1403"/>
      <c r="AA13" s="1403"/>
      <c r="AB13" s="1403"/>
      <c r="AC13" s="1403"/>
      <c r="AD13" s="1403"/>
      <c r="AE13" s="1403"/>
      <c r="AF13" s="1403"/>
      <c r="AG13" s="1403"/>
      <c r="AH13" s="1403"/>
      <c r="AI13" s="1404"/>
      <c r="AJ13" s="1409"/>
      <c r="AK13" s="1410"/>
      <c r="AL13" s="1410"/>
      <c r="AM13" s="1410"/>
      <c r="AN13" s="1410"/>
      <c r="AO13" s="1410"/>
      <c r="AP13" s="1410"/>
      <c r="AQ13" s="1410"/>
      <c r="AR13" s="1410"/>
      <c r="AS13" s="1410"/>
      <c r="AT13" s="1410"/>
      <c r="AU13" s="1410"/>
      <c r="AV13" s="1410"/>
      <c r="AW13" s="1410"/>
      <c r="AX13" s="1410"/>
      <c r="AY13" s="1410"/>
      <c r="AZ13" s="1410"/>
      <c r="BA13" s="1410"/>
      <c r="BB13" s="1410"/>
      <c r="BC13" s="1410"/>
      <c r="BD13" s="1411"/>
      <c r="BE13" s="710"/>
      <c r="BF13" s="710"/>
      <c r="BG13" s="710"/>
      <c r="BH13" s="1391"/>
      <c r="BI13" s="1392"/>
      <c r="BJ13" s="1392"/>
      <c r="BK13" s="1392"/>
      <c r="BL13" s="1392"/>
      <c r="BM13" s="1392"/>
      <c r="BN13" s="1392"/>
      <c r="BO13" s="1392"/>
      <c r="BP13" s="1392"/>
      <c r="BQ13" s="1392"/>
      <c r="BR13" s="1392"/>
      <c r="BS13" s="1392"/>
      <c r="BT13" s="1392"/>
      <c r="BU13" s="1392"/>
      <c r="BV13" s="1392"/>
      <c r="BW13" s="1392"/>
      <c r="BX13" s="1392"/>
      <c r="BY13" s="1392"/>
      <c r="BZ13" s="1392"/>
      <c r="CA13" s="1392"/>
      <c r="CB13" s="1392"/>
      <c r="CC13" s="1392"/>
      <c r="CD13" s="1392"/>
      <c r="CE13" s="1392"/>
      <c r="CF13" s="1392"/>
      <c r="CG13" s="1392"/>
      <c r="CH13" s="1392"/>
      <c r="CI13" s="1392"/>
      <c r="CJ13" s="1392"/>
      <c r="CK13" s="1392"/>
      <c r="CL13" s="1392"/>
      <c r="CM13" s="1392"/>
      <c r="CN13" s="1393"/>
      <c r="CO13" s="46"/>
      <c r="CP13" s="46"/>
      <c r="CQ13" s="46"/>
      <c r="CR13" s="46"/>
      <c r="CS13" s="46"/>
      <c r="CT13" s="3"/>
      <c r="CU13" s="3"/>
      <c r="CV13" s="46"/>
      <c r="CW13" s="46"/>
      <c r="CX13" s="46"/>
      <c r="CY13" s="46"/>
      <c r="CZ13" s="3"/>
    </row>
    <row r="14" spans="1:105" ht="15.75" customHeight="1" x14ac:dyDescent="0.3">
      <c r="A14" s="178"/>
      <c r="B14" s="179" t="s">
        <v>1033</v>
      </c>
      <c r="C14" s="180"/>
      <c r="D14" s="180"/>
      <c r="E14" s="181"/>
      <c r="F14" s="197"/>
      <c r="G14" s="180"/>
      <c r="H14" s="1417" t="s">
        <v>194</v>
      </c>
      <c r="I14" s="1418"/>
      <c r="J14" s="1418"/>
      <c r="K14" s="1418"/>
      <c r="L14" s="1418"/>
      <c r="M14" s="1418"/>
      <c r="N14" s="1418"/>
      <c r="O14" s="1418"/>
      <c r="P14" s="1418"/>
      <c r="Q14" s="1418"/>
      <c r="R14" s="1418"/>
      <c r="S14" s="1418"/>
      <c r="T14" s="1418"/>
      <c r="U14" s="1419"/>
      <c r="V14" s="720"/>
      <c r="W14" s="720"/>
      <c r="X14" s="720"/>
      <c r="Y14" s="1398" t="s">
        <v>269</v>
      </c>
      <c r="Z14" s="1399"/>
      <c r="AA14" s="1400"/>
      <c r="AB14" s="1400"/>
      <c r="AC14" s="1400"/>
      <c r="AD14" s="1399"/>
      <c r="AE14" s="1399"/>
      <c r="AF14" s="1400"/>
      <c r="AG14" s="1400"/>
      <c r="AH14" s="1400"/>
      <c r="AI14" s="1401"/>
      <c r="AJ14" s="1405" t="s">
        <v>267</v>
      </c>
      <c r="AK14" s="1406"/>
      <c r="AL14" s="1406"/>
      <c r="AM14" s="1406"/>
      <c r="AN14" s="1407"/>
      <c r="AO14" s="1407"/>
      <c r="AP14" s="1406"/>
      <c r="AQ14" s="1406"/>
      <c r="AR14" s="1406"/>
      <c r="AS14" s="1407"/>
      <c r="AT14" s="1407"/>
      <c r="AU14" s="1406"/>
      <c r="AV14" s="1406"/>
      <c r="AW14" s="1406"/>
      <c r="AX14" s="1407"/>
      <c r="AY14" s="1407"/>
      <c r="AZ14" s="1406"/>
      <c r="BA14" s="1406"/>
      <c r="BB14" s="1406"/>
      <c r="BC14" s="1407"/>
      <c r="BD14" s="1408"/>
      <c r="BE14" s="718"/>
      <c r="BF14" s="718"/>
      <c r="BG14" s="718"/>
      <c r="BH14" s="1384" t="s">
        <v>193</v>
      </c>
      <c r="BI14" s="1385"/>
      <c r="BJ14" s="1386"/>
      <c r="BK14" s="1386"/>
      <c r="BL14" s="1386"/>
      <c r="BM14" s="1385"/>
      <c r="BN14" s="1385"/>
      <c r="BO14" s="1386"/>
      <c r="BP14" s="1386"/>
      <c r="BQ14" s="1386"/>
      <c r="BR14" s="1385"/>
      <c r="BS14" s="1386"/>
      <c r="BT14" s="1386"/>
      <c r="BU14" s="1386"/>
      <c r="BV14" s="1386"/>
      <c r="BW14" s="1386"/>
      <c r="BX14" s="1385"/>
      <c r="BY14" s="1386"/>
      <c r="BZ14" s="1386"/>
      <c r="CA14" s="1386"/>
      <c r="CB14" s="1385"/>
      <c r="CC14" s="1385"/>
      <c r="CD14" s="1386"/>
      <c r="CE14" s="1386"/>
      <c r="CF14" s="1386"/>
      <c r="CG14" s="1386"/>
      <c r="CH14" s="1385"/>
      <c r="CI14" s="1385"/>
      <c r="CJ14" s="1386"/>
      <c r="CK14" s="1386"/>
      <c r="CL14" s="1386"/>
      <c r="CM14" s="1386"/>
      <c r="CN14" s="1387"/>
      <c r="CO14" s="62"/>
      <c r="CP14" s="62"/>
      <c r="CQ14" s="62"/>
      <c r="CR14" s="62"/>
      <c r="CS14" s="62"/>
      <c r="CT14" s="3"/>
      <c r="CU14" s="3"/>
      <c r="CV14" s="62"/>
      <c r="CW14" s="62"/>
      <c r="CX14" s="62"/>
      <c r="CY14" s="62"/>
      <c r="CZ14" s="3"/>
    </row>
    <row r="15" spans="1:105" ht="18" customHeight="1" thickBot="1" x14ac:dyDescent="0.35">
      <c r="A15" s="178"/>
      <c r="B15" s="184" t="s">
        <v>176</v>
      </c>
      <c r="C15" s="185"/>
      <c r="D15" s="186" t="s">
        <v>177</v>
      </c>
      <c r="E15" s="182">
        <v>7</v>
      </c>
      <c r="F15" s="186" t="s">
        <v>179</v>
      </c>
      <c r="G15" s="248">
        <v>3</v>
      </c>
      <c r="H15" s="237" t="s">
        <v>31</v>
      </c>
      <c r="I15" s="1394" t="s">
        <v>34</v>
      </c>
      <c r="J15" s="1395"/>
      <c r="K15" s="1396"/>
      <c r="L15" s="709"/>
      <c r="M15" s="709"/>
      <c r="N15" s="709"/>
      <c r="O15" s="1394" t="s">
        <v>24</v>
      </c>
      <c r="P15" s="1396"/>
      <c r="Q15" s="709"/>
      <c r="R15" s="709"/>
      <c r="S15" s="709"/>
      <c r="T15" s="1394" t="s">
        <v>21</v>
      </c>
      <c r="U15" s="1397"/>
      <c r="V15" s="709"/>
      <c r="W15" s="709"/>
      <c r="X15" s="709"/>
      <c r="Y15" s="1402"/>
      <c r="Z15" s="1403"/>
      <c r="AA15" s="1403"/>
      <c r="AB15" s="1403"/>
      <c r="AC15" s="1403"/>
      <c r="AD15" s="1403"/>
      <c r="AE15" s="1403"/>
      <c r="AF15" s="1403"/>
      <c r="AG15" s="1403"/>
      <c r="AH15" s="1403"/>
      <c r="AI15" s="1404"/>
      <c r="AJ15" s="1409"/>
      <c r="AK15" s="1410"/>
      <c r="AL15" s="1410"/>
      <c r="AM15" s="1410"/>
      <c r="AN15" s="1410"/>
      <c r="AO15" s="1410"/>
      <c r="AP15" s="1410"/>
      <c r="AQ15" s="1410"/>
      <c r="AR15" s="1410"/>
      <c r="AS15" s="1410"/>
      <c r="AT15" s="1410"/>
      <c r="AU15" s="1410"/>
      <c r="AV15" s="1410"/>
      <c r="AW15" s="1410"/>
      <c r="AX15" s="1410"/>
      <c r="AY15" s="1410"/>
      <c r="AZ15" s="1410"/>
      <c r="BA15" s="1410"/>
      <c r="BB15" s="1410"/>
      <c r="BC15" s="1410"/>
      <c r="BD15" s="1411"/>
      <c r="BE15" s="723"/>
      <c r="BF15" s="723"/>
      <c r="BG15" s="723"/>
      <c r="BH15" s="1388"/>
      <c r="BI15" s="1389"/>
      <c r="BJ15" s="1389"/>
      <c r="BK15" s="1389"/>
      <c r="BL15" s="1389"/>
      <c r="BM15" s="1389"/>
      <c r="BN15" s="1389"/>
      <c r="BO15" s="1389"/>
      <c r="BP15" s="1389"/>
      <c r="BQ15" s="1389"/>
      <c r="BR15" s="1389"/>
      <c r="BS15" s="1389"/>
      <c r="BT15" s="1389"/>
      <c r="BU15" s="1389"/>
      <c r="BV15" s="1389"/>
      <c r="BW15" s="1389"/>
      <c r="BX15" s="1389"/>
      <c r="BY15" s="1389"/>
      <c r="BZ15" s="1389"/>
      <c r="CA15" s="1389"/>
      <c r="CB15" s="1389"/>
      <c r="CC15" s="1389"/>
      <c r="CD15" s="1389"/>
      <c r="CE15" s="1389"/>
      <c r="CF15" s="1389"/>
      <c r="CG15" s="1389"/>
      <c r="CH15" s="1389"/>
      <c r="CI15" s="1389"/>
      <c r="CJ15" s="1389"/>
      <c r="CK15" s="1389"/>
      <c r="CL15" s="1389"/>
      <c r="CM15" s="1389"/>
      <c r="CN15" s="1390"/>
      <c r="CO15" s="177"/>
      <c r="CP15" s="177"/>
      <c r="CQ15" s="177"/>
      <c r="CR15" s="177"/>
      <c r="CS15" s="177"/>
      <c r="CT15" s="3"/>
      <c r="CU15" s="3"/>
      <c r="CV15" s="177"/>
      <c r="CW15" s="177"/>
      <c r="CX15" s="177"/>
      <c r="CY15" s="177"/>
      <c r="CZ15" s="3"/>
    </row>
    <row r="16" spans="1:105" ht="18" customHeight="1" x14ac:dyDescent="0.3">
      <c r="A16" s="178"/>
      <c r="B16" s="180"/>
      <c r="C16" s="185"/>
      <c r="D16" s="186" t="s">
        <v>178</v>
      </c>
      <c r="E16" s="182">
        <v>7</v>
      </c>
      <c r="F16" s="186" t="s">
        <v>22</v>
      </c>
      <c r="G16" s="248">
        <v>2</v>
      </c>
      <c r="H16" s="237" t="s">
        <v>32</v>
      </c>
      <c r="I16" s="1394" t="s">
        <v>6</v>
      </c>
      <c r="J16" s="1395"/>
      <c r="K16" s="1396"/>
      <c r="L16" s="709"/>
      <c r="M16" s="709"/>
      <c r="N16" s="709"/>
      <c r="O16" s="1394" t="s">
        <v>35</v>
      </c>
      <c r="P16" s="1396"/>
      <c r="Q16" s="709"/>
      <c r="R16" s="709"/>
      <c r="S16" s="709"/>
      <c r="T16" s="1394" t="s">
        <v>25</v>
      </c>
      <c r="U16" s="1397"/>
      <c r="V16" s="709"/>
      <c r="W16" s="709"/>
      <c r="X16" s="709"/>
      <c r="Y16" s="1398" t="s">
        <v>268</v>
      </c>
      <c r="Z16" s="1399"/>
      <c r="AA16" s="1400"/>
      <c r="AB16" s="1400"/>
      <c r="AC16" s="1400"/>
      <c r="AD16" s="1399"/>
      <c r="AE16" s="1399"/>
      <c r="AF16" s="1400"/>
      <c r="AG16" s="1400"/>
      <c r="AH16" s="1400"/>
      <c r="AI16" s="1401"/>
      <c r="AJ16" s="1405" t="s">
        <v>272</v>
      </c>
      <c r="AK16" s="1406"/>
      <c r="AL16" s="1406"/>
      <c r="AM16" s="1406"/>
      <c r="AN16" s="1407"/>
      <c r="AO16" s="1407"/>
      <c r="AP16" s="1406"/>
      <c r="AQ16" s="1406"/>
      <c r="AR16" s="1406"/>
      <c r="AS16" s="1407"/>
      <c r="AT16" s="1407"/>
      <c r="AU16" s="1406"/>
      <c r="AV16" s="1406"/>
      <c r="AW16" s="1406"/>
      <c r="AX16" s="1407"/>
      <c r="AY16" s="1407"/>
      <c r="AZ16" s="1406"/>
      <c r="BA16" s="1406"/>
      <c r="BB16" s="1406"/>
      <c r="BC16" s="1407"/>
      <c r="BD16" s="1408"/>
      <c r="BE16" s="723"/>
      <c r="BF16" s="723"/>
      <c r="BG16" s="723"/>
      <c r="BH16" s="1388"/>
      <c r="BI16" s="1389"/>
      <c r="BJ16" s="1389"/>
      <c r="BK16" s="1389"/>
      <c r="BL16" s="1389"/>
      <c r="BM16" s="1389"/>
      <c r="BN16" s="1389"/>
      <c r="BO16" s="1389"/>
      <c r="BP16" s="1389"/>
      <c r="BQ16" s="1389"/>
      <c r="BR16" s="1389"/>
      <c r="BS16" s="1389"/>
      <c r="BT16" s="1389"/>
      <c r="BU16" s="1389"/>
      <c r="BV16" s="1389"/>
      <c r="BW16" s="1389"/>
      <c r="BX16" s="1389"/>
      <c r="BY16" s="1389"/>
      <c r="BZ16" s="1389"/>
      <c r="CA16" s="1389"/>
      <c r="CB16" s="1389"/>
      <c r="CC16" s="1389"/>
      <c r="CD16" s="1389"/>
      <c r="CE16" s="1389"/>
      <c r="CF16" s="1389"/>
      <c r="CG16" s="1389"/>
      <c r="CH16" s="1389"/>
      <c r="CI16" s="1389"/>
      <c r="CJ16" s="1389"/>
      <c r="CK16" s="1389"/>
      <c r="CL16" s="1389"/>
      <c r="CM16" s="1389"/>
      <c r="CN16" s="1390"/>
      <c r="CO16" s="62"/>
      <c r="CP16" s="62"/>
      <c r="CQ16" s="62"/>
      <c r="CR16" s="62"/>
      <c r="CS16" s="62"/>
      <c r="CT16" s="3"/>
      <c r="CU16" s="3"/>
      <c r="CV16" s="62"/>
      <c r="CW16" s="62"/>
      <c r="CX16" s="62"/>
      <c r="CY16" s="62"/>
      <c r="CZ16" s="3"/>
    </row>
    <row r="17" spans="1:114" ht="18" customHeight="1" thickBot="1" x14ac:dyDescent="0.35">
      <c r="A17" s="178"/>
      <c r="B17" s="198"/>
      <c r="C17" s="178" t="s">
        <v>190</v>
      </c>
      <c r="D17" s="234" t="s">
        <v>191</v>
      </c>
      <c r="E17" s="249">
        <v>18</v>
      </c>
      <c r="F17" s="234" t="s">
        <v>192</v>
      </c>
      <c r="G17" s="183"/>
      <c r="H17" s="250" t="s">
        <v>33</v>
      </c>
      <c r="I17" s="1412" t="s">
        <v>23</v>
      </c>
      <c r="J17" s="1413"/>
      <c r="K17" s="1414"/>
      <c r="L17" s="711"/>
      <c r="M17" s="711"/>
      <c r="N17" s="711"/>
      <c r="O17" s="1412" t="s">
        <v>20</v>
      </c>
      <c r="P17" s="1414"/>
      <c r="Q17" s="711"/>
      <c r="R17" s="711"/>
      <c r="S17" s="711"/>
      <c r="T17" s="1412"/>
      <c r="U17" s="1415"/>
      <c r="V17" s="711"/>
      <c r="W17" s="711"/>
      <c r="X17" s="711"/>
      <c r="Y17" s="1402"/>
      <c r="Z17" s="1403"/>
      <c r="AA17" s="1403"/>
      <c r="AB17" s="1403"/>
      <c r="AC17" s="1403"/>
      <c r="AD17" s="1403"/>
      <c r="AE17" s="1403"/>
      <c r="AF17" s="1403"/>
      <c r="AG17" s="1403"/>
      <c r="AH17" s="1403"/>
      <c r="AI17" s="1404"/>
      <c r="AJ17" s="1409"/>
      <c r="AK17" s="1410"/>
      <c r="AL17" s="1410"/>
      <c r="AM17" s="1410"/>
      <c r="AN17" s="1410"/>
      <c r="AO17" s="1410"/>
      <c r="AP17" s="1410"/>
      <c r="AQ17" s="1410"/>
      <c r="AR17" s="1410"/>
      <c r="AS17" s="1410"/>
      <c r="AT17" s="1410"/>
      <c r="AU17" s="1410"/>
      <c r="AV17" s="1410"/>
      <c r="AW17" s="1410"/>
      <c r="AX17" s="1410"/>
      <c r="AY17" s="1410"/>
      <c r="AZ17" s="1410"/>
      <c r="BA17" s="1410"/>
      <c r="BB17" s="1410"/>
      <c r="BC17" s="1410"/>
      <c r="BD17" s="1411"/>
      <c r="BE17" s="710"/>
      <c r="BF17" s="710"/>
      <c r="BG17" s="710"/>
      <c r="BH17" s="1391"/>
      <c r="BI17" s="1392"/>
      <c r="BJ17" s="1392"/>
      <c r="BK17" s="1392"/>
      <c r="BL17" s="1392"/>
      <c r="BM17" s="1392"/>
      <c r="BN17" s="1392"/>
      <c r="BO17" s="1392"/>
      <c r="BP17" s="1392"/>
      <c r="BQ17" s="1392"/>
      <c r="BR17" s="1392"/>
      <c r="BS17" s="1392"/>
      <c r="BT17" s="1392"/>
      <c r="BU17" s="1392"/>
      <c r="BV17" s="1392"/>
      <c r="BW17" s="1392"/>
      <c r="BX17" s="1392"/>
      <c r="BY17" s="1392"/>
      <c r="BZ17" s="1392"/>
      <c r="CA17" s="1392"/>
      <c r="CB17" s="1392"/>
      <c r="CC17" s="1392"/>
      <c r="CD17" s="1392"/>
      <c r="CE17" s="1392"/>
      <c r="CF17" s="1392"/>
      <c r="CG17" s="1392"/>
      <c r="CH17" s="1392"/>
      <c r="CI17" s="1392"/>
      <c r="CJ17" s="1392"/>
      <c r="CK17" s="1392"/>
      <c r="CL17" s="1392"/>
      <c r="CM17" s="1392"/>
      <c r="CN17" s="1393"/>
      <c r="CO17" s="46"/>
      <c r="CP17" s="46"/>
      <c r="CQ17" s="46"/>
      <c r="CR17" s="46"/>
      <c r="CS17" s="46"/>
      <c r="CT17" s="3"/>
      <c r="CU17" s="3"/>
      <c r="CV17" s="46"/>
      <c r="CW17" s="46"/>
      <c r="CX17" s="46"/>
      <c r="CY17" s="46"/>
      <c r="CZ17" s="3"/>
    </row>
    <row r="18" spans="1:114" ht="15.75" customHeight="1" x14ac:dyDescent="0.3">
      <c r="A18" s="178"/>
      <c r="B18" s="179" t="s">
        <v>1034</v>
      </c>
      <c r="C18" s="180"/>
      <c r="D18" s="180"/>
      <c r="E18" s="181"/>
      <c r="F18" s="197"/>
      <c r="G18" s="180"/>
      <c r="H18" s="1417" t="s">
        <v>194</v>
      </c>
      <c r="I18" s="1418"/>
      <c r="J18" s="1418"/>
      <c r="K18" s="1418"/>
      <c r="L18" s="1418"/>
      <c r="M18" s="1418"/>
      <c r="N18" s="1418"/>
      <c r="O18" s="1418"/>
      <c r="P18" s="1418"/>
      <c r="Q18" s="1418"/>
      <c r="R18" s="1418"/>
      <c r="S18" s="1418"/>
      <c r="T18" s="1418"/>
      <c r="U18" s="1419"/>
      <c r="V18" s="720"/>
      <c r="W18" s="720"/>
      <c r="X18" s="720"/>
      <c r="Y18" s="1398" t="s">
        <v>269</v>
      </c>
      <c r="Z18" s="1399"/>
      <c r="AA18" s="1400"/>
      <c r="AB18" s="1400"/>
      <c r="AC18" s="1400"/>
      <c r="AD18" s="1399"/>
      <c r="AE18" s="1399"/>
      <c r="AF18" s="1400"/>
      <c r="AG18" s="1400"/>
      <c r="AH18" s="1400"/>
      <c r="AI18" s="1401"/>
      <c r="AJ18" s="1405" t="s">
        <v>267</v>
      </c>
      <c r="AK18" s="1406"/>
      <c r="AL18" s="1406"/>
      <c r="AM18" s="1406"/>
      <c r="AN18" s="1407"/>
      <c r="AO18" s="1407"/>
      <c r="AP18" s="1406"/>
      <c r="AQ18" s="1406"/>
      <c r="AR18" s="1406"/>
      <c r="AS18" s="1407"/>
      <c r="AT18" s="1407"/>
      <c r="AU18" s="1406"/>
      <c r="AV18" s="1406"/>
      <c r="AW18" s="1406"/>
      <c r="AX18" s="1407"/>
      <c r="AY18" s="1407"/>
      <c r="AZ18" s="1406"/>
      <c r="BA18" s="1406"/>
      <c r="BB18" s="1406"/>
      <c r="BC18" s="1407"/>
      <c r="BD18" s="1408"/>
      <c r="BE18" s="718"/>
      <c r="BF18" s="718"/>
      <c r="BG18" s="718"/>
      <c r="BH18" s="1384" t="s">
        <v>193</v>
      </c>
      <c r="BI18" s="1385"/>
      <c r="BJ18" s="1386"/>
      <c r="BK18" s="1386"/>
      <c r="BL18" s="1386"/>
      <c r="BM18" s="1385"/>
      <c r="BN18" s="1385"/>
      <c r="BO18" s="1386"/>
      <c r="BP18" s="1386"/>
      <c r="BQ18" s="1386"/>
      <c r="BR18" s="1385"/>
      <c r="BS18" s="1386"/>
      <c r="BT18" s="1386"/>
      <c r="BU18" s="1386"/>
      <c r="BV18" s="1386"/>
      <c r="BW18" s="1386"/>
      <c r="BX18" s="1385"/>
      <c r="BY18" s="1386"/>
      <c r="BZ18" s="1386"/>
      <c r="CA18" s="1386"/>
      <c r="CB18" s="1385"/>
      <c r="CC18" s="1385"/>
      <c r="CD18" s="1386"/>
      <c r="CE18" s="1386"/>
      <c r="CF18" s="1386"/>
      <c r="CG18" s="1386"/>
      <c r="CH18" s="1385"/>
      <c r="CI18" s="1385"/>
      <c r="CJ18" s="1386"/>
      <c r="CK18" s="1386"/>
      <c r="CL18" s="1386"/>
      <c r="CM18" s="1386"/>
      <c r="CN18" s="1387"/>
      <c r="CO18" s="62"/>
      <c r="CP18" s="62"/>
      <c r="CQ18" s="62"/>
      <c r="CR18" s="62"/>
      <c r="CS18" s="62"/>
      <c r="CT18" s="3"/>
      <c r="CU18" s="3"/>
      <c r="CV18" s="62"/>
      <c r="CW18" s="62"/>
      <c r="CX18" s="62"/>
      <c r="CY18" s="62"/>
      <c r="CZ18" s="3"/>
    </row>
    <row r="19" spans="1:114" ht="18" customHeight="1" thickBot="1" x14ac:dyDescent="0.35">
      <c r="A19" s="178"/>
      <c r="B19" s="184" t="s">
        <v>176</v>
      </c>
      <c r="C19" s="185"/>
      <c r="D19" s="186" t="s">
        <v>177</v>
      </c>
      <c r="E19" s="182">
        <v>7</v>
      </c>
      <c r="F19" s="186" t="s">
        <v>179</v>
      </c>
      <c r="G19" s="248">
        <v>3</v>
      </c>
      <c r="H19" s="237" t="s">
        <v>31</v>
      </c>
      <c r="I19" s="1394" t="s">
        <v>34</v>
      </c>
      <c r="J19" s="1395"/>
      <c r="K19" s="1396"/>
      <c r="L19" s="709"/>
      <c r="M19" s="709"/>
      <c r="N19" s="709"/>
      <c r="O19" s="1394" t="s">
        <v>24</v>
      </c>
      <c r="P19" s="1396"/>
      <c r="Q19" s="709"/>
      <c r="R19" s="709"/>
      <c r="S19" s="709"/>
      <c r="T19" s="1394" t="s">
        <v>21</v>
      </c>
      <c r="U19" s="1397"/>
      <c r="V19" s="709"/>
      <c r="W19" s="709"/>
      <c r="X19" s="709"/>
      <c r="Y19" s="1402"/>
      <c r="Z19" s="1403"/>
      <c r="AA19" s="1403"/>
      <c r="AB19" s="1403"/>
      <c r="AC19" s="1403"/>
      <c r="AD19" s="1403"/>
      <c r="AE19" s="1403"/>
      <c r="AF19" s="1403"/>
      <c r="AG19" s="1403"/>
      <c r="AH19" s="1403"/>
      <c r="AI19" s="1404"/>
      <c r="AJ19" s="1409"/>
      <c r="AK19" s="1410"/>
      <c r="AL19" s="1410"/>
      <c r="AM19" s="1410"/>
      <c r="AN19" s="1410"/>
      <c r="AO19" s="1410"/>
      <c r="AP19" s="1410"/>
      <c r="AQ19" s="1410"/>
      <c r="AR19" s="1410"/>
      <c r="AS19" s="1410"/>
      <c r="AT19" s="1410"/>
      <c r="AU19" s="1410"/>
      <c r="AV19" s="1410"/>
      <c r="AW19" s="1410"/>
      <c r="AX19" s="1410"/>
      <c r="AY19" s="1410"/>
      <c r="AZ19" s="1410"/>
      <c r="BA19" s="1410"/>
      <c r="BB19" s="1410"/>
      <c r="BC19" s="1410"/>
      <c r="BD19" s="1411"/>
      <c r="BE19" s="723"/>
      <c r="BF19" s="723"/>
      <c r="BG19" s="723"/>
      <c r="BH19" s="1388"/>
      <c r="BI19" s="1389"/>
      <c r="BJ19" s="1389"/>
      <c r="BK19" s="1389"/>
      <c r="BL19" s="1389"/>
      <c r="BM19" s="1389"/>
      <c r="BN19" s="1389"/>
      <c r="BO19" s="1389"/>
      <c r="BP19" s="1389"/>
      <c r="BQ19" s="1389"/>
      <c r="BR19" s="1389"/>
      <c r="BS19" s="1389"/>
      <c r="BT19" s="1389"/>
      <c r="BU19" s="1389"/>
      <c r="BV19" s="1389"/>
      <c r="BW19" s="1389"/>
      <c r="BX19" s="1389"/>
      <c r="BY19" s="1389"/>
      <c r="BZ19" s="1389"/>
      <c r="CA19" s="1389"/>
      <c r="CB19" s="1389"/>
      <c r="CC19" s="1389"/>
      <c r="CD19" s="1389"/>
      <c r="CE19" s="1389"/>
      <c r="CF19" s="1389"/>
      <c r="CG19" s="1389"/>
      <c r="CH19" s="1389"/>
      <c r="CI19" s="1389"/>
      <c r="CJ19" s="1389"/>
      <c r="CK19" s="1389"/>
      <c r="CL19" s="1389"/>
      <c r="CM19" s="1389"/>
      <c r="CN19" s="1390"/>
      <c r="CO19" s="177"/>
      <c r="CP19" s="177"/>
      <c r="CQ19" s="177"/>
      <c r="CR19" s="177"/>
      <c r="CS19" s="177"/>
      <c r="CT19" s="3"/>
      <c r="CU19" s="3"/>
      <c r="CV19" s="177"/>
      <c r="CW19" s="177"/>
      <c r="CX19" s="177"/>
      <c r="CY19" s="177"/>
      <c r="CZ19" s="3"/>
    </row>
    <row r="20" spans="1:114" ht="18" customHeight="1" x14ac:dyDescent="0.3">
      <c r="A20" s="178"/>
      <c r="B20" s="180"/>
      <c r="C20" s="185"/>
      <c r="D20" s="186" t="s">
        <v>178</v>
      </c>
      <c r="E20" s="182">
        <v>7</v>
      </c>
      <c r="F20" s="186" t="s">
        <v>22</v>
      </c>
      <c r="G20" s="248">
        <v>2</v>
      </c>
      <c r="H20" s="237" t="s">
        <v>32</v>
      </c>
      <c r="I20" s="1394" t="s">
        <v>6</v>
      </c>
      <c r="J20" s="1395"/>
      <c r="K20" s="1396"/>
      <c r="L20" s="709"/>
      <c r="M20" s="709"/>
      <c r="N20" s="709"/>
      <c r="O20" s="1394" t="s">
        <v>35</v>
      </c>
      <c r="P20" s="1396"/>
      <c r="Q20" s="709"/>
      <c r="R20" s="709"/>
      <c r="S20" s="709"/>
      <c r="T20" s="1394" t="s">
        <v>25</v>
      </c>
      <c r="U20" s="1397"/>
      <c r="V20" s="709"/>
      <c r="W20" s="709"/>
      <c r="X20" s="709"/>
      <c r="Y20" s="1398" t="s">
        <v>268</v>
      </c>
      <c r="Z20" s="1399"/>
      <c r="AA20" s="1400"/>
      <c r="AB20" s="1400"/>
      <c r="AC20" s="1400"/>
      <c r="AD20" s="1399"/>
      <c r="AE20" s="1399"/>
      <c r="AF20" s="1400"/>
      <c r="AG20" s="1400"/>
      <c r="AH20" s="1400"/>
      <c r="AI20" s="1401"/>
      <c r="AJ20" s="1405" t="s">
        <v>272</v>
      </c>
      <c r="AK20" s="1406"/>
      <c r="AL20" s="1406"/>
      <c r="AM20" s="1406"/>
      <c r="AN20" s="1407"/>
      <c r="AO20" s="1407"/>
      <c r="AP20" s="1406"/>
      <c r="AQ20" s="1406"/>
      <c r="AR20" s="1406"/>
      <c r="AS20" s="1407"/>
      <c r="AT20" s="1407"/>
      <c r="AU20" s="1406"/>
      <c r="AV20" s="1406"/>
      <c r="AW20" s="1406"/>
      <c r="AX20" s="1407"/>
      <c r="AY20" s="1407"/>
      <c r="AZ20" s="1406"/>
      <c r="BA20" s="1406"/>
      <c r="BB20" s="1406"/>
      <c r="BC20" s="1407"/>
      <c r="BD20" s="1408"/>
      <c r="BE20" s="723"/>
      <c r="BF20" s="723"/>
      <c r="BG20" s="723"/>
      <c r="BH20" s="1388"/>
      <c r="BI20" s="1389"/>
      <c r="BJ20" s="1389"/>
      <c r="BK20" s="1389"/>
      <c r="BL20" s="1389"/>
      <c r="BM20" s="1389"/>
      <c r="BN20" s="1389"/>
      <c r="BO20" s="1389"/>
      <c r="BP20" s="1389"/>
      <c r="BQ20" s="1389"/>
      <c r="BR20" s="1389"/>
      <c r="BS20" s="1389"/>
      <c r="BT20" s="1389"/>
      <c r="BU20" s="1389"/>
      <c r="BV20" s="1389"/>
      <c r="BW20" s="1389"/>
      <c r="BX20" s="1389"/>
      <c r="BY20" s="1389"/>
      <c r="BZ20" s="1389"/>
      <c r="CA20" s="1389"/>
      <c r="CB20" s="1389"/>
      <c r="CC20" s="1389"/>
      <c r="CD20" s="1389"/>
      <c r="CE20" s="1389"/>
      <c r="CF20" s="1389"/>
      <c r="CG20" s="1389"/>
      <c r="CH20" s="1389"/>
      <c r="CI20" s="1389"/>
      <c r="CJ20" s="1389"/>
      <c r="CK20" s="1389"/>
      <c r="CL20" s="1389"/>
      <c r="CM20" s="1389"/>
      <c r="CN20" s="1390"/>
      <c r="CO20" s="62"/>
      <c r="CP20" s="62"/>
      <c r="CQ20" s="62"/>
      <c r="CR20" s="62"/>
      <c r="CS20" s="62"/>
      <c r="CT20" s="3"/>
      <c r="CU20" s="3"/>
      <c r="CV20" s="62"/>
      <c r="CW20" s="62"/>
      <c r="CX20" s="62"/>
      <c r="CY20" s="62"/>
      <c r="CZ20" s="3"/>
    </row>
    <row r="21" spans="1:114" ht="18" customHeight="1" thickBot="1" x14ac:dyDescent="0.35">
      <c r="A21" s="178"/>
      <c r="B21" s="198"/>
      <c r="C21" s="178" t="s">
        <v>190</v>
      </c>
      <c r="D21" s="234" t="s">
        <v>191</v>
      </c>
      <c r="E21" s="249">
        <v>18</v>
      </c>
      <c r="F21" s="234" t="s">
        <v>192</v>
      </c>
      <c r="G21" s="183"/>
      <c r="H21" s="250" t="s">
        <v>33</v>
      </c>
      <c r="I21" s="1412" t="s">
        <v>23</v>
      </c>
      <c r="J21" s="1413"/>
      <c r="K21" s="1414"/>
      <c r="L21" s="711"/>
      <c r="M21" s="711"/>
      <c r="N21" s="711"/>
      <c r="O21" s="1412" t="s">
        <v>20</v>
      </c>
      <c r="P21" s="1414"/>
      <c r="Q21" s="711"/>
      <c r="R21" s="711"/>
      <c r="S21" s="711"/>
      <c r="T21" s="1412"/>
      <c r="U21" s="1415"/>
      <c r="V21" s="711"/>
      <c r="W21" s="711"/>
      <c r="X21" s="711"/>
      <c r="Y21" s="1402"/>
      <c r="Z21" s="1403"/>
      <c r="AA21" s="1403"/>
      <c r="AB21" s="1403"/>
      <c r="AC21" s="1403"/>
      <c r="AD21" s="1403"/>
      <c r="AE21" s="1403"/>
      <c r="AF21" s="1403"/>
      <c r="AG21" s="1403"/>
      <c r="AH21" s="1403"/>
      <c r="AI21" s="1404"/>
      <c r="AJ21" s="1409"/>
      <c r="AK21" s="1410"/>
      <c r="AL21" s="1410"/>
      <c r="AM21" s="1410"/>
      <c r="AN21" s="1410"/>
      <c r="AO21" s="1410"/>
      <c r="AP21" s="1410"/>
      <c r="AQ21" s="1410"/>
      <c r="AR21" s="1410"/>
      <c r="AS21" s="1410"/>
      <c r="AT21" s="1410"/>
      <c r="AU21" s="1410"/>
      <c r="AV21" s="1410"/>
      <c r="AW21" s="1410"/>
      <c r="AX21" s="1410"/>
      <c r="AY21" s="1410"/>
      <c r="AZ21" s="1410"/>
      <c r="BA21" s="1410"/>
      <c r="BB21" s="1410"/>
      <c r="BC21" s="1410"/>
      <c r="BD21" s="1411"/>
      <c r="BE21" s="710"/>
      <c r="BF21" s="710"/>
      <c r="BG21" s="710"/>
      <c r="BH21" s="1391"/>
      <c r="BI21" s="1392"/>
      <c r="BJ21" s="1392"/>
      <c r="BK21" s="1392"/>
      <c r="BL21" s="1392"/>
      <c r="BM21" s="1392"/>
      <c r="BN21" s="1392"/>
      <c r="BO21" s="1392"/>
      <c r="BP21" s="1392"/>
      <c r="BQ21" s="1392"/>
      <c r="BR21" s="1392"/>
      <c r="BS21" s="1392"/>
      <c r="BT21" s="1392"/>
      <c r="BU21" s="1392"/>
      <c r="BV21" s="1392"/>
      <c r="BW21" s="1392"/>
      <c r="BX21" s="1392"/>
      <c r="BY21" s="1392"/>
      <c r="BZ21" s="1392"/>
      <c r="CA21" s="1392"/>
      <c r="CB21" s="1392"/>
      <c r="CC21" s="1392"/>
      <c r="CD21" s="1392"/>
      <c r="CE21" s="1392"/>
      <c r="CF21" s="1392"/>
      <c r="CG21" s="1392"/>
      <c r="CH21" s="1392"/>
      <c r="CI21" s="1392"/>
      <c r="CJ21" s="1392"/>
      <c r="CK21" s="1392"/>
      <c r="CL21" s="1392"/>
      <c r="CM21" s="1392"/>
      <c r="CN21" s="1393"/>
      <c r="CO21" s="46"/>
      <c r="CP21" s="46"/>
      <c r="CQ21" s="46"/>
      <c r="CR21" s="46"/>
      <c r="CS21" s="46"/>
      <c r="CT21" s="3"/>
      <c r="CU21" s="3"/>
      <c r="CV21" s="46"/>
      <c r="CW21" s="46"/>
      <c r="CX21" s="46"/>
      <c r="CY21" s="46"/>
      <c r="CZ21" s="3"/>
    </row>
    <row r="22" spans="1:114" ht="15.75" customHeight="1" x14ac:dyDescent="0.3">
      <c r="A22" s="178"/>
      <c r="B22" s="179" t="s">
        <v>1035</v>
      </c>
      <c r="C22" s="180"/>
      <c r="D22" s="180"/>
      <c r="E22" s="181"/>
      <c r="F22" s="197"/>
      <c r="G22" s="180"/>
      <c r="H22" s="1417" t="s">
        <v>194</v>
      </c>
      <c r="I22" s="1418"/>
      <c r="J22" s="1418"/>
      <c r="K22" s="1418"/>
      <c r="L22" s="1418"/>
      <c r="M22" s="1418"/>
      <c r="N22" s="1418"/>
      <c r="O22" s="1418"/>
      <c r="P22" s="1418"/>
      <c r="Q22" s="1418"/>
      <c r="R22" s="1418"/>
      <c r="S22" s="1418"/>
      <c r="T22" s="1418"/>
      <c r="U22" s="1419"/>
      <c r="V22" s="720"/>
      <c r="W22" s="720"/>
      <c r="X22" s="720"/>
      <c r="Y22" s="1398" t="s">
        <v>269</v>
      </c>
      <c r="Z22" s="1399"/>
      <c r="AA22" s="1400"/>
      <c r="AB22" s="1400"/>
      <c r="AC22" s="1400"/>
      <c r="AD22" s="1399"/>
      <c r="AE22" s="1399"/>
      <c r="AF22" s="1400"/>
      <c r="AG22" s="1400"/>
      <c r="AH22" s="1400"/>
      <c r="AI22" s="1401"/>
      <c r="AJ22" s="1405" t="s">
        <v>267</v>
      </c>
      <c r="AK22" s="1406"/>
      <c r="AL22" s="1406"/>
      <c r="AM22" s="1406"/>
      <c r="AN22" s="1407"/>
      <c r="AO22" s="1407"/>
      <c r="AP22" s="1406"/>
      <c r="AQ22" s="1406"/>
      <c r="AR22" s="1406"/>
      <c r="AS22" s="1407"/>
      <c r="AT22" s="1407"/>
      <c r="AU22" s="1406"/>
      <c r="AV22" s="1406"/>
      <c r="AW22" s="1406"/>
      <c r="AX22" s="1407"/>
      <c r="AY22" s="1407"/>
      <c r="AZ22" s="1406"/>
      <c r="BA22" s="1406"/>
      <c r="BB22" s="1406"/>
      <c r="BC22" s="1407"/>
      <c r="BD22" s="1408"/>
      <c r="BE22" s="718"/>
      <c r="BF22" s="718"/>
      <c r="BG22" s="718"/>
      <c r="BH22" s="1384" t="s">
        <v>193</v>
      </c>
      <c r="BI22" s="1385"/>
      <c r="BJ22" s="1386"/>
      <c r="BK22" s="1386"/>
      <c r="BL22" s="1386"/>
      <c r="BM22" s="1385"/>
      <c r="BN22" s="1385"/>
      <c r="BO22" s="1386"/>
      <c r="BP22" s="1386"/>
      <c r="BQ22" s="1386"/>
      <c r="BR22" s="1385"/>
      <c r="BS22" s="1386"/>
      <c r="BT22" s="1386"/>
      <c r="BU22" s="1386"/>
      <c r="BV22" s="1386"/>
      <c r="BW22" s="1386"/>
      <c r="BX22" s="1385"/>
      <c r="BY22" s="1386"/>
      <c r="BZ22" s="1386"/>
      <c r="CA22" s="1386"/>
      <c r="CB22" s="1385"/>
      <c r="CC22" s="1385"/>
      <c r="CD22" s="1386"/>
      <c r="CE22" s="1386"/>
      <c r="CF22" s="1386"/>
      <c r="CG22" s="1386"/>
      <c r="CH22" s="1385"/>
      <c r="CI22" s="1385"/>
      <c r="CJ22" s="1386"/>
      <c r="CK22" s="1386"/>
      <c r="CL22" s="1386"/>
      <c r="CM22" s="1386"/>
      <c r="CN22" s="1387"/>
      <c r="CO22" s="62"/>
      <c r="CP22" s="62"/>
      <c r="CQ22" s="62"/>
      <c r="CR22" s="62"/>
      <c r="CS22" s="62"/>
      <c r="CT22" s="3"/>
      <c r="CU22" s="3"/>
      <c r="CV22" s="62"/>
      <c r="CW22" s="62"/>
      <c r="CX22" s="62"/>
      <c r="CY22" s="62"/>
      <c r="CZ22" s="3"/>
    </row>
    <row r="23" spans="1:114" ht="18" customHeight="1" thickBot="1" x14ac:dyDescent="0.35">
      <c r="A23" s="178"/>
      <c r="B23" s="184" t="s">
        <v>176</v>
      </c>
      <c r="C23" s="185"/>
      <c r="D23" s="186" t="s">
        <v>177</v>
      </c>
      <c r="E23" s="182">
        <v>7</v>
      </c>
      <c r="F23" s="186" t="s">
        <v>179</v>
      </c>
      <c r="G23" s="248">
        <v>3</v>
      </c>
      <c r="H23" s="237" t="s">
        <v>31</v>
      </c>
      <c r="I23" s="1394" t="s">
        <v>34</v>
      </c>
      <c r="J23" s="1395"/>
      <c r="K23" s="1396"/>
      <c r="L23" s="709"/>
      <c r="M23" s="709"/>
      <c r="N23" s="709"/>
      <c r="O23" s="1394" t="s">
        <v>24</v>
      </c>
      <c r="P23" s="1396"/>
      <c r="Q23" s="709"/>
      <c r="R23" s="709"/>
      <c r="S23" s="709"/>
      <c r="T23" s="1394" t="s">
        <v>21</v>
      </c>
      <c r="U23" s="1397"/>
      <c r="V23" s="709"/>
      <c r="W23" s="709"/>
      <c r="X23" s="709"/>
      <c r="Y23" s="1402"/>
      <c r="Z23" s="1403"/>
      <c r="AA23" s="1403"/>
      <c r="AB23" s="1403"/>
      <c r="AC23" s="1403"/>
      <c r="AD23" s="1403"/>
      <c r="AE23" s="1403"/>
      <c r="AF23" s="1403"/>
      <c r="AG23" s="1403"/>
      <c r="AH23" s="1403"/>
      <c r="AI23" s="1404"/>
      <c r="AJ23" s="1409"/>
      <c r="AK23" s="1410"/>
      <c r="AL23" s="1410"/>
      <c r="AM23" s="1410"/>
      <c r="AN23" s="1410"/>
      <c r="AO23" s="1410"/>
      <c r="AP23" s="1410"/>
      <c r="AQ23" s="1410"/>
      <c r="AR23" s="1410"/>
      <c r="AS23" s="1410"/>
      <c r="AT23" s="1410"/>
      <c r="AU23" s="1410"/>
      <c r="AV23" s="1410"/>
      <c r="AW23" s="1410"/>
      <c r="AX23" s="1410"/>
      <c r="AY23" s="1410"/>
      <c r="AZ23" s="1410"/>
      <c r="BA23" s="1410"/>
      <c r="BB23" s="1410"/>
      <c r="BC23" s="1410"/>
      <c r="BD23" s="1411"/>
      <c r="BE23" s="723"/>
      <c r="BF23" s="723"/>
      <c r="BG23" s="723"/>
      <c r="BH23" s="1388"/>
      <c r="BI23" s="1389"/>
      <c r="BJ23" s="1389"/>
      <c r="BK23" s="1389"/>
      <c r="BL23" s="1389"/>
      <c r="BM23" s="1389"/>
      <c r="BN23" s="1389"/>
      <c r="BO23" s="1389"/>
      <c r="BP23" s="1389"/>
      <c r="BQ23" s="1389"/>
      <c r="BR23" s="1389"/>
      <c r="BS23" s="1389"/>
      <c r="BT23" s="1389"/>
      <c r="BU23" s="1389"/>
      <c r="BV23" s="1389"/>
      <c r="BW23" s="1389"/>
      <c r="BX23" s="1389"/>
      <c r="BY23" s="1389"/>
      <c r="BZ23" s="1389"/>
      <c r="CA23" s="1389"/>
      <c r="CB23" s="1389"/>
      <c r="CC23" s="1389"/>
      <c r="CD23" s="1389"/>
      <c r="CE23" s="1389"/>
      <c r="CF23" s="1389"/>
      <c r="CG23" s="1389"/>
      <c r="CH23" s="1389"/>
      <c r="CI23" s="1389"/>
      <c r="CJ23" s="1389"/>
      <c r="CK23" s="1389"/>
      <c r="CL23" s="1389"/>
      <c r="CM23" s="1389"/>
      <c r="CN23" s="1390"/>
      <c r="CO23" s="177"/>
      <c r="CP23" s="177"/>
      <c r="CQ23" s="177"/>
      <c r="CR23" s="177"/>
      <c r="CS23" s="177"/>
      <c r="CT23" s="3"/>
      <c r="CU23" s="3"/>
      <c r="CV23" s="177"/>
      <c r="CW23" s="177"/>
      <c r="CX23" s="177"/>
      <c r="CY23" s="177"/>
      <c r="CZ23" s="3"/>
    </row>
    <row r="24" spans="1:114" ht="18" customHeight="1" x14ac:dyDescent="0.3">
      <c r="A24" s="178"/>
      <c r="B24" s="180"/>
      <c r="C24" s="185"/>
      <c r="D24" s="186" t="s">
        <v>178</v>
      </c>
      <c r="E24" s="182">
        <v>7</v>
      </c>
      <c r="F24" s="186" t="s">
        <v>22</v>
      </c>
      <c r="G24" s="248">
        <v>2</v>
      </c>
      <c r="H24" s="237" t="s">
        <v>32</v>
      </c>
      <c r="I24" s="1394" t="s">
        <v>6</v>
      </c>
      <c r="J24" s="1395"/>
      <c r="K24" s="1396"/>
      <c r="L24" s="709"/>
      <c r="M24" s="709"/>
      <c r="N24" s="709"/>
      <c r="O24" s="1394" t="s">
        <v>35</v>
      </c>
      <c r="P24" s="1396"/>
      <c r="Q24" s="709"/>
      <c r="R24" s="709"/>
      <c r="S24" s="709"/>
      <c r="T24" s="1394" t="s">
        <v>25</v>
      </c>
      <c r="U24" s="1397"/>
      <c r="V24" s="709"/>
      <c r="W24" s="709"/>
      <c r="X24" s="709"/>
      <c r="Y24" s="1398" t="s">
        <v>268</v>
      </c>
      <c r="Z24" s="1399"/>
      <c r="AA24" s="1400"/>
      <c r="AB24" s="1400"/>
      <c r="AC24" s="1400"/>
      <c r="AD24" s="1399"/>
      <c r="AE24" s="1399"/>
      <c r="AF24" s="1400"/>
      <c r="AG24" s="1400"/>
      <c r="AH24" s="1400"/>
      <c r="AI24" s="1401"/>
      <c r="AJ24" s="1405" t="s">
        <v>272</v>
      </c>
      <c r="AK24" s="1406"/>
      <c r="AL24" s="1406"/>
      <c r="AM24" s="1406"/>
      <c r="AN24" s="1407"/>
      <c r="AO24" s="1407"/>
      <c r="AP24" s="1406"/>
      <c r="AQ24" s="1406"/>
      <c r="AR24" s="1406"/>
      <c r="AS24" s="1407"/>
      <c r="AT24" s="1407"/>
      <c r="AU24" s="1406"/>
      <c r="AV24" s="1406"/>
      <c r="AW24" s="1406"/>
      <c r="AX24" s="1407"/>
      <c r="AY24" s="1407"/>
      <c r="AZ24" s="1406"/>
      <c r="BA24" s="1406"/>
      <c r="BB24" s="1406"/>
      <c r="BC24" s="1407"/>
      <c r="BD24" s="1408"/>
      <c r="BE24" s="723"/>
      <c r="BF24" s="723"/>
      <c r="BG24" s="723"/>
      <c r="BH24" s="1388"/>
      <c r="BI24" s="1389"/>
      <c r="BJ24" s="1389"/>
      <c r="BK24" s="1389"/>
      <c r="BL24" s="1389"/>
      <c r="BM24" s="1389"/>
      <c r="BN24" s="1389"/>
      <c r="BO24" s="1389"/>
      <c r="BP24" s="1389"/>
      <c r="BQ24" s="1389"/>
      <c r="BR24" s="1389"/>
      <c r="BS24" s="1389"/>
      <c r="BT24" s="1389"/>
      <c r="BU24" s="1389"/>
      <c r="BV24" s="1389"/>
      <c r="BW24" s="1389"/>
      <c r="BX24" s="1389"/>
      <c r="BY24" s="1389"/>
      <c r="BZ24" s="1389"/>
      <c r="CA24" s="1389"/>
      <c r="CB24" s="1389"/>
      <c r="CC24" s="1389"/>
      <c r="CD24" s="1389"/>
      <c r="CE24" s="1389"/>
      <c r="CF24" s="1389"/>
      <c r="CG24" s="1389"/>
      <c r="CH24" s="1389"/>
      <c r="CI24" s="1389"/>
      <c r="CJ24" s="1389"/>
      <c r="CK24" s="1389"/>
      <c r="CL24" s="1389"/>
      <c r="CM24" s="1389"/>
      <c r="CN24" s="1390"/>
      <c r="CO24" s="62"/>
      <c r="CP24" s="62"/>
      <c r="CQ24" s="62"/>
      <c r="CR24" s="62"/>
      <c r="CS24" s="62"/>
      <c r="CT24" s="3"/>
      <c r="CU24" s="3"/>
      <c r="CV24" s="62"/>
      <c r="CW24" s="62"/>
      <c r="CX24" s="62"/>
      <c r="CY24" s="62"/>
      <c r="CZ24" s="3"/>
    </row>
    <row r="25" spans="1:114" ht="18" customHeight="1" thickBot="1" x14ac:dyDescent="0.35">
      <c r="A25" s="178"/>
      <c r="B25" s="198"/>
      <c r="C25" s="178" t="s">
        <v>190</v>
      </c>
      <c r="D25" s="234" t="s">
        <v>191</v>
      </c>
      <c r="E25" s="249">
        <v>18</v>
      </c>
      <c r="F25" s="234" t="s">
        <v>192</v>
      </c>
      <c r="G25" s="183"/>
      <c r="H25" s="250" t="s">
        <v>33</v>
      </c>
      <c r="I25" s="1412" t="s">
        <v>23</v>
      </c>
      <c r="J25" s="1413"/>
      <c r="K25" s="1414"/>
      <c r="L25" s="711"/>
      <c r="M25" s="711"/>
      <c r="N25" s="711"/>
      <c r="O25" s="1412" t="s">
        <v>20</v>
      </c>
      <c r="P25" s="1414"/>
      <c r="Q25" s="711"/>
      <c r="R25" s="711"/>
      <c r="S25" s="711"/>
      <c r="T25" s="1412"/>
      <c r="U25" s="1415"/>
      <c r="V25" s="711"/>
      <c r="W25" s="711"/>
      <c r="X25" s="711"/>
      <c r="Y25" s="1402"/>
      <c r="Z25" s="1403"/>
      <c r="AA25" s="1403"/>
      <c r="AB25" s="1403"/>
      <c r="AC25" s="1403"/>
      <c r="AD25" s="1403"/>
      <c r="AE25" s="1403"/>
      <c r="AF25" s="1403"/>
      <c r="AG25" s="1403"/>
      <c r="AH25" s="1403"/>
      <c r="AI25" s="1404"/>
      <c r="AJ25" s="1409"/>
      <c r="AK25" s="1410"/>
      <c r="AL25" s="1410"/>
      <c r="AM25" s="1410"/>
      <c r="AN25" s="1410"/>
      <c r="AO25" s="1410"/>
      <c r="AP25" s="1410"/>
      <c r="AQ25" s="1410"/>
      <c r="AR25" s="1410"/>
      <c r="AS25" s="1410"/>
      <c r="AT25" s="1410"/>
      <c r="AU25" s="1410"/>
      <c r="AV25" s="1410"/>
      <c r="AW25" s="1410"/>
      <c r="AX25" s="1410"/>
      <c r="AY25" s="1410"/>
      <c r="AZ25" s="1410"/>
      <c r="BA25" s="1410"/>
      <c r="BB25" s="1410"/>
      <c r="BC25" s="1410"/>
      <c r="BD25" s="1411"/>
      <c r="BE25" s="710"/>
      <c r="BF25" s="710"/>
      <c r="BG25" s="710"/>
      <c r="BH25" s="1391"/>
      <c r="BI25" s="1392"/>
      <c r="BJ25" s="1392"/>
      <c r="BK25" s="1392"/>
      <c r="BL25" s="1392"/>
      <c r="BM25" s="1392"/>
      <c r="BN25" s="1392"/>
      <c r="BO25" s="1392"/>
      <c r="BP25" s="1392"/>
      <c r="BQ25" s="1392"/>
      <c r="BR25" s="1392"/>
      <c r="BS25" s="1392"/>
      <c r="BT25" s="1392"/>
      <c r="BU25" s="1392"/>
      <c r="BV25" s="1392"/>
      <c r="BW25" s="1392"/>
      <c r="BX25" s="1392"/>
      <c r="BY25" s="1392"/>
      <c r="BZ25" s="1392"/>
      <c r="CA25" s="1392"/>
      <c r="CB25" s="1392"/>
      <c r="CC25" s="1392"/>
      <c r="CD25" s="1392"/>
      <c r="CE25" s="1392"/>
      <c r="CF25" s="1392"/>
      <c r="CG25" s="1392"/>
      <c r="CH25" s="1392"/>
      <c r="CI25" s="1392"/>
      <c r="CJ25" s="1392"/>
      <c r="CK25" s="1392"/>
      <c r="CL25" s="1392"/>
      <c r="CM25" s="1392"/>
      <c r="CN25" s="1393"/>
      <c r="CO25" s="46"/>
      <c r="CP25" s="46"/>
      <c r="CQ25" s="46"/>
      <c r="CR25" s="46"/>
      <c r="CS25" s="46"/>
      <c r="CT25" s="3"/>
      <c r="CU25" s="3"/>
      <c r="CV25" s="46"/>
      <c r="CW25" s="46"/>
      <c r="CX25" s="46"/>
      <c r="CY25" s="46"/>
      <c r="CZ25" s="3"/>
    </row>
    <row r="26" spans="1:114" ht="24.6" x14ac:dyDescent="0.3">
      <c r="A26" s="1420" t="s">
        <v>56</v>
      </c>
      <c r="B26" s="1420"/>
      <c r="C26" s="1420"/>
      <c r="D26" s="1420"/>
      <c r="E26" s="1420"/>
      <c r="F26" s="1420"/>
      <c r="G26" s="1420"/>
      <c r="H26" s="1420"/>
      <c r="I26" s="1420"/>
      <c r="J26" s="1420"/>
      <c r="K26" s="1420"/>
      <c r="L26" s="1420"/>
      <c r="M26" s="1420"/>
      <c r="N26" s="1420"/>
      <c r="O26" s="1420"/>
      <c r="P26" s="1420"/>
      <c r="Q26" s="1420"/>
      <c r="R26" s="1420"/>
      <c r="S26" s="1420"/>
      <c r="T26" s="1420"/>
      <c r="U26" s="1420"/>
      <c r="V26" s="1420"/>
      <c r="W26" s="1420"/>
      <c r="X26" s="1420"/>
      <c r="Y26" s="1420"/>
      <c r="Z26" s="1420"/>
      <c r="AA26" s="1420"/>
      <c r="AB26" s="1420"/>
      <c r="AC26" s="1420"/>
      <c r="AD26" s="1420"/>
      <c r="AE26" s="1420"/>
      <c r="AF26" s="1420"/>
      <c r="AG26" s="1420"/>
      <c r="AH26" s="1420"/>
      <c r="AI26" s="1420"/>
      <c r="AJ26" s="1420"/>
      <c r="AK26" s="1420"/>
      <c r="AL26" s="1420"/>
      <c r="AM26" s="1420"/>
      <c r="AN26" s="1420"/>
      <c r="AO26" s="1420"/>
      <c r="AP26" s="1420"/>
      <c r="AQ26" s="1420"/>
      <c r="AR26" s="1420"/>
      <c r="AS26" s="1420"/>
      <c r="AT26" s="1420"/>
      <c r="AU26" s="1420"/>
      <c r="AV26" s="1420"/>
      <c r="AW26" s="1420"/>
      <c r="AX26" s="1420"/>
      <c r="AY26" s="1420"/>
      <c r="AZ26" s="1420"/>
      <c r="BA26" s="1420"/>
      <c r="BB26" s="1420"/>
      <c r="BC26" s="1420"/>
      <c r="BD26" s="1420"/>
      <c r="BE26" s="1420"/>
      <c r="BF26" s="1420"/>
      <c r="BG26" s="1420"/>
      <c r="BH26" s="1420"/>
      <c r="BI26" s="1420"/>
      <c r="BJ26" s="1420"/>
      <c r="BK26" s="1420"/>
      <c r="BL26" s="1420"/>
      <c r="BM26" s="1420"/>
      <c r="BN26" s="1420"/>
      <c r="BO26" s="1420"/>
      <c r="BP26" s="1420"/>
      <c r="BQ26" s="1420"/>
      <c r="BR26" s="1420"/>
      <c r="BS26" s="1420"/>
      <c r="BT26" s="1420"/>
      <c r="BU26" s="1420"/>
      <c r="BV26" s="1420"/>
      <c r="BW26" s="1420"/>
      <c r="BX26" s="1420"/>
      <c r="BY26" s="1420"/>
      <c r="BZ26" s="1420"/>
      <c r="CA26" s="1420"/>
      <c r="CB26" s="1420"/>
      <c r="CC26" s="1420"/>
      <c r="CD26" s="1420"/>
      <c r="CE26" s="1420"/>
      <c r="CF26" s="1420"/>
      <c r="CG26" s="1420"/>
      <c r="CH26" s="1420"/>
      <c r="CI26" s="1420"/>
      <c r="CJ26" s="1420"/>
      <c r="CK26" s="1420"/>
      <c r="CL26" s="1420"/>
      <c r="CM26" s="1420"/>
      <c r="CN26" s="1420"/>
      <c r="CO26" s="187"/>
      <c r="CP26" s="187"/>
      <c r="CQ26" s="187"/>
      <c r="CR26" s="187"/>
      <c r="CS26" s="187"/>
      <c r="CT26" s="187"/>
      <c r="CU26" s="3"/>
      <c r="CV26" s="187"/>
      <c r="CW26" s="187"/>
      <c r="CX26" s="187"/>
      <c r="CY26" s="187"/>
      <c r="CZ26" s="3"/>
      <c r="DA26" s="3"/>
    </row>
    <row r="27" spans="1:114" ht="15.75" customHeight="1" x14ac:dyDescent="0.3">
      <c r="A27" s="1"/>
      <c r="B27" s="2"/>
      <c r="C27" s="189"/>
      <c r="D27" s="190" t="s">
        <v>57</v>
      </c>
      <c r="E27" s="191" t="s">
        <v>271</v>
      </c>
      <c r="F27" s="191"/>
      <c r="G27" s="189"/>
      <c r="H27" s="189"/>
      <c r="I27" s="189"/>
      <c r="J27" s="189"/>
      <c r="K27" s="189"/>
      <c r="L27" s="189"/>
      <c r="M27" s="189"/>
      <c r="N27" s="189"/>
      <c r="O27" s="192"/>
      <c r="P27" s="192"/>
      <c r="Q27" s="189"/>
      <c r="R27" s="189"/>
      <c r="S27" s="189"/>
      <c r="T27" s="192"/>
      <c r="U27" s="192"/>
      <c r="V27" s="189"/>
      <c r="W27" s="189"/>
      <c r="X27" s="189"/>
      <c r="Y27" s="192"/>
      <c r="Z27" s="192"/>
      <c r="AA27" s="189"/>
      <c r="AB27" s="189"/>
      <c r="AC27" s="189"/>
      <c r="AD27" s="192"/>
      <c r="AE27" s="192"/>
      <c r="AF27" s="189"/>
      <c r="AG27" s="189"/>
      <c r="AH27" s="189"/>
      <c r="AI27" s="192"/>
      <c r="AJ27" s="192"/>
      <c r="AK27" s="189"/>
      <c r="AL27" s="189"/>
      <c r="AM27" s="189"/>
      <c r="AN27" s="192"/>
      <c r="AO27" s="192"/>
      <c r="AP27" s="189"/>
      <c r="AQ27" s="189"/>
      <c r="AR27" s="189"/>
      <c r="AS27" s="47"/>
      <c r="AT27" s="47"/>
      <c r="AU27" s="189"/>
      <c r="AV27" s="189"/>
      <c r="AW27" s="189"/>
      <c r="AX27" s="47"/>
      <c r="AY27" s="47"/>
      <c r="AZ27" s="189"/>
      <c r="BA27" s="189"/>
      <c r="BB27" s="189"/>
      <c r="BE27" s="189"/>
      <c r="BF27" s="189"/>
      <c r="BG27" s="189"/>
      <c r="BJ27" s="189"/>
      <c r="BK27" s="189"/>
      <c r="BL27" s="189"/>
      <c r="BO27" s="189"/>
      <c r="BP27" s="189"/>
      <c r="BQ27" s="189"/>
      <c r="BR27" s="47"/>
      <c r="BS27" s="47"/>
      <c r="BT27" s="189"/>
      <c r="BU27" s="189"/>
      <c r="BV27" s="189"/>
      <c r="BW27" s="47"/>
      <c r="BY27" s="189"/>
      <c r="BZ27" s="189"/>
      <c r="CA27" s="189"/>
      <c r="CB27" s="47"/>
      <c r="CD27" s="189"/>
      <c r="CE27" s="189"/>
      <c r="CF27" s="189"/>
      <c r="CG27" s="47"/>
      <c r="CJ27" s="189"/>
      <c r="CK27" s="189"/>
      <c r="CL27" s="189"/>
      <c r="CM27" s="47"/>
      <c r="CP27" s="189"/>
      <c r="CQ27" s="189"/>
      <c r="CR27" s="189"/>
      <c r="CS27" s="47"/>
      <c r="CT27" s="46"/>
      <c r="CU27" s="3"/>
      <c r="CV27" s="189"/>
      <c r="CW27" s="189"/>
      <c r="CX27" s="189"/>
      <c r="CY27" s="47"/>
      <c r="CZ27" s="3"/>
      <c r="DA27" s="3"/>
    </row>
    <row r="28" spans="1:114" ht="15.75" customHeight="1" x14ac:dyDescent="0.3">
      <c r="A28" s="1"/>
      <c r="B28" s="2"/>
      <c r="C28" s="189"/>
      <c r="D28" s="190" t="s">
        <v>58</v>
      </c>
      <c r="E28" s="193" t="s">
        <v>273</v>
      </c>
      <c r="F28" s="191"/>
      <c r="G28" s="189"/>
      <c r="H28" s="189"/>
      <c r="I28" s="189"/>
      <c r="J28" s="189"/>
      <c r="K28" s="189"/>
      <c r="L28" s="189"/>
      <c r="M28" s="189"/>
      <c r="N28" s="189"/>
      <c r="O28" s="192"/>
      <c r="P28" s="192"/>
      <c r="Q28" s="189"/>
      <c r="R28" s="189"/>
      <c r="S28" s="189"/>
      <c r="T28" s="192"/>
      <c r="U28" s="192"/>
      <c r="V28" s="189"/>
      <c r="W28" s="189"/>
      <c r="X28" s="189"/>
      <c r="Y28" s="192"/>
      <c r="Z28" s="192"/>
      <c r="AA28" s="189"/>
      <c r="AB28" s="189"/>
      <c r="AC28" s="189"/>
      <c r="AD28" s="192"/>
      <c r="AE28" s="192"/>
      <c r="AF28" s="189"/>
      <c r="AG28" s="189"/>
      <c r="AH28" s="189"/>
      <c r="AI28" s="192"/>
      <c r="AJ28" s="192"/>
      <c r="AK28" s="189"/>
      <c r="AL28" s="189"/>
      <c r="AM28" s="189"/>
      <c r="AN28" s="192"/>
      <c r="AO28" s="192"/>
      <c r="AP28" s="189"/>
      <c r="AQ28" s="189"/>
      <c r="AR28" s="189"/>
      <c r="AS28" s="47"/>
      <c r="AT28" s="47"/>
      <c r="AU28" s="189"/>
      <c r="AV28" s="189"/>
      <c r="AW28" s="189"/>
      <c r="AX28" s="47"/>
      <c r="AY28" s="47"/>
      <c r="AZ28" s="189"/>
      <c r="BA28" s="189"/>
      <c r="BB28" s="189"/>
      <c r="BE28" s="189"/>
      <c r="BF28" s="189"/>
      <c r="BG28" s="189"/>
      <c r="BH28" s="155"/>
      <c r="BJ28" s="189"/>
      <c r="BK28" s="189"/>
      <c r="BL28" s="189"/>
      <c r="BN28" s="47"/>
      <c r="BO28" s="189"/>
      <c r="BP28" s="189"/>
      <c r="BQ28" s="189"/>
      <c r="BR28" s="97"/>
      <c r="BS28" s="97"/>
      <c r="BT28" s="189"/>
      <c r="BU28" s="189"/>
      <c r="BV28" s="189"/>
      <c r="BW28" s="97"/>
      <c r="BX28" s="47"/>
      <c r="BY28" s="189"/>
      <c r="BZ28" s="189"/>
      <c r="CA28" s="189"/>
      <c r="CB28" s="47"/>
      <c r="CD28" s="189"/>
      <c r="CE28" s="189"/>
      <c r="CF28" s="189"/>
      <c r="CG28" s="47"/>
      <c r="CJ28" s="189"/>
      <c r="CK28" s="189"/>
      <c r="CL28" s="189"/>
      <c r="CM28" s="47"/>
      <c r="CP28" s="189"/>
      <c r="CQ28" s="189"/>
      <c r="CR28" s="189"/>
      <c r="CS28" s="47"/>
      <c r="CT28" s="46"/>
      <c r="CU28" s="3"/>
      <c r="CV28" s="189"/>
      <c r="CW28" s="189"/>
      <c r="CX28" s="189"/>
      <c r="CY28" s="47"/>
      <c r="CZ28" s="3"/>
      <c r="DA28" s="3"/>
    </row>
    <row r="29" spans="1:114" ht="15.75" customHeight="1" x14ac:dyDescent="0.3">
      <c r="A29" s="1"/>
      <c r="B29" s="58"/>
      <c r="C29" s="58"/>
      <c r="D29" s="58"/>
      <c r="E29" s="59" t="s">
        <v>59</v>
      </c>
      <c r="G29" s="194" t="s">
        <v>270</v>
      </c>
      <c r="H29" s="60"/>
      <c r="I29" s="60"/>
      <c r="J29" s="60"/>
      <c r="K29" s="60"/>
      <c r="L29" s="719"/>
      <c r="M29" s="719"/>
      <c r="N29" s="719"/>
      <c r="O29" s="61"/>
      <c r="P29" s="61"/>
      <c r="Q29" s="719"/>
      <c r="R29" s="719"/>
      <c r="S29" s="719"/>
      <c r="T29" s="61"/>
      <c r="U29" s="61"/>
      <c r="V29" s="719"/>
      <c r="W29" s="719"/>
      <c r="X29" s="719"/>
      <c r="Y29" s="61"/>
      <c r="Z29" s="61"/>
      <c r="AA29" s="719"/>
      <c r="AB29" s="719"/>
      <c r="AC29" s="719"/>
      <c r="AD29" s="61"/>
      <c r="AE29" s="61"/>
      <c r="AF29" s="719"/>
      <c r="AG29" s="719"/>
      <c r="AH29" s="719"/>
      <c r="AI29" s="61"/>
      <c r="AJ29" s="61"/>
      <c r="AK29" s="719"/>
      <c r="AL29" s="719"/>
      <c r="AM29" s="719"/>
      <c r="AN29" s="61"/>
      <c r="AO29" s="61"/>
      <c r="AP29" s="719"/>
      <c r="AQ29" s="719"/>
      <c r="AR29" s="719"/>
      <c r="AS29" s="61"/>
      <c r="AT29" s="61"/>
      <c r="AU29" s="719"/>
      <c r="AV29" s="719"/>
      <c r="AW29" s="719"/>
      <c r="AX29" s="61"/>
      <c r="AY29" s="61"/>
      <c r="AZ29" s="719"/>
      <c r="BA29" s="719"/>
      <c r="BB29" s="719"/>
      <c r="BC29" s="61"/>
      <c r="BD29" s="61"/>
      <c r="BE29" s="719"/>
      <c r="BF29" s="719"/>
      <c r="BG29" s="719"/>
      <c r="BH29" s="61"/>
      <c r="BI29" s="61"/>
      <c r="BJ29" s="719"/>
      <c r="BK29" s="719"/>
      <c r="BL29" s="719"/>
      <c r="BM29" s="61"/>
      <c r="BN29" s="61"/>
      <c r="BO29" s="719"/>
      <c r="BP29" s="719"/>
      <c r="BQ29" s="719"/>
      <c r="BR29" s="61"/>
      <c r="BS29" s="615"/>
      <c r="BT29" s="719"/>
      <c r="BU29" s="719"/>
      <c r="BV29" s="719"/>
      <c r="BW29" s="615"/>
      <c r="BX29" s="61"/>
      <c r="BY29" s="719"/>
      <c r="BZ29" s="719"/>
      <c r="CA29" s="719"/>
      <c r="CB29" s="61"/>
      <c r="CC29" s="195"/>
      <c r="CD29" s="719"/>
      <c r="CE29" s="719"/>
      <c r="CF29" s="719"/>
      <c r="CG29" s="61"/>
      <c r="CH29" s="196"/>
      <c r="CI29" s="196"/>
      <c r="CJ29" s="719"/>
      <c r="CK29" s="719"/>
      <c r="CL29" s="719"/>
      <c r="CM29" s="615"/>
      <c r="CN29" s="727"/>
      <c r="CO29" s="727"/>
      <c r="CP29" s="719"/>
      <c r="CQ29" s="719"/>
      <c r="CR29" s="719"/>
      <c r="CS29" s="615"/>
      <c r="CT29" s="615"/>
      <c r="CU29" s="728"/>
      <c r="CV29" s="719"/>
      <c r="CW29" s="719"/>
      <c r="CX29" s="719"/>
      <c r="CY29" s="615"/>
      <c r="CZ29" s="3"/>
      <c r="DA29" s="3"/>
    </row>
    <row r="30" spans="1:114" ht="6" customHeight="1" thickBot="1" x14ac:dyDescent="0.35">
      <c r="A30" s="1"/>
      <c r="B30" s="58"/>
      <c r="C30" s="58"/>
      <c r="D30" s="58"/>
      <c r="E30" s="59"/>
      <c r="G30" s="194"/>
      <c r="H30" s="58"/>
      <c r="I30" s="58"/>
      <c r="J30" s="58"/>
      <c r="K30" s="58"/>
      <c r="L30" s="58"/>
      <c r="M30" s="58"/>
      <c r="N30" s="58"/>
      <c r="O30" s="62"/>
      <c r="P30" s="62"/>
      <c r="Q30" s="58"/>
      <c r="R30" s="58"/>
      <c r="S30" s="58"/>
      <c r="T30" s="62"/>
      <c r="U30" s="62"/>
      <c r="V30" s="58"/>
      <c r="W30" s="58"/>
      <c r="X30" s="58"/>
      <c r="Y30" s="62"/>
      <c r="Z30" s="62"/>
      <c r="AA30" s="58"/>
      <c r="AB30" s="58"/>
      <c r="AC30" s="58"/>
      <c r="AD30" s="62"/>
      <c r="AE30" s="62"/>
      <c r="AF30" s="58"/>
      <c r="AG30" s="58"/>
      <c r="AH30" s="58"/>
      <c r="AI30" s="62"/>
      <c r="AJ30" s="62"/>
      <c r="AK30" s="58"/>
      <c r="AL30" s="58"/>
      <c r="AM30" s="58"/>
      <c r="AN30" s="62"/>
      <c r="AO30" s="62"/>
      <c r="AP30" s="58"/>
      <c r="AQ30" s="58"/>
      <c r="AR30" s="58"/>
      <c r="AS30" s="62"/>
      <c r="AT30" s="62"/>
      <c r="AU30" s="58"/>
      <c r="AV30" s="58"/>
      <c r="AW30" s="58"/>
      <c r="AX30" s="62"/>
      <c r="AY30" s="62"/>
      <c r="AZ30" s="58"/>
      <c r="BA30" s="58"/>
      <c r="BB30" s="58"/>
      <c r="BC30" s="62"/>
      <c r="BD30" s="62"/>
      <c r="BE30" s="58"/>
      <c r="BF30" s="58"/>
      <c r="BG30" s="58"/>
      <c r="BH30" s="62"/>
      <c r="BI30" s="62"/>
      <c r="BJ30" s="58"/>
      <c r="BK30" s="58"/>
      <c r="BL30" s="58"/>
      <c r="BM30" s="62"/>
      <c r="BN30" s="62"/>
      <c r="BO30" s="58"/>
      <c r="BP30" s="58"/>
      <c r="BQ30" s="58"/>
      <c r="BR30" s="62"/>
      <c r="BS30" s="62"/>
      <c r="BT30" s="58"/>
      <c r="BU30" s="58"/>
      <c r="BV30" s="58"/>
      <c r="BW30" s="62"/>
      <c r="BX30" s="62"/>
      <c r="BY30" s="58"/>
      <c r="BZ30" s="58"/>
      <c r="CA30" s="58"/>
      <c r="CB30" s="62"/>
      <c r="CC30" s="235"/>
      <c r="CD30" s="58"/>
      <c r="CE30" s="58"/>
      <c r="CF30" s="58"/>
      <c r="CG30" s="62"/>
      <c r="CH30" s="236"/>
      <c r="CI30" s="236"/>
      <c r="CJ30" s="58"/>
      <c r="CK30" s="58"/>
      <c r="CL30" s="58"/>
      <c r="CM30" s="62"/>
      <c r="CN30" s="236"/>
      <c r="CO30" s="236"/>
      <c r="CP30" s="58"/>
      <c r="CQ30" s="58"/>
      <c r="CR30" s="58"/>
      <c r="CS30" s="62"/>
      <c r="CT30" s="62"/>
      <c r="CU30" s="3"/>
      <c r="CV30" s="58"/>
      <c r="CW30" s="58"/>
      <c r="CX30" s="58"/>
      <c r="CY30" s="62"/>
      <c r="CZ30" s="3"/>
      <c r="DA30" s="3"/>
    </row>
    <row r="31" spans="1:114" ht="21" customHeight="1" thickBot="1" x14ac:dyDescent="0.35">
      <c r="A31" s="1421" t="s">
        <v>1</v>
      </c>
      <c r="B31" s="1423" t="s">
        <v>40</v>
      </c>
      <c r="C31" s="1425" t="s">
        <v>19</v>
      </c>
      <c r="D31" s="1425"/>
      <c r="E31" s="1427" t="s">
        <v>180</v>
      </c>
      <c r="F31" s="1429" t="s">
        <v>17</v>
      </c>
      <c r="G31" s="1431" t="s">
        <v>41</v>
      </c>
      <c r="H31" s="1433" t="s">
        <v>18</v>
      </c>
      <c r="I31" s="1444" t="s">
        <v>1037</v>
      </c>
      <c r="J31" s="1443"/>
      <c r="K31" s="1444" t="s">
        <v>1038</v>
      </c>
      <c r="L31" s="1443"/>
      <c r="M31" s="1444" t="s">
        <v>1039</v>
      </c>
      <c r="N31" s="1443"/>
      <c r="O31" s="1442" t="s">
        <v>1040</v>
      </c>
      <c r="P31" s="1443"/>
      <c r="Q31" s="1437" t="s">
        <v>42</v>
      </c>
      <c r="R31" s="1437"/>
      <c r="S31" s="1437"/>
      <c r="T31" s="1437"/>
      <c r="U31" s="1437"/>
      <c r="V31" s="1437"/>
      <c r="W31" s="1437"/>
      <c r="X31" s="1437"/>
      <c r="Y31" s="1437"/>
      <c r="Z31" s="1438"/>
      <c r="AA31" s="1436" t="s">
        <v>43</v>
      </c>
      <c r="AB31" s="1437"/>
      <c r="AC31" s="1437"/>
      <c r="AD31" s="1437"/>
      <c r="AE31" s="1437"/>
      <c r="AF31" s="1437"/>
      <c r="AG31" s="1437"/>
      <c r="AH31" s="1437"/>
      <c r="AI31" s="1437"/>
      <c r="AJ31" s="1437"/>
      <c r="AK31" s="1437"/>
      <c r="AL31" s="1437"/>
      <c r="AM31" s="1437"/>
      <c r="AN31" s="1437"/>
      <c r="AO31" s="1437"/>
      <c r="AP31" s="1437"/>
      <c r="AQ31" s="1437"/>
      <c r="AR31" s="1437"/>
      <c r="AS31" s="1437"/>
      <c r="AT31" s="1437"/>
      <c r="AU31" s="1437"/>
      <c r="AV31" s="1437"/>
      <c r="AW31" s="1437"/>
      <c r="AX31" s="1437"/>
      <c r="AY31" s="1437"/>
      <c r="AZ31" s="1437"/>
      <c r="BA31" s="1437"/>
      <c r="BB31" s="1437"/>
      <c r="BC31" s="1437"/>
      <c r="BD31" s="1438"/>
      <c r="BE31" s="1437" t="s">
        <v>44</v>
      </c>
      <c r="BF31" s="1437"/>
      <c r="BG31" s="1437"/>
      <c r="BH31" s="1437"/>
      <c r="BI31" s="1437"/>
      <c r="BJ31" s="1437"/>
      <c r="BK31" s="1437"/>
      <c r="BL31" s="1437"/>
      <c r="BM31" s="1437"/>
      <c r="BN31" s="1438"/>
      <c r="BO31" s="1439" t="s">
        <v>45</v>
      </c>
      <c r="BP31" s="1440"/>
      <c r="BQ31" s="1440"/>
      <c r="BR31" s="1440"/>
      <c r="BS31" s="1440"/>
      <c r="BT31" s="1440"/>
      <c r="BU31" s="1440"/>
      <c r="BV31" s="1440"/>
      <c r="BW31" s="1440"/>
      <c r="BX31" s="1440"/>
      <c r="BY31" s="1440"/>
      <c r="BZ31" s="1440"/>
      <c r="CA31" s="1440"/>
      <c r="CB31" s="1440"/>
      <c r="CC31" s="1440"/>
      <c r="CD31" s="1440"/>
      <c r="CE31" s="1440"/>
      <c r="CF31" s="1440"/>
      <c r="CG31" s="1440"/>
      <c r="CH31" s="1441"/>
      <c r="CI31" s="1445" t="s">
        <v>46</v>
      </c>
      <c r="CJ31" s="1446"/>
      <c r="CK31" s="1446"/>
      <c r="CL31" s="1446"/>
      <c r="CM31" s="1446"/>
      <c r="CN31" s="1446"/>
      <c r="CO31" s="1446"/>
      <c r="CP31" s="1446"/>
      <c r="CQ31" s="1446"/>
      <c r="CR31" s="1446"/>
      <c r="CS31" s="1446"/>
      <c r="CT31" s="1446"/>
      <c r="CU31" s="1446"/>
      <c r="CV31" s="1446"/>
      <c r="CW31" s="1446"/>
      <c r="CX31" s="1446"/>
      <c r="CY31" s="1446"/>
      <c r="CZ31" s="1446"/>
      <c r="DA31" s="1446"/>
      <c r="DB31" s="1446"/>
      <c r="DC31" s="1446"/>
      <c r="DD31" s="1446"/>
      <c r="DE31" s="1446"/>
      <c r="DF31" s="1447"/>
      <c r="DG31" s="64"/>
      <c r="DH31" s="8" t="s">
        <v>28</v>
      </c>
      <c r="DI31" s="8" t="s">
        <v>36</v>
      </c>
      <c r="DJ31" s="9" t="s">
        <v>60</v>
      </c>
    </row>
    <row r="32" spans="1:114" ht="36.75" customHeight="1" thickBot="1" x14ac:dyDescent="0.35">
      <c r="A32" s="1422"/>
      <c r="B32" s="1424"/>
      <c r="C32" s="1426"/>
      <c r="D32" s="1426"/>
      <c r="E32" s="1428"/>
      <c r="F32" s="1430"/>
      <c r="G32" s="1432"/>
      <c r="H32" s="1434"/>
      <c r="I32" s="717" t="s">
        <v>175</v>
      </c>
      <c r="J32" s="716" t="s">
        <v>175</v>
      </c>
      <c r="K32" s="717" t="s">
        <v>175</v>
      </c>
      <c r="L32" s="716" t="s">
        <v>175</v>
      </c>
      <c r="M32" s="717" t="s">
        <v>60</v>
      </c>
      <c r="N32" s="716" t="s">
        <v>60</v>
      </c>
      <c r="O32" s="741" t="s">
        <v>60</v>
      </c>
      <c r="P32" s="716" t="s">
        <v>60</v>
      </c>
      <c r="Q32" s="742" t="s">
        <v>47</v>
      </c>
      <c r="R32" s="743" t="s">
        <v>1028</v>
      </c>
      <c r="S32" s="743" t="s">
        <v>1029</v>
      </c>
      <c r="T32" s="743" t="s">
        <v>1030</v>
      </c>
      <c r="U32" s="743" t="s">
        <v>1031</v>
      </c>
      <c r="V32" s="319" t="s">
        <v>48</v>
      </c>
      <c r="W32" s="743" t="s">
        <v>1028</v>
      </c>
      <c r="X32" s="743" t="s">
        <v>1029</v>
      </c>
      <c r="Y32" s="743" t="s">
        <v>1030</v>
      </c>
      <c r="Z32" s="744" t="s">
        <v>1031</v>
      </c>
      <c r="AA32" s="322" t="s">
        <v>48</v>
      </c>
      <c r="AB32" s="745" t="s">
        <v>1028</v>
      </c>
      <c r="AC32" s="745" t="s">
        <v>1029</v>
      </c>
      <c r="AD32" s="745" t="s">
        <v>1030</v>
      </c>
      <c r="AE32" s="745" t="s">
        <v>1031</v>
      </c>
      <c r="AF32" s="321" t="s">
        <v>49</v>
      </c>
      <c r="AG32" s="745" t="s">
        <v>1028</v>
      </c>
      <c r="AH32" s="745" t="s">
        <v>1029</v>
      </c>
      <c r="AI32" s="745" t="s">
        <v>1030</v>
      </c>
      <c r="AJ32" s="745" t="s">
        <v>1031</v>
      </c>
      <c r="AK32" s="321" t="s">
        <v>50</v>
      </c>
      <c r="AL32" s="745" t="s">
        <v>1028</v>
      </c>
      <c r="AM32" s="745" t="s">
        <v>1029</v>
      </c>
      <c r="AN32" s="745" t="s">
        <v>1030</v>
      </c>
      <c r="AO32" s="745" t="s">
        <v>1031</v>
      </c>
      <c r="AP32" s="321" t="s">
        <v>51</v>
      </c>
      <c r="AQ32" s="745" t="s">
        <v>1028</v>
      </c>
      <c r="AR32" s="745" t="s">
        <v>1029</v>
      </c>
      <c r="AS32" s="745" t="s">
        <v>1030</v>
      </c>
      <c r="AT32" s="745" t="s">
        <v>1031</v>
      </c>
      <c r="AU32" s="321" t="s">
        <v>52</v>
      </c>
      <c r="AV32" s="745" t="s">
        <v>1028</v>
      </c>
      <c r="AW32" s="745" t="s">
        <v>1029</v>
      </c>
      <c r="AX32" s="745" t="s">
        <v>1030</v>
      </c>
      <c r="AY32" s="745" t="s">
        <v>1031</v>
      </c>
      <c r="AZ32" s="321" t="s">
        <v>53</v>
      </c>
      <c r="BA32" s="745" t="s">
        <v>1028</v>
      </c>
      <c r="BB32" s="745" t="s">
        <v>1029</v>
      </c>
      <c r="BC32" s="745" t="s">
        <v>1030</v>
      </c>
      <c r="BD32" s="746" t="s">
        <v>1031</v>
      </c>
      <c r="BE32" s="320" t="s">
        <v>49</v>
      </c>
      <c r="BF32" s="743" t="s">
        <v>1028</v>
      </c>
      <c r="BG32" s="743" t="s">
        <v>1029</v>
      </c>
      <c r="BH32" s="743" t="s">
        <v>1030</v>
      </c>
      <c r="BI32" s="743" t="s">
        <v>1031</v>
      </c>
      <c r="BJ32" s="321" t="s">
        <v>51</v>
      </c>
      <c r="BK32" s="743" t="s">
        <v>1028</v>
      </c>
      <c r="BL32" s="743" t="s">
        <v>1029</v>
      </c>
      <c r="BM32" s="743" t="s">
        <v>1030</v>
      </c>
      <c r="BN32" s="743" t="s">
        <v>1031</v>
      </c>
      <c r="BO32" s="274" t="s">
        <v>48</v>
      </c>
      <c r="BP32" s="729" t="s">
        <v>1028</v>
      </c>
      <c r="BQ32" s="729" t="s">
        <v>1029</v>
      </c>
      <c r="BR32" s="729" t="s">
        <v>1030</v>
      </c>
      <c r="BS32" s="729" t="s">
        <v>1031</v>
      </c>
      <c r="BT32" s="273" t="s">
        <v>49</v>
      </c>
      <c r="BU32" s="729" t="s">
        <v>1028</v>
      </c>
      <c r="BV32" s="729" t="s">
        <v>1029</v>
      </c>
      <c r="BW32" s="729" t="s">
        <v>1030</v>
      </c>
      <c r="BX32" s="729" t="s">
        <v>1031</v>
      </c>
      <c r="BY32" s="273" t="s">
        <v>50</v>
      </c>
      <c r="BZ32" s="729" t="s">
        <v>1028</v>
      </c>
      <c r="CA32" s="729" t="s">
        <v>1029</v>
      </c>
      <c r="CB32" s="729" t="s">
        <v>1030</v>
      </c>
      <c r="CC32" s="729" t="s">
        <v>1031</v>
      </c>
      <c r="CD32" s="273" t="s">
        <v>51</v>
      </c>
      <c r="CE32" s="729" t="s">
        <v>1028</v>
      </c>
      <c r="CF32" s="729" t="s">
        <v>1029</v>
      </c>
      <c r="CG32" s="729" t="s">
        <v>1030</v>
      </c>
      <c r="CH32" s="730" t="s">
        <v>1031</v>
      </c>
      <c r="CI32" s="619" t="s">
        <v>955</v>
      </c>
      <c r="CJ32" s="743" t="s">
        <v>1028</v>
      </c>
      <c r="CK32" s="743" t="s">
        <v>1029</v>
      </c>
      <c r="CL32" s="743" t="s">
        <v>1030</v>
      </c>
      <c r="CM32" s="744" t="s">
        <v>1031</v>
      </c>
      <c r="CN32" s="747" t="s">
        <v>253</v>
      </c>
      <c r="CO32" s="323" t="s">
        <v>54</v>
      </c>
      <c r="CP32" s="743" t="s">
        <v>1028</v>
      </c>
      <c r="CQ32" s="743" t="s">
        <v>1029</v>
      </c>
      <c r="CR32" s="743" t="s">
        <v>1030</v>
      </c>
      <c r="CS32" s="744" t="s">
        <v>1031</v>
      </c>
      <c r="CT32" s="747" t="s">
        <v>253</v>
      </c>
      <c r="CU32" s="619" t="s">
        <v>1027</v>
      </c>
      <c r="CV32" s="743" t="s">
        <v>1028</v>
      </c>
      <c r="CW32" s="743" t="s">
        <v>1029</v>
      </c>
      <c r="CX32" s="743" t="s">
        <v>1030</v>
      </c>
      <c r="CY32" s="744" t="s">
        <v>1031</v>
      </c>
      <c r="CZ32" s="747" t="s">
        <v>253</v>
      </c>
      <c r="DA32" s="323" t="s">
        <v>55</v>
      </c>
      <c r="DB32" s="743" t="s">
        <v>1028</v>
      </c>
      <c r="DC32" s="743" t="s">
        <v>1029</v>
      </c>
      <c r="DD32" s="743" t="s">
        <v>1030</v>
      </c>
      <c r="DE32" s="744" t="s">
        <v>1031</v>
      </c>
      <c r="DF32" s="747" t="s">
        <v>253</v>
      </c>
      <c r="DG32" s="44"/>
      <c r="DH32" s="9" t="e">
        <f>SUMIFS('Краевые Сосновоборск'!$K$353:$K361,'Краевые Сосновоборск'!$B$349:$B447,$B32,'Краевые Сосновоборск'!$D$349:$D447,$D32,'Краевые Сосновоборск'!$F$349:$F447,$F32)</f>
        <v>#VALUE!</v>
      </c>
      <c r="DI32" s="28" t="e">
        <f>COUNTIFS('Краевые Сосновоборск'!$B$349:$B447,$B32,'Краевые Сосновоборск'!$D$349:$D447,$D32,'Краевые Сосновоборск'!$F$349:$F447,$F32,'Краевые Сосновоборск'!$K$353:$K361,"&gt;=0")</f>
        <v>#VALUE!</v>
      </c>
      <c r="DJ32" s="9" t="e">
        <f>COUNTIFS('Краевые Сосновоборск'!$B$349:$B447,$B32,'Краевые Сосновоборск'!$D$349:$D447,$D32,'Краевые Сосновоборск'!$F$349:$F447,$F32,'Краевые Сосновоборск'!$K$353:$K361,"лично")</f>
        <v>#VALUE!</v>
      </c>
    </row>
    <row r="33" spans="1:115" ht="12" customHeight="1" x14ac:dyDescent="0.3">
      <c r="A33" s="65">
        <v>1</v>
      </c>
      <c r="B33" s="714" t="s">
        <v>6</v>
      </c>
      <c r="C33" s="199" t="s">
        <v>112</v>
      </c>
      <c r="D33" s="256"/>
      <c r="E33" s="257"/>
      <c r="F33" s="749" t="str">
        <f t="shared" ref="F33:F82" si="0">$E$28</f>
        <v>Сокращенное название</v>
      </c>
      <c r="G33" s="200" t="s">
        <v>250</v>
      </c>
      <c r="H33" s="316" t="str">
        <f>E88</f>
        <v>Фамилия_1 Имя Отчество</v>
      </c>
      <c r="I33" s="201">
        <f>COUNTIF(N33:CA33,"&gt;1")-M33</f>
        <v>0</v>
      </c>
      <c r="J33" s="750">
        <f>COUNTIF(O33:CB33,"&gt;1")-N33</f>
        <v>0</v>
      </c>
      <c r="K33" s="201">
        <f>COUNTIF(P33:CC33,"&gt;1")-O33</f>
        <v>0</v>
      </c>
      <c r="L33" s="750">
        <f>U33+Z33+AE33+AJ33+AO33+AT33+AY33+BD33+BI33+BN33+BS33+BX33+CC33+CH33-P33</f>
        <v>0</v>
      </c>
      <c r="M33" s="751">
        <f>COUNTIF(R33,"л")+COUNTIF(W33,"л")+COUNTIF(AB33,"л")+COUNTIF(AG33,"л")+COUNTIF(AL33,"л")+COUNTIF(AQ33,"л")+COUNTIF(AV33,"л")+COUNTIF(BA33,"л")+COUNTIF(BF33,"л")+COUNTIF(BK33,"л")+COUNTIF(BP33,"л")+COUNTIF(BU33,"л")+COUNTIF(BZ33,"л")+COUNTIF(CE33,"л")</f>
        <v>0</v>
      </c>
      <c r="N33" s="158">
        <f>COUNTIF(S33,"л")+COUNTIF(X33,"л")+COUNTIF(AC33,"л")+COUNTIF(AH33,"л")+COUNTIF(AM33,"л")+COUNTIF(AR33,"л")+COUNTIF(AW33,"л")+COUNTIF(BB33,"л")+COUNTIF(BG33,"л")+COUNTIF(BL33,"л")+COUNTIF(BQ33,"л")+COUNTIF(BV33,"л")+COUNTIF(CA33,"л")+COUNTIF(CF33,"л")</f>
        <v>0</v>
      </c>
      <c r="O33" s="752">
        <f>COUNTIF(T33,"л")+COUNTIF(Y33,"л")+COUNTIF(AD33,"л")+COUNTIF(AI33,"л")+COUNTIF(AN33,"л")+COUNTIF(AS33,"л")+COUNTIF(AX33,"л")+COUNTIF(BC33,"л")+COUNTIF(BH33,"л")+COUNTIF(BM33,"л")+COUNTIF(BR33,"л")+COUNTIF(BW33,"л")+COUNTIF(CB33,"л")+COUNTIF(CG33,"л")</f>
        <v>0</v>
      </c>
      <c r="P33" s="158">
        <f>COUNTIF(U33,"л")+COUNTIF(Z33,"л")+COUNTIF(AE33,"л")+COUNTIF(AJ33,"л")+COUNTIF(AO33,"л")+COUNTIF(AT33,"л")+COUNTIF(AY33,"л")+COUNTIF(BD33,"л")+COUNTIF(BI33,"л")+COUNTIF(BN33,"л")+COUNTIF(BS33,"л")+COUNTIF(BX33,"л")+COUNTIF(CC33,"л")+COUNTIF(CH33,"л")</f>
        <v>0</v>
      </c>
      <c r="Q33" s="724"/>
      <c r="R33" s="753"/>
      <c r="S33" s="753"/>
      <c r="T33" s="753"/>
      <c r="U33" s="753"/>
      <c r="V33" s="203"/>
      <c r="W33" s="762"/>
      <c r="X33" s="762"/>
      <c r="Y33" s="762"/>
      <c r="Z33" s="755"/>
      <c r="AA33" s="202"/>
      <c r="AB33" s="753"/>
      <c r="AC33" s="753"/>
      <c r="AD33" s="753"/>
      <c r="AE33" s="753"/>
      <c r="AF33" s="203"/>
      <c r="AG33" s="753"/>
      <c r="AH33" s="753"/>
      <c r="AI33" s="753"/>
      <c r="AJ33" s="753"/>
      <c r="AK33" s="203"/>
      <c r="AL33" s="753"/>
      <c r="AM33" s="753"/>
      <c r="AN33" s="753"/>
      <c r="AO33" s="753"/>
      <c r="AP33" s="203"/>
      <c r="AQ33" s="753"/>
      <c r="AR33" s="753"/>
      <c r="AS33" s="753"/>
      <c r="AT33" s="753"/>
      <c r="AU33" s="203"/>
      <c r="AV33" s="753"/>
      <c r="AW33" s="753"/>
      <c r="AX33" s="753"/>
      <c r="AY33" s="753"/>
      <c r="AZ33" s="754"/>
      <c r="BA33" s="753"/>
      <c r="BB33" s="753"/>
      <c r="BC33" s="753"/>
      <c r="BD33" s="755"/>
      <c r="BE33" s="722"/>
      <c r="BF33" s="753"/>
      <c r="BG33" s="753"/>
      <c r="BH33" s="753"/>
      <c r="BI33" s="753"/>
      <c r="BJ33" s="49"/>
      <c r="BK33" s="753"/>
      <c r="BL33" s="753"/>
      <c r="BM33" s="753"/>
      <c r="BN33" s="753"/>
      <c r="BO33" s="739"/>
      <c r="BP33" s="748"/>
      <c r="BQ33" s="748"/>
      <c r="BR33" s="748"/>
      <c r="BS33" s="748"/>
      <c r="BT33" s="721"/>
      <c r="BU33" s="748"/>
      <c r="BV33" s="748"/>
      <c r="BW33" s="748"/>
      <c r="BX33" s="748"/>
      <c r="BY33" s="725"/>
      <c r="BZ33" s="748"/>
      <c r="CA33" s="748"/>
      <c r="CB33" s="748"/>
      <c r="CC33" s="748"/>
      <c r="CD33" s="726"/>
      <c r="CE33" s="748"/>
      <c r="CF33" s="748"/>
      <c r="CG33" s="748"/>
      <c r="CH33" s="748"/>
      <c r="CI33" s="202"/>
      <c r="CJ33" s="753"/>
      <c r="CK33" s="753"/>
      <c r="CL33" s="753"/>
      <c r="CM33" s="756"/>
      <c r="CN33" s="759"/>
      <c r="CO33" s="202"/>
      <c r="CP33" s="753"/>
      <c r="CQ33" s="753"/>
      <c r="CR33" s="753"/>
      <c r="CS33" s="756"/>
      <c r="CT33" s="759"/>
      <c r="CU33" s="202"/>
      <c r="CV33" s="753"/>
      <c r="CW33" s="753"/>
      <c r="CX33" s="753"/>
      <c r="CY33" s="756"/>
      <c r="CZ33" s="759"/>
      <c r="DA33" s="202"/>
      <c r="DB33" s="753"/>
      <c r="DC33" s="753"/>
      <c r="DD33" s="753"/>
      <c r="DE33" s="756"/>
      <c r="DF33" s="759"/>
      <c r="DG33" s="44"/>
      <c r="DH33" s="9" t="e">
        <f>SUMIFS('Краевые Сосновоборск'!$K$353:$K361,'Краевые Сосновоборск'!$C$349:$C447,$C33,'Краевые Сосновоборск'!$E$349:$E447,$E33,'Краевые Сосновоборск'!$F$349:$F447,$F33)</f>
        <v>#VALUE!</v>
      </c>
      <c r="DI33" s="28" t="e">
        <f>COUNTIFS('Краевые Сосновоборск'!$C$349:$C447,$C33,'Краевые Сосновоборск'!$E$349:$E447,$E33,'Краевые Сосновоборск'!$F$349:$F447,$F33,'Краевые Сосновоборск'!$K$353:$K361,"&gt;=0")</f>
        <v>#VALUE!</v>
      </c>
      <c r="DJ33" s="9" t="e">
        <f>COUNTIFS('Краевые Сосновоборск'!$C$349:$C447,$C33,'Краевые Сосновоборск'!$E$349:$E447,$E33,'Краевые Сосновоборск'!$F$349:$F447,$F33,'Краевые Сосновоборск'!$K$353:$K361,"лично")</f>
        <v>#VALUE!</v>
      </c>
      <c r="DK33" s="206" t="s">
        <v>31</v>
      </c>
    </row>
    <row r="34" spans="1:115" ht="12" customHeight="1" x14ac:dyDescent="0.3">
      <c r="A34" s="66">
        <v>2</v>
      </c>
      <c r="B34" s="206" t="s">
        <v>6</v>
      </c>
      <c r="C34" s="204" t="s">
        <v>112</v>
      </c>
      <c r="D34" s="67"/>
      <c r="E34" s="205"/>
      <c r="F34" s="207" t="str">
        <f t="shared" si="0"/>
        <v>Сокращенное название</v>
      </c>
      <c r="G34" s="208" t="s">
        <v>250</v>
      </c>
      <c r="H34" s="317" t="str">
        <f>H33</f>
        <v>Фамилия_1 Имя Отчество</v>
      </c>
      <c r="I34" s="209">
        <f t="shared" ref="I34:I82" si="1">COUNTIF(N34:CA34,"&gt;1")-M34</f>
        <v>0</v>
      </c>
      <c r="J34" s="732">
        <f t="shared" ref="J34:J82" si="2">COUNTIF(O34:CB34,"&gt;1")-N34</f>
        <v>0</v>
      </c>
      <c r="K34" s="209">
        <f t="shared" ref="K34:K82" si="3">COUNTIF(P34:CC34,"&gt;1")-O34</f>
        <v>0</v>
      </c>
      <c r="L34" s="732">
        <f>COUNTIF(U34,"=1")+Z34+AE34+AJ34+AO34+AT34+AY34+BD34+BI34+BN34+BS34+BX34+CC34+CH34</f>
        <v>3</v>
      </c>
      <c r="M34" s="736">
        <f t="shared" ref="M34:M82" si="4">COUNTIF(R34,"л")+COUNTIF(W34,"л")+COUNTIF(AB34,"л")+COUNTIF(AG34,"л")+COUNTIF(AL34,"л")+COUNTIF(AQ34,"л")+COUNTIF(AV34,"л")+COUNTIF(BA34,"л")+COUNTIF(BF34,"л")+COUNTIF(BK34,"л")+COUNTIF(BP34,"л")+COUNTIF(BU34,"л")+COUNTIF(BZ34,"л")+COUNTIF(CE34,"л")</f>
        <v>0</v>
      </c>
      <c r="N34" s="159">
        <f t="shared" ref="N34:N82" si="5">COUNTIF(S34,"л")+COUNTIF(X34,"л")+COUNTIF(AC34,"л")+COUNTIF(AH34,"л")+COUNTIF(AM34,"л")+COUNTIF(AR34,"л")+COUNTIF(AW34,"л")+COUNTIF(BB34,"л")+COUNTIF(BG34,"л")+COUNTIF(BL34,"л")+COUNTIF(BQ34,"л")+COUNTIF(BV34,"л")+COUNTIF(CA34,"л")+COUNTIF(CF34,"л")</f>
        <v>0</v>
      </c>
      <c r="O34" s="734">
        <f t="shared" ref="O34:O82" si="6">COUNTIF(T34,"л")+COUNTIF(Y34,"л")+COUNTIF(AD34,"л")+COUNTIF(AI34,"л")+COUNTIF(AN34,"л")+COUNTIF(AS34,"л")+COUNTIF(AX34,"л")+COUNTIF(BC34,"л")+COUNTIF(BH34,"л")+COUNTIF(BM34,"л")+COUNTIF(BR34,"л")+COUNTIF(BW34,"л")+COUNTIF(CB34,"л")+COUNTIF(CG34,"л")</f>
        <v>0</v>
      </c>
      <c r="P34" s="159">
        <f t="shared" ref="P34:P82" si="7">COUNTIF(U34,"л")+COUNTIF(Z34,"л")+COUNTIF(AE34,"л")+COUNTIF(AJ34,"л")+COUNTIF(AO34,"л")+COUNTIF(AT34,"л")+COUNTIF(AY34,"л")+COUNTIF(BD34,"л")+COUNTIF(BI34,"л")+COUNTIF(BN34,"л")+COUNTIF(BS34,"л")+COUNTIF(BX34,"л")+COUNTIF(CC34,"л")+COUNTIF(CH34,"л")</f>
        <v>1</v>
      </c>
      <c r="Q34" s="212"/>
      <c r="R34" s="731">
        <v>1</v>
      </c>
      <c r="S34" s="731">
        <v>1</v>
      </c>
      <c r="T34" s="731">
        <v>1</v>
      </c>
      <c r="U34" s="731" t="s">
        <v>1036</v>
      </c>
      <c r="V34" s="211"/>
      <c r="W34" s="763">
        <v>1</v>
      </c>
      <c r="X34" s="763">
        <v>1</v>
      </c>
      <c r="Y34" s="763">
        <v>1</v>
      </c>
      <c r="Z34" s="738">
        <v>1</v>
      </c>
      <c r="AA34" s="210">
        <v>1</v>
      </c>
      <c r="AB34" s="731">
        <v>1</v>
      </c>
      <c r="AC34" s="731">
        <v>1</v>
      </c>
      <c r="AD34" s="731">
        <v>1</v>
      </c>
      <c r="AE34" s="731">
        <v>1</v>
      </c>
      <c r="AF34" s="211">
        <v>1</v>
      </c>
      <c r="AG34" s="731">
        <v>1</v>
      </c>
      <c r="AH34" s="731">
        <v>1</v>
      </c>
      <c r="AI34" s="731">
        <v>1</v>
      </c>
      <c r="AJ34" s="731">
        <v>1</v>
      </c>
      <c r="AK34" s="211">
        <v>1</v>
      </c>
      <c r="AL34" s="731">
        <v>1</v>
      </c>
      <c r="AM34" s="731">
        <v>1</v>
      </c>
      <c r="AN34" s="731">
        <v>1</v>
      </c>
      <c r="AO34" s="731"/>
      <c r="AP34" s="211"/>
      <c r="AQ34" s="731"/>
      <c r="AR34" s="731"/>
      <c r="AS34" s="731"/>
      <c r="AT34" s="731"/>
      <c r="AU34" s="211"/>
      <c r="AV34" s="731"/>
      <c r="AW34" s="731"/>
      <c r="AX34" s="731"/>
      <c r="AY34" s="731"/>
      <c r="AZ34" s="213"/>
      <c r="BA34" s="731"/>
      <c r="BB34" s="731"/>
      <c r="BC34" s="731"/>
      <c r="BD34" s="738"/>
      <c r="BE34" s="156"/>
      <c r="BF34" s="731"/>
      <c r="BG34" s="731"/>
      <c r="BH34" s="731"/>
      <c r="BI34" s="731"/>
      <c r="BJ34" s="50"/>
      <c r="BK34" s="731"/>
      <c r="BL34" s="731"/>
      <c r="BM34" s="731"/>
      <c r="BN34" s="731"/>
      <c r="BO34" s="210"/>
      <c r="BP34" s="731"/>
      <c r="BQ34" s="731"/>
      <c r="BR34" s="731"/>
      <c r="BS34" s="731"/>
      <c r="BT34" s="211"/>
      <c r="BU34" s="731"/>
      <c r="BV34" s="731"/>
      <c r="BW34" s="731"/>
      <c r="BX34" s="731"/>
      <c r="BY34" s="153"/>
      <c r="BZ34" s="731"/>
      <c r="CA34" s="731"/>
      <c r="CB34" s="731"/>
      <c r="CC34" s="731"/>
      <c r="CD34" s="616"/>
      <c r="CE34" s="731"/>
      <c r="CF34" s="731"/>
      <c r="CG34" s="731"/>
      <c r="CH34" s="731"/>
      <c r="CI34" s="210"/>
      <c r="CJ34" s="731"/>
      <c r="CK34" s="731"/>
      <c r="CL34" s="731"/>
      <c r="CM34" s="757"/>
      <c r="CN34" s="760"/>
      <c r="CO34" s="210"/>
      <c r="CP34" s="731"/>
      <c r="CQ34" s="731"/>
      <c r="CR34" s="731"/>
      <c r="CS34" s="757"/>
      <c r="CT34" s="760"/>
      <c r="CU34" s="210"/>
      <c r="CV34" s="731"/>
      <c r="CW34" s="731"/>
      <c r="CX34" s="731"/>
      <c r="CY34" s="757"/>
      <c r="CZ34" s="760"/>
      <c r="DA34" s="210"/>
      <c r="DB34" s="731"/>
      <c r="DC34" s="731"/>
      <c r="DD34" s="731"/>
      <c r="DE34" s="757"/>
      <c r="DF34" s="760"/>
      <c r="DG34" s="44"/>
      <c r="DH34" s="9" t="e">
        <f>SUMIFS('Краевые Сосновоборск'!$K$353:$K361,'Краевые Сосновоборск'!$C$349:$C447,$C34,'Краевые Сосновоборск'!$E$349:$E447,$E34,'Краевые Сосновоборск'!$F$349:$F447,$F34)</f>
        <v>#VALUE!</v>
      </c>
      <c r="DI34" s="28" t="e">
        <f>COUNTIFS('Краевые Сосновоборск'!$C$349:$C447,$C34,'Краевые Сосновоборск'!$E$349:$E447,$E34,'Краевые Сосновоборск'!$F$349:$F447,$F34,'Краевые Сосновоборск'!$K$353:$K361,"&gt;=0")</f>
        <v>#VALUE!</v>
      </c>
      <c r="DJ34" s="9" t="e">
        <f>COUNTIFS('Краевые Сосновоборск'!$C$349:$C447,$C34,'Краевые Сосновоборск'!$E$349:$E447,$E34,'Краевые Сосновоборск'!$F$349:$F447,$F34,'Краевые Сосновоборск'!$K$353:$K361,"лично")</f>
        <v>#VALUE!</v>
      </c>
      <c r="DK34" s="206" t="s">
        <v>31</v>
      </c>
    </row>
    <row r="35" spans="1:115" ht="12" customHeight="1" x14ac:dyDescent="0.3">
      <c r="A35" s="66">
        <v>3</v>
      </c>
      <c r="B35" s="206" t="s">
        <v>31</v>
      </c>
      <c r="C35" s="204" t="s">
        <v>112</v>
      </c>
      <c r="D35" s="67"/>
      <c r="E35" s="205"/>
      <c r="F35" s="207" t="str">
        <f t="shared" si="0"/>
        <v>Сокращенное название</v>
      </c>
      <c r="G35" s="208" t="s">
        <v>250</v>
      </c>
      <c r="H35" s="317" t="str">
        <f t="shared" ref="H35:H82" si="8">H34</f>
        <v>Фамилия_1 Имя Отчество</v>
      </c>
      <c r="I35" s="209">
        <f t="shared" si="1"/>
        <v>0</v>
      </c>
      <c r="J35" s="732">
        <f t="shared" si="2"/>
        <v>0</v>
      </c>
      <c r="K35" s="209">
        <f t="shared" si="3"/>
        <v>0</v>
      </c>
      <c r="L35" s="732">
        <f t="shared" ref="L35:L82" si="9">U35+Z35+AE35+AJ35+AO35+AT35+AY35+BD35+BI35+BN35+BS35+BX35+CC35+CH35-P35</f>
        <v>0</v>
      </c>
      <c r="M35" s="736">
        <f t="shared" si="4"/>
        <v>0</v>
      </c>
      <c r="N35" s="159">
        <f t="shared" si="5"/>
        <v>0</v>
      </c>
      <c r="O35" s="734">
        <f t="shared" si="6"/>
        <v>0</v>
      </c>
      <c r="P35" s="159">
        <f t="shared" si="7"/>
        <v>0</v>
      </c>
      <c r="Q35" s="212"/>
      <c r="R35" s="731"/>
      <c r="S35" s="731"/>
      <c r="T35" s="731"/>
      <c r="U35" s="731"/>
      <c r="V35" s="211"/>
      <c r="W35" s="763"/>
      <c r="X35" s="763"/>
      <c r="Y35" s="763"/>
      <c r="Z35" s="738"/>
      <c r="AA35" s="210"/>
      <c r="AB35" s="731"/>
      <c r="AC35" s="731"/>
      <c r="AD35" s="731"/>
      <c r="AE35" s="731"/>
      <c r="AF35" s="211"/>
      <c r="AG35" s="731"/>
      <c r="AH35" s="731"/>
      <c r="AI35" s="731"/>
      <c r="AJ35" s="731"/>
      <c r="AK35" s="211"/>
      <c r="AL35" s="731"/>
      <c r="AM35" s="731"/>
      <c r="AN35" s="731"/>
      <c r="AO35" s="731"/>
      <c r="AP35" s="211"/>
      <c r="AQ35" s="731"/>
      <c r="AR35" s="731"/>
      <c r="AS35" s="731"/>
      <c r="AT35" s="731"/>
      <c r="AU35" s="211"/>
      <c r="AV35" s="731"/>
      <c r="AW35" s="731"/>
      <c r="AX35" s="731"/>
      <c r="AY35" s="731"/>
      <c r="AZ35" s="213"/>
      <c r="BA35" s="731"/>
      <c r="BB35" s="731"/>
      <c r="BC35" s="731"/>
      <c r="BD35" s="738"/>
      <c r="BE35" s="156"/>
      <c r="BF35" s="731"/>
      <c r="BG35" s="731"/>
      <c r="BH35" s="731"/>
      <c r="BI35" s="731"/>
      <c r="BJ35" s="50"/>
      <c r="BK35" s="731"/>
      <c r="BL35" s="731"/>
      <c r="BM35" s="731"/>
      <c r="BN35" s="731"/>
      <c r="BO35" s="210"/>
      <c r="BP35" s="731"/>
      <c r="BQ35" s="731"/>
      <c r="BR35" s="731"/>
      <c r="BS35" s="731"/>
      <c r="BT35" s="211"/>
      <c r="BU35" s="731"/>
      <c r="BV35" s="731"/>
      <c r="BW35" s="731"/>
      <c r="BX35" s="731"/>
      <c r="BY35" s="153"/>
      <c r="BZ35" s="731"/>
      <c r="CA35" s="731"/>
      <c r="CB35" s="731"/>
      <c r="CC35" s="731"/>
      <c r="CD35" s="616"/>
      <c r="CE35" s="731"/>
      <c r="CF35" s="731"/>
      <c r="CG35" s="731"/>
      <c r="CH35" s="731"/>
      <c r="CI35" s="210"/>
      <c r="CJ35" s="731"/>
      <c r="CK35" s="731"/>
      <c r="CL35" s="731"/>
      <c r="CM35" s="757"/>
      <c r="CN35" s="760"/>
      <c r="CO35" s="210"/>
      <c r="CP35" s="731"/>
      <c r="CQ35" s="731"/>
      <c r="CR35" s="731"/>
      <c r="CS35" s="757"/>
      <c r="CT35" s="760"/>
      <c r="CU35" s="210"/>
      <c r="CV35" s="731"/>
      <c r="CW35" s="731"/>
      <c r="CX35" s="731"/>
      <c r="CY35" s="757"/>
      <c r="CZ35" s="760"/>
      <c r="DA35" s="210"/>
      <c r="DB35" s="731"/>
      <c r="DC35" s="731"/>
      <c r="DD35" s="731"/>
      <c r="DE35" s="757"/>
      <c r="DF35" s="760"/>
      <c r="DG35" s="44"/>
      <c r="DH35" s="9" t="e">
        <f>SUMIFS('Краевые Сосновоборск'!$K$353:$K361,'Краевые Сосновоборск'!$C$349:$C447,$C35,'Краевые Сосновоборск'!$E$349:$E447,$E35,'Краевые Сосновоборск'!$F$349:$F447,$F35)</f>
        <v>#VALUE!</v>
      </c>
      <c r="DI35" s="28" t="e">
        <f>COUNTIFS('Краевые Сосновоборск'!$C$349:$C447,$C35,'Краевые Сосновоборск'!$E$349:$E447,$E35,'Краевые Сосновоборск'!$F$349:$F447,$F35,'Краевые Сосновоборск'!$K$353:$K361,"&gt;=0")</f>
        <v>#VALUE!</v>
      </c>
      <c r="DJ35" s="9" t="e">
        <f>COUNTIFS('Краевые Сосновоборск'!$C$349:$C447,$C35,'Краевые Сосновоборск'!$E$349:$E447,$E35,'Краевые Сосновоборск'!$F$349:$F447,$F35,'Краевые Сосновоборск'!$K$353:$K361,"лично")</f>
        <v>#VALUE!</v>
      </c>
      <c r="DK35" s="206" t="s">
        <v>32</v>
      </c>
    </row>
    <row r="36" spans="1:115" ht="12" customHeight="1" x14ac:dyDescent="0.3">
      <c r="A36" s="66">
        <v>4</v>
      </c>
      <c r="B36" s="206" t="s">
        <v>32</v>
      </c>
      <c r="C36" s="204" t="s">
        <v>112</v>
      </c>
      <c r="D36" s="67"/>
      <c r="E36" s="205"/>
      <c r="F36" s="207" t="str">
        <f t="shared" si="0"/>
        <v>Сокращенное название</v>
      </c>
      <c r="G36" s="208" t="s">
        <v>250</v>
      </c>
      <c r="H36" s="317" t="str">
        <f t="shared" si="8"/>
        <v>Фамилия_1 Имя Отчество</v>
      </c>
      <c r="I36" s="209">
        <f t="shared" si="1"/>
        <v>0</v>
      </c>
      <c r="J36" s="732">
        <f t="shared" si="2"/>
        <v>0</v>
      </c>
      <c r="K36" s="209">
        <f t="shared" si="3"/>
        <v>0</v>
      </c>
      <c r="L36" s="732">
        <f t="shared" si="9"/>
        <v>0</v>
      </c>
      <c r="M36" s="736">
        <f t="shared" si="4"/>
        <v>0</v>
      </c>
      <c r="N36" s="159">
        <f t="shared" si="5"/>
        <v>0</v>
      </c>
      <c r="O36" s="734">
        <f t="shared" si="6"/>
        <v>0</v>
      </c>
      <c r="P36" s="159">
        <f t="shared" si="7"/>
        <v>0</v>
      </c>
      <c r="Q36" s="212"/>
      <c r="R36" s="731"/>
      <c r="S36" s="731"/>
      <c r="T36" s="731"/>
      <c r="U36" s="731"/>
      <c r="V36" s="211"/>
      <c r="W36" s="763"/>
      <c r="X36" s="763"/>
      <c r="Y36" s="763"/>
      <c r="Z36" s="738"/>
      <c r="AA36" s="210"/>
      <c r="AB36" s="731"/>
      <c r="AC36" s="731"/>
      <c r="AD36" s="731"/>
      <c r="AE36" s="731"/>
      <c r="AF36" s="211"/>
      <c r="AG36" s="731"/>
      <c r="AH36" s="731"/>
      <c r="AI36" s="731"/>
      <c r="AJ36" s="731"/>
      <c r="AK36" s="211"/>
      <c r="AL36" s="731"/>
      <c r="AM36" s="731"/>
      <c r="AN36" s="731"/>
      <c r="AO36" s="731"/>
      <c r="AP36" s="211"/>
      <c r="AQ36" s="731"/>
      <c r="AR36" s="731"/>
      <c r="AS36" s="731"/>
      <c r="AT36" s="731"/>
      <c r="AU36" s="211"/>
      <c r="AV36" s="731"/>
      <c r="AW36" s="731"/>
      <c r="AX36" s="731"/>
      <c r="AY36" s="731"/>
      <c r="AZ36" s="213"/>
      <c r="BA36" s="731"/>
      <c r="BB36" s="731"/>
      <c r="BC36" s="731"/>
      <c r="BD36" s="738"/>
      <c r="BE36" s="156"/>
      <c r="BF36" s="731"/>
      <c r="BG36" s="731"/>
      <c r="BH36" s="731"/>
      <c r="BI36" s="731"/>
      <c r="BJ36" s="50"/>
      <c r="BK36" s="731"/>
      <c r="BL36" s="731"/>
      <c r="BM36" s="731"/>
      <c r="BN36" s="731"/>
      <c r="BO36" s="210"/>
      <c r="BP36" s="731"/>
      <c r="BQ36" s="731"/>
      <c r="BR36" s="731"/>
      <c r="BS36" s="731"/>
      <c r="BT36" s="211"/>
      <c r="BU36" s="731"/>
      <c r="BV36" s="731"/>
      <c r="BW36" s="731"/>
      <c r="BX36" s="731"/>
      <c r="BY36" s="153"/>
      <c r="BZ36" s="731"/>
      <c r="CA36" s="731"/>
      <c r="CB36" s="731"/>
      <c r="CC36" s="731"/>
      <c r="CD36" s="616"/>
      <c r="CE36" s="731"/>
      <c r="CF36" s="731"/>
      <c r="CG36" s="731"/>
      <c r="CH36" s="731"/>
      <c r="CI36" s="210"/>
      <c r="CJ36" s="731"/>
      <c r="CK36" s="731"/>
      <c r="CL36" s="731"/>
      <c r="CM36" s="757"/>
      <c r="CN36" s="760"/>
      <c r="CO36" s="210"/>
      <c r="CP36" s="731"/>
      <c r="CQ36" s="731"/>
      <c r="CR36" s="731"/>
      <c r="CS36" s="757"/>
      <c r="CT36" s="760"/>
      <c r="CU36" s="210"/>
      <c r="CV36" s="731"/>
      <c r="CW36" s="731"/>
      <c r="CX36" s="731"/>
      <c r="CY36" s="757"/>
      <c r="CZ36" s="760"/>
      <c r="DA36" s="210"/>
      <c r="DB36" s="731"/>
      <c r="DC36" s="731"/>
      <c r="DD36" s="731"/>
      <c r="DE36" s="757"/>
      <c r="DF36" s="760"/>
      <c r="DG36" s="44"/>
      <c r="DH36" s="9" t="e">
        <f>SUMIFS('Краевые Сосновоборск'!$K$353:$K361,'Краевые Сосновоборск'!$C$349:$C447,$C36,'Краевые Сосновоборск'!$E$349:$E447,$E36,'Краевые Сосновоборск'!$F$349:$F447,$F36)</f>
        <v>#VALUE!</v>
      </c>
      <c r="DI36" s="28" t="e">
        <f>COUNTIFS('Краевые Сосновоборск'!$C$349:$C447,$C36,'Краевые Сосновоборск'!$E$349:$E447,$E36,'Краевые Сосновоборск'!$F$349:$F447,$F36,'Краевые Сосновоборск'!$K$353:$K361,"&gt;=0")</f>
        <v>#VALUE!</v>
      </c>
      <c r="DJ36" s="9" t="e">
        <f>COUNTIFS('Краевые Сосновоборск'!$C$349:$C447,$C36,'Краевые Сосновоборск'!$E$349:$E447,$E36,'Краевые Сосновоборск'!$F$349:$F447,$F36,'Краевые Сосновоборск'!$K$353:$K361,"лично")</f>
        <v>#VALUE!</v>
      </c>
      <c r="DK36" s="206" t="s">
        <v>33</v>
      </c>
    </row>
    <row r="37" spans="1:115" ht="12" customHeight="1" x14ac:dyDescent="0.3">
      <c r="A37" s="66">
        <v>5</v>
      </c>
      <c r="B37" s="206" t="s">
        <v>33</v>
      </c>
      <c r="C37" s="204" t="s">
        <v>112</v>
      </c>
      <c r="D37" s="67"/>
      <c r="E37" s="205"/>
      <c r="F37" s="207" t="str">
        <f t="shared" si="0"/>
        <v>Сокращенное название</v>
      </c>
      <c r="G37" s="208" t="s">
        <v>250</v>
      </c>
      <c r="H37" s="317" t="str">
        <f t="shared" si="8"/>
        <v>Фамилия_1 Имя Отчество</v>
      </c>
      <c r="I37" s="209">
        <f t="shared" si="1"/>
        <v>0</v>
      </c>
      <c r="J37" s="732">
        <f t="shared" si="2"/>
        <v>0</v>
      </c>
      <c r="K37" s="209">
        <f t="shared" si="3"/>
        <v>0</v>
      </c>
      <c r="L37" s="732">
        <f t="shared" si="9"/>
        <v>0</v>
      </c>
      <c r="M37" s="736">
        <f t="shared" si="4"/>
        <v>0</v>
      </c>
      <c r="N37" s="159">
        <f t="shared" si="5"/>
        <v>0</v>
      </c>
      <c r="O37" s="734">
        <f t="shared" si="6"/>
        <v>0</v>
      </c>
      <c r="P37" s="159">
        <f t="shared" si="7"/>
        <v>0</v>
      </c>
      <c r="Q37" s="212"/>
      <c r="R37" s="731"/>
      <c r="S37" s="731"/>
      <c r="T37" s="731"/>
      <c r="U37" s="731"/>
      <c r="V37" s="211"/>
      <c r="W37" s="763"/>
      <c r="X37" s="763"/>
      <c r="Y37" s="763"/>
      <c r="Z37" s="738"/>
      <c r="AA37" s="210"/>
      <c r="AB37" s="731"/>
      <c r="AC37" s="731"/>
      <c r="AD37" s="731"/>
      <c r="AE37" s="731"/>
      <c r="AF37" s="211"/>
      <c r="AG37" s="731"/>
      <c r="AH37" s="731"/>
      <c r="AI37" s="731"/>
      <c r="AJ37" s="731"/>
      <c r="AK37" s="211"/>
      <c r="AL37" s="731"/>
      <c r="AM37" s="731"/>
      <c r="AN37" s="731"/>
      <c r="AO37" s="731"/>
      <c r="AP37" s="211"/>
      <c r="AQ37" s="731"/>
      <c r="AR37" s="731"/>
      <c r="AS37" s="731"/>
      <c r="AT37" s="731"/>
      <c r="AU37" s="211"/>
      <c r="AV37" s="731"/>
      <c r="AW37" s="731"/>
      <c r="AX37" s="731"/>
      <c r="AY37" s="731"/>
      <c r="AZ37" s="213"/>
      <c r="BA37" s="731"/>
      <c r="BB37" s="731"/>
      <c r="BC37" s="731"/>
      <c r="BD37" s="738"/>
      <c r="BE37" s="156"/>
      <c r="BF37" s="731"/>
      <c r="BG37" s="731"/>
      <c r="BH37" s="731"/>
      <c r="BI37" s="731"/>
      <c r="BJ37" s="50"/>
      <c r="BK37" s="731"/>
      <c r="BL37" s="731"/>
      <c r="BM37" s="731"/>
      <c r="BN37" s="731"/>
      <c r="BO37" s="210"/>
      <c r="BP37" s="731"/>
      <c r="BQ37" s="731"/>
      <c r="BR37" s="731"/>
      <c r="BS37" s="731"/>
      <c r="BT37" s="211"/>
      <c r="BU37" s="731"/>
      <c r="BV37" s="731"/>
      <c r="BW37" s="731"/>
      <c r="BX37" s="731"/>
      <c r="BY37" s="153"/>
      <c r="BZ37" s="731"/>
      <c r="CA37" s="731"/>
      <c r="CB37" s="731"/>
      <c r="CC37" s="731"/>
      <c r="CD37" s="616"/>
      <c r="CE37" s="731"/>
      <c r="CF37" s="731"/>
      <c r="CG37" s="731"/>
      <c r="CH37" s="731"/>
      <c r="CI37" s="210"/>
      <c r="CJ37" s="731"/>
      <c r="CK37" s="731"/>
      <c r="CL37" s="731"/>
      <c r="CM37" s="757"/>
      <c r="CN37" s="760"/>
      <c r="CO37" s="210"/>
      <c r="CP37" s="731"/>
      <c r="CQ37" s="731"/>
      <c r="CR37" s="731"/>
      <c r="CS37" s="757"/>
      <c r="CT37" s="760"/>
      <c r="CU37" s="210"/>
      <c r="CV37" s="731"/>
      <c r="CW37" s="731"/>
      <c r="CX37" s="731"/>
      <c r="CY37" s="757"/>
      <c r="CZ37" s="760"/>
      <c r="DA37" s="210"/>
      <c r="DB37" s="731"/>
      <c r="DC37" s="731"/>
      <c r="DD37" s="731"/>
      <c r="DE37" s="757"/>
      <c r="DF37" s="760"/>
      <c r="DG37" s="44"/>
      <c r="DH37" s="9" t="e">
        <f>SUMIFS('Краевые Сосновоборск'!$K$353:$K361,'Краевые Сосновоборск'!$C$349:$C447,$C37,'Краевые Сосновоборск'!$E$349:$E447,$E37,'Краевые Сосновоборск'!$F$349:$F447,$F37)</f>
        <v>#VALUE!</v>
      </c>
      <c r="DI37" s="28" t="e">
        <f>COUNTIFS('Краевые Сосновоборск'!$C$349:$C447,$C37,'Краевые Сосновоборск'!$E$349:$E447,$E37,'Краевые Сосновоборск'!$F$349:$F447,$F37,'Краевые Сосновоборск'!$K$353:$K361,"&gt;=0")</f>
        <v>#VALUE!</v>
      </c>
      <c r="DJ37" s="9" t="e">
        <f>COUNTIFS('Краевые Сосновоборск'!$C$349:$C447,$C37,'Краевые Сосновоборск'!$E$349:$E447,$E37,'Краевые Сосновоборск'!$F$349:$F447,$F37,'Краевые Сосновоборск'!$K$353:$K361,"лично")</f>
        <v>#VALUE!</v>
      </c>
      <c r="DK37" s="206" t="s">
        <v>34</v>
      </c>
    </row>
    <row r="38" spans="1:115" ht="12" customHeight="1" x14ac:dyDescent="0.3">
      <c r="A38" s="66">
        <v>6</v>
      </c>
      <c r="B38" s="206" t="s">
        <v>34</v>
      </c>
      <c r="C38" s="204" t="s">
        <v>112</v>
      </c>
      <c r="D38" s="67"/>
      <c r="E38" s="205"/>
      <c r="F38" s="207" t="str">
        <f t="shared" si="0"/>
        <v>Сокращенное название</v>
      </c>
      <c r="G38" s="208" t="s">
        <v>250</v>
      </c>
      <c r="H38" s="317" t="str">
        <f t="shared" si="8"/>
        <v>Фамилия_1 Имя Отчество</v>
      </c>
      <c r="I38" s="209">
        <f t="shared" si="1"/>
        <v>0</v>
      </c>
      <c r="J38" s="732">
        <f t="shared" si="2"/>
        <v>0</v>
      </c>
      <c r="K38" s="209">
        <f t="shared" si="3"/>
        <v>0</v>
      </c>
      <c r="L38" s="732">
        <f t="shared" si="9"/>
        <v>0</v>
      </c>
      <c r="M38" s="736">
        <f t="shared" si="4"/>
        <v>0</v>
      </c>
      <c r="N38" s="159">
        <f t="shared" si="5"/>
        <v>0</v>
      </c>
      <c r="O38" s="734">
        <f t="shared" si="6"/>
        <v>0</v>
      </c>
      <c r="P38" s="159">
        <f t="shared" si="7"/>
        <v>0</v>
      </c>
      <c r="Q38" s="212"/>
      <c r="R38" s="731"/>
      <c r="S38" s="731"/>
      <c r="T38" s="731"/>
      <c r="U38" s="731"/>
      <c r="V38" s="211"/>
      <c r="W38" s="763"/>
      <c r="X38" s="763"/>
      <c r="Y38" s="763"/>
      <c r="Z38" s="738"/>
      <c r="AA38" s="210"/>
      <c r="AB38" s="731"/>
      <c r="AC38" s="731"/>
      <c r="AD38" s="731"/>
      <c r="AE38" s="731"/>
      <c r="AF38" s="211"/>
      <c r="AG38" s="731"/>
      <c r="AH38" s="731"/>
      <c r="AI38" s="731"/>
      <c r="AJ38" s="731"/>
      <c r="AK38" s="211"/>
      <c r="AL38" s="731"/>
      <c r="AM38" s="731"/>
      <c r="AN38" s="731"/>
      <c r="AO38" s="731"/>
      <c r="AP38" s="211"/>
      <c r="AQ38" s="731"/>
      <c r="AR38" s="731"/>
      <c r="AS38" s="731"/>
      <c r="AT38" s="731"/>
      <c r="AU38" s="211"/>
      <c r="AV38" s="731"/>
      <c r="AW38" s="731"/>
      <c r="AX38" s="731"/>
      <c r="AY38" s="731"/>
      <c r="AZ38" s="213"/>
      <c r="BA38" s="731"/>
      <c r="BB38" s="731"/>
      <c r="BC38" s="731"/>
      <c r="BD38" s="738"/>
      <c r="BE38" s="156"/>
      <c r="BF38" s="731"/>
      <c r="BG38" s="731"/>
      <c r="BH38" s="731"/>
      <c r="BI38" s="731"/>
      <c r="BJ38" s="50"/>
      <c r="BK38" s="731"/>
      <c r="BL38" s="731"/>
      <c r="BM38" s="731"/>
      <c r="BN38" s="731"/>
      <c r="BO38" s="210"/>
      <c r="BP38" s="731"/>
      <c r="BQ38" s="731"/>
      <c r="BR38" s="731"/>
      <c r="BS38" s="731"/>
      <c r="BT38" s="211"/>
      <c r="BU38" s="731"/>
      <c r="BV38" s="731"/>
      <c r="BW38" s="731"/>
      <c r="BX38" s="731"/>
      <c r="BY38" s="153"/>
      <c r="BZ38" s="731"/>
      <c r="CA38" s="731"/>
      <c r="CB38" s="731"/>
      <c r="CC38" s="731"/>
      <c r="CD38" s="616"/>
      <c r="CE38" s="731"/>
      <c r="CF38" s="731"/>
      <c r="CG38" s="731"/>
      <c r="CH38" s="731"/>
      <c r="CI38" s="210"/>
      <c r="CJ38" s="731"/>
      <c r="CK38" s="731"/>
      <c r="CL38" s="731"/>
      <c r="CM38" s="757"/>
      <c r="CN38" s="760"/>
      <c r="CO38" s="210"/>
      <c r="CP38" s="731"/>
      <c r="CQ38" s="731"/>
      <c r="CR38" s="731"/>
      <c r="CS38" s="757"/>
      <c r="CT38" s="760"/>
      <c r="CU38" s="210"/>
      <c r="CV38" s="731"/>
      <c r="CW38" s="731"/>
      <c r="CX38" s="731"/>
      <c r="CY38" s="757"/>
      <c r="CZ38" s="760"/>
      <c r="DA38" s="210"/>
      <c r="DB38" s="731"/>
      <c r="DC38" s="731"/>
      <c r="DD38" s="731"/>
      <c r="DE38" s="757"/>
      <c r="DF38" s="760"/>
      <c r="DG38" s="44"/>
      <c r="DH38" s="9" t="e">
        <f>SUMIFS('Краевые Сосновоборск'!$K$353:$K361,'Краевые Сосновоборск'!$C$349:$C447,$C38,'Краевые Сосновоборск'!$E$349:$E447,$E38,'Краевые Сосновоборск'!$F$349:$F447,$F38)</f>
        <v>#VALUE!</v>
      </c>
      <c r="DI38" s="28" t="e">
        <f>COUNTIFS('Краевые Сосновоборск'!$C$349:$C447,$C38,'Краевые Сосновоборск'!$E$349:$E447,$E38,'Краевые Сосновоборск'!$F$349:$F447,$F38,'Краевые Сосновоборск'!$K$353:$K361,"&gt;=0")</f>
        <v>#VALUE!</v>
      </c>
      <c r="DJ38" s="9" t="e">
        <f>COUNTIFS('Краевые Сосновоборск'!$C$349:$C447,$C38,'Краевые Сосновоборск'!$E$349:$E447,$E38,'Краевые Сосновоборск'!$F$349:$F447,$F38,'Краевые Сосновоборск'!$K$353:$K361,"лично")</f>
        <v>#VALUE!</v>
      </c>
      <c r="DK38" s="206" t="s">
        <v>6</v>
      </c>
    </row>
    <row r="39" spans="1:115" ht="12" customHeight="1" x14ac:dyDescent="0.3">
      <c r="A39" s="66">
        <v>7</v>
      </c>
      <c r="B39" s="206" t="s">
        <v>6</v>
      </c>
      <c r="C39" s="204" t="s">
        <v>112</v>
      </c>
      <c r="D39" s="67"/>
      <c r="E39" s="205"/>
      <c r="F39" s="207" t="str">
        <f t="shared" si="0"/>
        <v>Сокращенное название</v>
      </c>
      <c r="G39" s="208" t="s">
        <v>250</v>
      </c>
      <c r="H39" s="317" t="str">
        <f t="shared" si="8"/>
        <v>Фамилия_1 Имя Отчество</v>
      </c>
      <c r="I39" s="209">
        <f t="shared" si="1"/>
        <v>0</v>
      </c>
      <c r="J39" s="732">
        <f t="shared" si="2"/>
        <v>0</v>
      </c>
      <c r="K39" s="209">
        <f t="shared" si="3"/>
        <v>0</v>
      </c>
      <c r="L39" s="732">
        <f t="shared" si="9"/>
        <v>0</v>
      </c>
      <c r="M39" s="736">
        <f t="shared" si="4"/>
        <v>0</v>
      </c>
      <c r="N39" s="159">
        <f t="shared" si="5"/>
        <v>0</v>
      </c>
      <c r="O39" s="734">
        <f t="shared" si="6"/>
        <v>0</v>
      </c>
      <c r="P39" s="159">
        <f t="shared" si="7"/>
        <v>0</v>
      </c>
      <c r="Q39" s="212"/>
      <c r="R39" s="731"/>
      <c r="S39" s="731"/>
      <c r="T39" s="731"/>
      <c r="U39" s="731"/>
      <c r="V39" s="211"/>
      <c r="W39" s="763"/>
      <c r="X39" s="763"/>
      <c r="Y39" s="763"/>
      <c r="Z39" s="738"/>
      <c r="AA39" s="210"/>
      <c r="AB39" s="731"/>
      <c r="AC39" s="731"/>
      <c r="AD39" s="731"/>
      <c r="AE39" s="731"/>
      <c r="AF39" s="211"/>
      <c r="AG39" s="731"/>
      <c r="AH39" s="731"/>
      <c r="AI39" s="731"/>
      <c r="AJ39" s="731"/>
      <c r="AK39" s="211"/>
      <c r="AL39" s="731"/>
      <c r="AM39" s="731"/>
      <c r="AN39" s="731"/>
      <c r="AO39" s="731"/>
      <c r="AP39" s="211"/>
      <c r="AQ39" s="731"/>
      <c r="AR39" s="731"/>
      <c r="AS39" s="731"/>
      <c r="AT39" s="731"/>
      <c r="AU39" s="211"/>
      <c r="AV39" s="731"/>
      <c r="AW39" s="731"/>
      <c r="AX39" s="731"/>
      <c r="AY39" s="731"/>
      <c r="AZ39" s="213"/>
      <c r="BA39" s="731"/>
      <c r="BB39" s="731"/>
      <c r="BC39" s="731"/>
      <c r="BD39" s="738"/>
      <c r="BE39" s="156"/>
      <c r="BF39" s="731"/>
      <c r="BG39" s="731"/>
      <c r="BH39" s="731"/>
      <c r="BI39" s="731"/>
      <c r="BJ39" s="50"/>
      <c r="BK39" s="731"/>
      <c r="BL39" s="731"/>
      <c r="BM39" s="731"/>
      <c r="BN39" s="731"/>
      <c r="BO39" s="210"/>
      <c r="BP39" s="731"/>
      <c r="BQ39" s="731"/>
      <c r="BR39" s="731"/>
      <c r="BS39" s="731"/>
      <c r="BT39" s="211"/>
      <c r="BU39" s="731"/>
      <c r="BV39" s="731"/>
      <c r="BW39" s="731"/>
      <c r="BX39" s="731"/>
      <c r="BY39" s="153"/>
      <c r="BZ39" s="731"/>
      <c r="CA39" s="731"/>
      <c r="CB39" s="731"/>
      <c r="CC39" s="731"/>
      <c r="CD39" s="616"/>
      <c r="CE39" s="731"/>
      <c r="CF39" s="731"/>
      <c r="CG39" s="731"/>
      <c r="CH39" s="731"/>
      <c r="CI39" s="210"/>
      <c r="CJ39" s="731"/>
      <c r="CK39" s="731"/>
      <c r="CL39" s="731"/>
      <c r="CM39" s="757"/>
      <c r="CN39" s="760"/>
      <c r="CO39" s="210"/>
      <c r="CP39" s="731"/>
      <c r="CQ39" s="731"/>
      <c r="CR39" s="731"/>
      <c r="CS39" s="757"/>
      <c r="CT39" s="760"/>
      <c r="CU39" s="210"/>
      <c r="CV39" s="731"/>
      <c r="CW39" s="731"/>
      <c r="CX39" s="731"/>
      <c r="CY39" s="757"/>
      <c r="CZ39" s="760"/>
      <c r="DA39" s="210"/>
      <c r="DB39" s="731"/>
      <c r="DC39" s="731"/>
      <c r="DD39" s="731"/>
      <c r="DE39" s="757"/>
      <c r="DF39" s="760"/>
      <c r="DG39" s="44"/>
      <c r="DH39" s="9" t="e">
        <f>SUMIFS('Краевые Сосновоборск'!$K$353:$K361,'Краевые Сосновоборск'!$C$349:$C447,$C39,'Краевые Сосновоборск'!$E$349:$E447,$E39,'Краевые Сосновоборск'!$F$349:$F447,$F39)</f>
        <v>#VALUE!</v>
      </c>
      <c r="DI39" s="28" t="e">
        <f>COUNTIFS('Краевые Сосновоборск'!$C$349:$C447,$C39,'Краевые Сосновоборск'!$E$349:$E447,$E39,'Краевые Сосновоборск'!$F$349:$F447,$F39,'Краевые Сосновоборск'!$K$353:$K361,"&gt;=0")</f>
        <v>#VALUE!</v>
      </c>
      <c r="DJ39" s="9" t="e">
        <f>COUNTIFS('Краевые Сосновоборск'!$C$349:$C447,$C39,'Краевые Сосновоборск'!$E$349:$E447,$E39,'Краевые Сосновоборск'!$F$349:$F447,$F39,'Краевые Сосновоборск'!$K$353:$K361,"лично")</f>
        <v>#VALUE!</v>
      </c>
      <c r="DK39" s="206" t="s">
        <v>23</v>
      </c>
    </row>
    <row r="40" spans="1:115" ht="12" customHeight="1" x14ac:dyDescent="0.3">
      <c r="A40" s="66">
        <v>8</v>
      </c>
      <c r="B40" s="206" t="s">
        <v>6</v>
      </c>
      <c r="C40" s="204" t="s">
        <v>112</v>
      </c>
      <c r="D40" s="67"/>
      <c r="E40" s="205"/>
      <c r="F40" s="207" t="str">
        <f t="shared" si="0"/>
        <v>Сокращенное название</v>
      </c>
      <c r="G40" s="208" t="s">
        <v>250</v>
      </c>
      <c r="H40" s="317" t="str">
        <f t="shared" si="8"/>
        <v>Фамилия_1 Имя Отчество</v>
      </c>
      <c r="I40" s="209">
        <f t="shared" si="1"/>
        <v>0</v>
      </c>
      <c r="J40" s="732">
        <f t="shared" si="2"/>
        <v>0</v>
      </c>
      <c r="K40" s="209">
        <f t="shared" si="3"/>
        <v>0</v>
      </c>
      <c r="L40" s="732">
        <f t="shared" si="9"/>
        <v>0</v>
      </c>
      <c r="M40" s="736">
        <f t="shared" si="4"/>
        <v>0</v>
      </c>
      <c r="N40" s="159">
        <f t="shared" si="5"/>
        <v>0</v>
      </c>
      <c r="O40" s="734">
        <f t="shared" si="6"/>
        <v>0</v>
      </c>
      <c r="P40" s="159">
        <f t="shared" si="7"/>
        <v>0</v>
      </c>
      <c r="Q40" s="212"/>
      <c r="R40" s="731"/>
      <c r="S40" s="731"/>
      <c r="T40" s="731"/>
      <c r="U40" s="731"/>
      <c r="V40" s="211"/>
      <c r="W40" s="763"/>
      <c r="X40" s="763"/>
      <c r="Y40" s="763"/>
      <c r="Z40" s="738"/>
      <c r="AA40" s="210"/>
      <c r="AB40" s="731"/>
      <c r="AC40" s="731"/>
      <c r="AD40" s="731"/>
      <c r="AE40" s="731"/>
      <c r="AF40" s="211"/>
      <c r="AG40" s="731"/>
      <c r="AH40" s="731"/>
      <c r="AI40" s="731"/>
      <c r="AJ40" s="731"/>
      <c r="AK40" s="211"/>
      <c r="AL40" s="731"/>
      <c r="AM40" s="731"/>
      <c r="AN40" s="731"/>
      <c r="AO40" s="731"/>
      <c r="AP40" s="211"/>
      <c r="AQ40" s="731"/>
      <c r="AR40" s="731"/>
      <c r="AS40" s="731"/>
      <c r="AT40" s="731"/>
      <c r="AU40" s="211"/>
      <c r="AV40" s="731"/>
      <c r="AW40" s="731"/>
      <c r="AX40" s="731"/>
      <c r="AY40" s="731"/>
      <c r="AZ40" s="213"/>
      <c r="BA40" s="731"/>
      <c r="BB40" s="731"/>
      <c r="BC40" s="731"/>
      <c r="BD40" s="738"/>
      <c r="BE40" s="156"/>
      <c r="BF40" s="731"/>
      <c r="BG40" s="731"/>
      <c r="BH40" s="731"/>
      <c r="BI40" s="731"/>
      <c r="BJ40" s="50"/>
      <c r="BK40" s="731"/>
      <c r="BL40" s="731"/>
      <c r="BM40" s="731"/>
      <c r="BN40" s="731"/>
      <c r="BO40" s="210"/>
      <c r="BP40" s="731"/>
      <c r="BQ40" s="731"/>
      <c r="BR40" s="731"/>
      <c r="BS40" s="731"/>
      <c r="BT40" s="211"/>
      <c r="BU40" s="731"/>
      <c r="BV40" s="731"/>
      <c r="BW40" s="731"/>
      <c r="BX40" s="731"/>
      <c r="BY40" s="153"/>
      <c r="BZ40" s="731"/>
      <c r="CA40" s="731"/>
      <c r="CB40" s="731"/>
      <c r="CC40" s="731"/>
      <c r="CD40" s="616"/>
      <c r="CE40" s="731"/>
      <c r="CF40" s="731"/>
      <c r="CG40" s="731"/>
      <c r="CH40" s="731"/>
      <c r="CI40" s="210"/>
      <c r="CJ40" s="731"/>
      <c r="CK40" s="731"/>
      <c r="CL40" s="731"/>
      <c r="CM40" s="757"/>
      <c r="CN40" s="760"/>
      <c r="CO40" s="210"/>
      <c r="CP40" s="731"/>
      <c r="CQ40" s="731"/>
      <c r="CR40" s="731"/>
      <c r="CS40" s="757"/>
      <c r="CT40" s="760"/>
      <c r="CU40" s="210"/>
      <c r="CV40" s="731"/>
      <c r="CW40" s="731"/>
      <c r="CX40" s="731"/>
      <c r="CY40" s="757"/>
      <c r="CZ40" s="760"/>
      <c r="DA40" s="210"/>
      <c r="DB40" s="731"/>
      <c r="DC40" s="731"/>
      <c r="DD40" s="731"/>
      <c r="DE40" s="757"/>
      <c r="DF40" s="760"/>
      <c r="DG40" s="44"/>
      <c r="DH40" s="9" t="e">
        <f>SUMIFS('Краевые Сосновоборск'!$K$353:$K361,'Краевые Сосновоборск'!$C$349:$C447,$C40,'Краевые Сосновоборск'!$E$349:$E447,$E40,'Краевые Сосновоборск'!$F$349:$F447,$F40)</f>
        <v>#VALUE!</v>
      </c>
      <c r="DI40" s="28" t="e">
        <f>COUNTIFS('Краевые Сосновоборск'!$C$349:$C447,$C40,'Краевые Сосновоборск'!$E$349:$E447,$E40,'Краевые Сосновоборск'!$F$349:$F447,$F40,'Краевые Сосновоборск'!$K$353:$K361,"&gt;=0")</f>
        <v>#VALUE!</v>
      </c>
      <c r="DJ40" s="9" t="e">
        <f>COUNTIFS('Краевые Сосновоборск'!$C$349:$C447,$C40,'Краевые Сосновоборск'!$E$349:$E447,$E40,'Краевые Сосновоборск'!$F$349:$F447,$F40,'Краевые Сосновоборск'!$K$353:$K361,"лично")</f>
        <v>#VALUE!</v>
      </c>
      <c r="DK40" s="206" t="s">
        <v>24</v>
      </c>
    </row>
    <row r="41" spans="1:115" ht="12" customHeight="1" x14ac:dyDescent="0.3">
      <c r="A41" s="66">
        <v>9</v>
      </c>
      <c r="B41" s="206" t="s">
        <v>24</v>
      </c>
      <c r="C41" s="204" t="s">
        <v>112</v>
      </c>
      <c r="D41" s="67"/>
      <c r="E41" s="205"/>
      <c r="F41" s="207" t="str">
        <f t="shared" si="0"/>
        <v>Сокращенное название</v>
      </c>
      <c r="G41" s="208" t="s">
        <v>250</v>
      </c>
      <c r="H41" s="317" t="str">
        <f t="shared" si="8"/>
        <v>Фамилия_1 Имя Отчество</v>
      </c>
      <c r="I41" s="209">
        <f t="shared" si="1"/>
        <v>0</v>
      </c>
      <c r="J41" s="732">
        <f t="shared" si="2"/>
        <v>0</v>
      </c>
      <c r="K41" s="209">
        <f t="shared" si="3"/>
        <v>0</v>
      </c>
      <c r="L41" s="732">
        <f t="shared" si="9"/>
        <v>0</v>
      </c>
      <c r="M41" s="736">
        <f t="shared" si="4"/>
        <v>0</v>
      </c>
      <c r="N41" s="159">
        <f t="shared" si="5"/>
        <v>0</v>
      </c>
      <c r="O41" s="734">
        <f t="shared" si="6"/>
        <v>0</v>
      </c>
      <c r="P41" s="159">
        <f t="shared" si="7"/>
        <v>0</v>
      </c>
      <c r="Q41" s="212"/>
      <c r="R41" s="731"/>
      <c r="S41" s="731"/>
      <c r="T41" s="731"/>
      <c r="U41" s="731"/>
      <c r="V41" s="211"/>
      <c r="W41" s="763"/>
      <c r="X41" s="763"/>
      <c r="Y41" s="763"/>
      <c r="Z41" s="738"/>
      <c r="AA41" s="210"/>
      <c r="AB41" s="731"/>
      <c r="AC41" s="731"/>
      <c r="AD41" s="731"/>
      <c r="AE41" s="731"/>
      <c r="AF41" s="211"/>
      <c r="AG41" s="731"/>
      <c r="AH41" s="731"/>
      <c r="AI41" s="731"/>
      <c r="AJ41" s="731"/>
      <c r="AK41" s="211"/>
      <c r="AL41" s="731"/>
      <c r="AM41" s="731"/>
      <c r="AN41" s="731"/>
      <c r="AO41" s="731"/>
      <c r="AP41" s="211"/>
      <c r="AQ41" s="731"/>
      <c r="AR41" s="731"/>
      <c r="AS41" s="731"/>
      <c r="AT41" s="731"/>
      <c r="AU41" s="211"/>
      <c r="AV41" s="731"/>
      <c r="AW41" s="731"/>
      <c r="AX41" s="731"/>
      <c r="AY41" s="731"/>
      <c r="AZ41" s="213"/>
      <c r="BA41" s="731"/>
      <c r="BB41" s="731"/>
      <c r="BC41" s="731"/>
      <c r="BD41" s="738"/>
      <c r="BE41" s="156"/>
      <c r="BF41" s="731"/>
      <c r="BG41" s="731"/>
      <c r="BH41" s="731"/>
      <c r="BI41" s="731"/>
      <c r="BJ41" s="50"/>
      <c r="BK41" s="731"/>
      <c r="BL41" s="731"/>
      <c r="BM41" s="731"/>
      <c r="BN41" s="731"/>
      <c r="BO41" s="210"/>
      <c r="BP41" s="731"/>
      <c r="BQ41" s="731"/>
      <c r="BR41" s="731"/>
      <c r="BS41" s="731"/>
      <c r="BT41" s="211"/>
      <c r="BU41" s="731"/>
      <c r="BV41" s="731"/>
      <c r="BW41" s="731"/>
      <c r="BX41" s="731"/>
      <c r="BY41" s="153"/>
      <c r="BZ41" s="731"/>
      <c r="CA41" s="731"/>
      <c r="CB41" s="731"/>
      <c r="CC41" s="731"/>
      <c r="CD41" s="616"/>
      <c r="CE41" s="731"/>
      <c r="CF41" s="731"/>
      <c r="CG41" s="731"/>
      <c r="CH41" s="731"/>
      <c r="CI41" s="210"/>
      <c r="CJ41" s="731"/>
      <c r="CK41" s="731"/>
      <c r="CL41" s="731"/>
      <c r="CM41" s="757"/>
      <c r="CN41" s="760"/>
      <c r="CO41" s="210"/>
      <c r="CP41" s="731"/>
      <c r="CQ41" s="731"/>
      <c r="CR41" s="731"/>
      <c r="CS41" s="757"/>
      <c r="CT41" s="760"/>
      <c r="CU41" s="210"/>
      <c r="CV41" s="731"/>
      <c r="CW41" s="731"/>
      <c r="CX41" s="731"/>
      <c r="CY41" s="757"/>
      <c r="CZ41" s="760"/>
      <c r="DA41" s="210"/>
      <c r="DB41" s="731"/>
      <c r="DC41" s="731"/>
      <c r="DD41" s="731"/>
      <c r="DE41" s="757"/>
      <c r="DF41" s="760"/>
      <c r="DG41" s="44"/>
      <c r="DH41" s="9" t="e">
        <f>SUMIFS('Краевые Сосновоборск'!$K$353:$K361,'Краевые Сосновоборск'!$C$349:$C447,$C41,'Краевые Сосновоборск'!$E$349:$E447,$E41,'Краевые Сосновоборск'!$F$349:$F447,$F41)</f>
        <v>#VALUE!</v>
      </c>
      <c r="DI41" s="28" t="e">
        <f>COUNTIFS('Краевые Сосновоборск'!$C$349:$C447,$C41,'Краевые Сосновоборск'!$E$349:$E447,$E41,'Краевые Сосновоборск'!$F$349:$F447,$F41,'Краевые Сосновоборск'!$K$353:$K361,"&gt;=0")</f>
        <v>#VALUE!</v>
      </c>
      <c r="DJ41" s="9" t="e">
        <f>COUNTIFS('Краевые Сосновоборск'!$C$349:$C447,$C41,'Краевые Сосновоборск'!$E$349:$E447,$E41,'Краевые Сосновоборск'!$F$349:$F447,$F41,'Краевые Сосновоборск'!$K$353:$K361,"лично")</f>
        <v>#VALUE!</v>
      </c>
      <c r="DK41" s="51" t="s">
        <v>35</v>
      </c>
    </row>
    <row r="42" spans="1:115" ht="12" customHeight="1" x14ac:dyDescent="0.3">
      <c r="A42" s="66">
        <v>10</v>
      </c>
      <c r="B42" s="206" t="s">
        <v>6</v>
      </c>
      <c r="C42" s="204" t="s">
        <v>112</v>
      </c>
      <c r="D42" s="67"/>
      <c r="E42" s="205"/>
      <c r="F42" s="207" t="str">
        <f t="shared" si="0"/>
        <v>Сокращенное название</v>
      </c>
      <c r="G42" s="208" t="s">
        <v>250</v>
      </c>
      <c r="H42" s="317" t="str">
        <f t="shared" si="8"/>
        <v>Фамилия_1 Имя Отчество</v>
      </c>
      <c r="I42" s="209">
        <f t="shared" si="1"/>
        <v>0</v>
      </c>
      <c r="J42" s="732">
        <f t="shared" si="2"/>
        <v>0</v>
      </c>
      <c r="K42" s="209">
        <f t="shared" si="3"/>
        <v>0</v>
      </c>
      <c r="L42" s="732">
        <f t="shared" si="9"/>
        <v>0</v>
      </c>
      <c r="M42" s="736">
        <f t="shared" si="4"/>
        <v>0</v>
      </c>
      <c r="N42" s="159">
        <f t="shared" si="5"/>
        <v>0</v>
      </c>
      <c r="O42" s="734">
        <f t="shared" si="6"/>
        <v>0</v>
      </c>
      <c r="P42" s="159">
        <f t="shared" si="7"/>
        <v>0</v>
      </c>
      <c r="Q42" s="212"/>
      <c r="R42" s="731"/>
      <c r="S42" s="731"/>
      <c r="T42" s="731"/>
      <c r="U42" s="731"/>
      <c r="V42" s="211"/>
      <c r="W42" s="763"/>
      <c r="X42" s="763"/>
      <c r="Y42" s="763"/>
      <c r="Z42" s="738"/>
      <c r="AA42" s="210"/>
      <c r="AB42" s="731"/>
      <c r="AC42" s="731"/>
      <c r="AD42" s="731"/>
      <c r="AE42" s="731"/>
      <c r="AF42" s="211"/>
      <c r="AG42" s="731"/>
      <c r="AH42" s="731"/>
      <c r="AI42" s="731"/>
      <c r="AJ42" s="731"/>
      <c r="AK42" s="211"/>
      <c r="AL42" s="731"/>
      <c r="AM42" s="731"/>
      <c r="AN42" s="731"/>
      <c r="AO42" s="731"/>
      <c r="AP42" s="211"/>
      <c r="AQ42" s="731"/>
      <c r="AR42" s="731"/>
      <c r="AS42" s="731"/>
      <c r="AT42" s="731"/>
      <c r="AU42" s="211"/>
      <c r="AV42" s="731"/>
      <c r="AW42" s="731"/>
      <c r="AX42" s="731"/>
      <c r="AY42" s="731"/>
      <c r="AZ42" s="213"/>
      <c r="BA42" s="731"/>
      <c r="BB42" s="731"/>
      <c r="BC42" s="731"/>
      <c r="BD42" s="738"/>
      <c r="BE42" s="156"/>
      <c r="BF42" s="731"/>
      <c r="BG42" s="731"/>
      <c r="BH42" s="731"/>
      <c r="BI42" s="731"/>
      <c r="BJ42" s="50"/>
      <c r="BK42" s="731"/>
      <c r="BL42" s="731"/>
      <c r="BM42" s="731"/>
      <c r="BN42" s="731"/>
      <c r="BO42" s="210"/>
      <c r="BP42" s="731"/>
      <c r="BQ42" s="731"/>
      <c r="BR42" s="731"/>
      <c r="BS42" s="731"/>
      <c r="BT42" s="211"/>
      <c r="BU42" s="731"/>
      <c r="BV42" s="731"/>
      <c r="BW42" s="731"/>
      <c r="BX42" s="731"/>
      <c r="BY42" s="153"/>
      <c r="BZ42" s="731"/>
      <c r="CA42" s="731"/>
      <c r="CB42" s="731"/>
      <c r="CC42" s="731"/>
      <c r="CD42" s="616"/>
      <c r="CE42" s="731"/>
      <c r="CF42" s="731"/>
      <c r="CG42" s="731"/>
      <c r="CH42" s="731"/>
      <c r="CI42" s="210"/>
      <c r="CJ42" s="731"/>
      <c r="CK42" s="731"/>
      <c r="CL42" s="731"/>
      <c r="CM42" s="757"/>
      <c r="CN42" s="760"/>
      <c r="CO42" s="210"/>
      <c r="CP42" s="731"/>
      <c r="CQ42" s="731"/>
      <c r="CR42" s="731"/>
      <c r="CS42" s="757"/>
      <c r="CT42" s="760"/>
      <c r="CU42" s="210"/>
      <c r="CV42" s="731"/>
      <c r="CW42" s="731"/>
      <c r="CX42" s="731"/>
      <c r="CY42" s="757"/>
      <c r="CZ42" s="760"/>
      <c r="DA42" s="210"/>
      <c r="DB42" s="731"/>
      <c r="DC42" s="731"/>
      <c r="DD42" s="731"/>
      <c r="DE42" s="757"/>
      <c r="DF42" s="760"/>
      <c r="DG42" s="44"/>
      <c r="DH42" s="9" t="e">
        <f>SUMIFS('Краевые Сосновоборск'!$K$353:$K361,'Краевые Сосновоборск'!$C$349:$C447,$C42,'Краевые Сосновоборск'!$E$349:$E447,$E42,'Краевые Сосновоборск'!$F$349:$F447,$F42)</f>
        <v>#VALUE!</v>
      </c>
      <c r="DI42" s="28" t="e">
        <f>COUNTIFS('Краевые Сосновоборск'!$C$349:$C447,$C42,'Краевые Сосновоборск'!$E$349:$E447,$E42,'Краевые Сосновоборск'!$F$349:$F447,$F42,'Краевые Сосновоборск'!$K$353:$K361,"&gt;=0")</f>
        <v>#VALUE!</v>
      </c>
      <c r="DJ42" s="9" t="e">
        <f>COUNTIFS('Краевые Сосновоборск'!$C$349:$C447,$C42,'Краевые Сосновоборск'!$E$349:$E447,$E42,'Краевые Сосновоборск'!$F$349:$F447,$F42,'Краевые Сосновоборск'!$K$353:$K361,"лично")</f>
        <v>#VALUE!</v>
      </c>
      <c r="DK42" s="51" t="s">
        <v>20</v>
      </c>
    </row>
    <row r="43" spans="1:115" ht="12" customHeight="1" x14ac:dyDescent="0.3">
      <c r="A43" s="66">
        <v>11</v>
      </c>
      <c r="B43" s="51" t="s">
        <v>35</v>
      </c>
      <c r="C43" s="204" t="s">
        <v>112</v>
      </c>
      <c r="D43" s="67"/>
      <c r="E43" s="205"/>
      <c r="F43" s="207" t="str">
        <f t="shared" si="0"/>
        <v>Сокращенное название</v>
      </c>
      <c r="G43" s="208" t="s">
        <v>250</v>
      </c>
      <c r="H43" s="317" t="str">
        <f t="shared" si="8"/>
        <v>Фамилия_1 Имя Отчество</v>
      </c>
      <c r="I43" s="209">
        <f t="shared" si="1"/>
        <v>0</v>
      </c>
      <c r="J43" s="732">
        <f t="shared" si="2"/>
        <v>0</v>
      </c>
      <c r="K43" s="209">
        <f t="shared" si="3"/>
        <v>0</v>
      </c>
      <c r="L43" s="732">
        <f t="shared" si="9"/>
        <v>0</v>
      </c>
      <c r="M43" s="736">
        <f t="shared" si="4"/>
        <v>0</v>
      </c>
      <c r="N43" s="159">
        <f t="shared" si="5"/>
        <v>0</v>
      </c>
      <c r="O43" s="734">
        <f t="shared" si="6"/>
        <v>0</v>
      </c>
      <c r="P43" s="159">
        <f t="shared" si="7"/>
        <v>0</v>
      </c>
      <c r="Q43" s="212"/>
      <c r="R43" s="731"/>
      <c r="S43" s="731"/>
      <c r="T43" s="731"/>
      <c r="U43" s="731"/>
      <c r="V43" s="211"/>
      <c r="W43" s="763"/>
      <c r="X43" s="763"/>
      <c r="Y43" s="763"/>
      <c r="Z43" s="738"/>
      <c r="AA43" s="210"/>
      <c r="AB43" s="731"/>
      <c r="AC43" s="731"/>
      <c r="AD43" s="731"/>
      <c r="AE43" s="731"/>
      <c r="AF43" s="211"/>
      <c r="AG43" s="731"/>
      <c r="AH43" s="731"/>
      <c r="AI43" s="731"/>
      <c r="AJ43" s="731"/>
      <c r="AK43" s="211"/>
      <c r="AL43" s="731"/>
      <c r="AM43" s="731"/>
      <c r="AN43" s="731"/>
      <c r="AO43" s="731"/>
      <c r="AP43" s="211"/>
      <c r="AQ43" s="731"/>
      <c r="AR43" s="731"/>
      <c r="AS43" s="731"/>
      <c r="AT43" s="731"/>
      <c r="AU43" s="211"/>
      <c r="AV43" s="731"/>
      <c r="AW43" s="731"/>
      <c r="AX43" s="731"/>
      <c r="AY43" s="731"/>
      <c r="AZ43" s="213"/>
      <c r="BA43" s="731"/>
      <c r="BB43" s="731"/>
      <c r="BC43" s="731"/>
      <c r="BD43" s="738"/>
      <c r="BE43" s="156"/>
      <c r="BF43" s="731"/>
      <c r="BG43" s="731"/>
      <c r="BH43" s="731"/>
      <c r="BI43" s="731"/>
      <c r="BJ43" s="50"/>
      <c r="BK43" s="731"/>
      <c r="BL43" s="731"/>
      <c r="BM43" s="731"/>
      <c r="BN43" s="731"/>
      <c r="BO43" s="210"/>
      <c r="BP43" s="731"/>
      <c r="BQ43" s="731"/>
      <c r="BR43" s="731"/>
      <c r="BS43" s="731"/>
      <c r="BT43" s="211"/>
      <c r="BU43" s="731"/>
      <c r="BV43" s="731"/>
      <c r="BW43" s="731"/>
      <c r="BX43" s="731"/>
      <c r="BY43" s="153"/>
      <c r="BZ43" s="731"/>
      <c r="CA43" s="731"/>
      <c r="CB43" s="731"/>
      <c r="CC43" s="731"/>
      <c r="CD43" s="616"/>
      <c r="CE43" s="731"/>
      <c r="CF43" s="731"/>
      <c r="CG43" s="731"/>
      <c r="CH43" s="731"/>
      <c r="CI43" s="210"/>
      <c r="CJ43" s="731"/>
      <c r="CK43" s="731"/>
      <c r="CL43" s="731"/>
      <c r="CM43" s="757"/>
      <c r="CN43" s="760"/>
      <c r="CO43" s="210"/>
      <c r="CP43" s="731"/>
      <c r="CQ43" s="731"/>
      <c r="CR43" s="731"/>
      <c r="CS43" s="757"/>
      <c r="CT43" s="760"/>
      <c r="CU43" s="210"/>
      <c r="CV43" s="731"/>
      <c r="CW43" s="731"/>
      <c r="CX43" s="731"/>
      <c r="CY43" s="757"/>
      <c r="CZ43" s="760"/>
      <c r="DA43" s="210"/>
      <c r="DB43" s="731"/>
      <c r="DC43" s="731"/>
      <c r="DD43" s="731"/>
      <c r="DE43" s="757"/>
      <c r="DF43" s="760"/>
      <c r="DG43" s="44"/>
      <c r="DH43" s="9" t="e">
        <f>SUMIFS('Краевые Сосновоборск'!$K$353:$K361,'Краевые Сосновоборск'!$C$349:$C447,$C43,'Краевые Сосновоборск'!$E$349:$E447,$E43,'Краевые Сосновоборск'!$F$349:$F447,$F43)</f>
        <v>#VALUE!</v>
      </c>
      <c r="DI43" s="28" t="e">
        <f>COUNTIFS('Краевые Сосновоборск'!$C$349:$C447,$C43,'Краевые Сосновоборск'!$E$349:$E447,$E43,'Краевые Сосновоборск'!$F$349:$F447,$F43,'Краевые Сосновоборск'!$K$353:$K361,"&gt;=0")</f>
        <v>#VALUE!</v>
      </c>
      <c r="DJ43" s="9" t="e">
        <f>COUNTIFS('Краевые Сосновоборск'!$C$349:$C447,$C43,'Краевые Сосновоборск'!$E$349:$E447,$E43,'Краевые Сосновоборск'!$F$349:$F447,$F43,'Краевые Сосновоборск'!$K$353:$K361,"лично")</f>
        <v>#VALUE!</v>
      </c>
      <c r="DK43" s="51" t="s">
        <v>21</v>
      </c>
    </row>
    <row r="44" spans="1:115" ht="12" customHeight="1" x14ac:dyDescent="0.3">
      <c r="A44" s="66">
        <v>12</v>
      </c>
      <c r="B44" s="206" t="s">
        <v>34</v>
      </c>
      <c r="C44" s="204" t="s">
        <v>112</v>
      </c>
      <c r="D44" s="67"/>
      <c r="E44" s="205"/>
      <c r="F44" s="207" t="str">
        <f t="shared" si="0"/>
        <v>Сокращенное название</v>
      </c>
      <c r="G44" s="208" t="s">
        <v>250</v>
      </c>
      <c r="H44" s="317" t="str">
        <f t="shared" si="8"/>
        <v>Фамилия_1 Имя Отчество</v>
      </c>
      <c r="I44" s="209">
        <f t="shared" si="1"/>
        <v>0</v>
      </c>
      <c r="J44" s="732">
        <f t="shared" si="2"/>
        <v>0</v>
      </c>
      <c r="K44" s="209">
        <f t="shared" si="3"/>
        <v>0</v>
      </c>
      <c r="L44" s="732">
        <f t="shared" si="9"/>
        <v>0</v>
      </c>
      <c r="M44" s="736">
        <f t="shared" si="4"/>
        <v>0</v>
      </c>
      <c r="N44" s="159">
        <f t="shared" si="5"/>
        <v>0</v>
      </c>
      <c r="O44" s="734">
        <f t="shared" si="6"/>
        <v>0</v>
      </c>
      <c r="P44" s="159">
        <f t="shared" si="7"/>
        <v>0</v>
      </c>
      <c r="Q44" s="212"/>
      <c r="R44" s="731"/>
      <c r="S44" s="731"/>
      <c r="T44" s="731"/>
      <c r="U44" s="731"/>
      <c r="V44" s="211"/>
      <c r="W44" s="763"/>
      <c r="X44" s="763"/>
      <c r="Y44" s="763"/>
      <c r="Z44" s="738"/>
      <c r="AA44" s="210"/>
      <c r="AB44" s="731"/>
      <c r="AC44" s="731"/>
      <c r="AD44" s="731"/>
      <c r="AE44" s="731"/>
      <c r="AF44" s="211"/>
      <c r="AG44" s="731"/>
      <c r="AH44" s="731"/>
      <c r="AI44" s="731"/>
      <c r="AJ44" s="731"/>
      <c r="AK44" s="211"/>
      <c r="AL44" s="731"/>
      <c r="AM44" s="731"/>
      <c r="AN44" s="731"/>
      <c r="AO44" s="731"/>
      <c r="AP44" s="211"/>
      <c r="AQ44" s="731"/>
      <c r="AR44" s="731"/>
      <c r="AS44" s="731"/>
      <c r="AT44" s="731"/>
      <c r="AU44" s="211"/>
      <c r="AV44" s="731"/>
      <c r="AW44" s="731"/>
      <c r="AX44" s="731"/>
      <c r="AY44" s="731"/>
      <c r="AZ44" s="213"/>
      <c r="BA44" s="731"/>
      <c r="BB44" s="731"/>
      <c r="BC44" s="731"/>
      <c r="BD44" s="738"/>
      <c r="BE44" s="156"/>
      <c r="BF44" s="731"/>
      <c r="BG44" s="731"/>
      <c r="BH44" s="731"/>
      <c r="BI44" s="731"/>
      <c r="BJ44" s="50"/>
      <c r="BK44" s="731"/>
      <c r="BL44" s="731"/>
      <c r="BM44" s="731"/>
      <c r="BN44" s="731"/>
      <c r="BO44" s="210"/>
      <c r="BP44" s="731"/>
      <c r="BQ44" s="731"/>
      <c r="BR44" s="731"/>
      <c r="BS44" s="731"/>
      <c r="BT44" s="211"/>
      <c r="BU44" s="731"/>
      <c r="BV44" s="731"/>
      <c r="BW44" s="731"/>
      <c r="BX44" s="731"/>
      <c r="BY44" s="153"/>
      <c r="BZ44" s="731"/>
      <c r="CA44" s="731"/>
      <c r="CB44" s="731"/>
      <c r="CC44" s="731"/>
      <c r="CD44" s="616"/>
      <c r="CE44" s="731"/>
      <c r="CF44" s="731"/>
      <c r="CG44" s="731"/>
      <c r="CH44" s="731"/>
      <c r="CI44" s="210"/>
      <c r="CJ44" s="731"/>
      <c r="CK44" s="731"/>
      <c r="CL44" s="731"/>
      <c r="CM44" s="757"/>
      <c r="CN44" s="760"/>
      <c r="CO44" s="210"/>
      <c r="CP44" s="731"/>
      <c r="CQ44" s="731"/>
      <c r="CR44" s="731"/>
      <c r="CS44" s="757"/>
      <c r="CT44" s="760"/>
      <c r="CU44" s="210"/>
      <c r="CV44" s="731"/>
      <c r="CW44" s="731"/>
      <c r="CX44" s="731"/>
      <c r="CY44" s="757"/>
      <c r="CZ44" s="760"/>
      <c r="DA44" s="210"/>
      <c r="DB44" s="731"/>
      <c r="DC44" s="731"/>
      <c r="DD44" s="731"/>
      <c r="DE44" s="757"/>
      <c r="DF44" s="760"/>
      <c r="DG44" s="44"/>
      <c r="DH44" s="9" t="e">
        <f>SUMIFS('Краевые Сосновоборск'!$K$353:$K361,'Краевые Сосновоборск'!$C$349:$C447,$C44,'Краевые Сосновоборск'!$E$349:$E447,$E44,'Краевые Сосновоборск'!$F$349:$F447,$F44)</f>
        <v>#VALUE!</v>
      </c>
      <c r="DI44" s="28" t="e">
        <f>COUNTIFS('Краевые Сосновоборск'!$C$349:$C447,$C44,'Краевые Сосновоборск'!$E$349:$E447,$E44,'Краевые Сосновоборск'!$F$349:$F447,$F44,'Краевые Сосновоборск'!$K$353:$K361,"&gt;=0")</f>
        <v>#VALUE!</v>
      </c>
      <c r="DJ44" s="9" t="e">
        <f>COUNTIFS('Краевые Сосновоборск'!$C$349:$C447,$C44,'Краевые Сосновоборск'!$E$349:$E447,$E44,'Краевые Сосновоборск'!$F$349:$F447,$F44,'Краевые Сосновоборск'!$K$353:$K361,"лично")</f>
        <v>#VALUE!</v>
      </c>
      <c r="DK44" s="254" t="s">
        <v>25</v>
      </c>
    </row>
    <row r="45" spans="1:115" ht="12" customHeight="1" x14ac:dyDescent="0.3">
      <c r="A45" s="66">
        <v>13</v>
      </c>
      <c r="B45" s="206" t="s">
        <v>6</v>
      </c>
      <c r="C45" s="204" t="s">
        <v>112</v>
      </c>
      <c r="D45" s="67"/>
      <c r="E45" s="205"/>
      <c r="F45" s="207" t="str">
        <f t="shared" si="0"/>
        <v>Сокращенное название</v>
      </c>
      <c r="G45" s="208" t="s">
        <v>250</v>
      </c>
      <c r="H45" s="317" t="str">
        <f t="shared" si="8"/>
        <v>Фамилия_1 Имя Отчество</v>
      </c>
      <c r="I45" s="209">
        <f t="shared" si="1"/>
        <v>0</v>
      </c>
      <c r="J45" s="732">
        <f t="shared" si="2"/>
        <v>0</v>
      </c>
      <c r="K45" s="209">
        <f t="shared" si="3"/>
        <v>0</v>
      </c>
      <c r="L45" s="732">
        <f t="shared" si="9"/>
        <v>0</v>
      </c>
      <c r="M45" s="736">
        <f t="shared" si="4"/>
        <v>0</v>
      </c>
      <c r="N45" s="159">
        <f t="shared" si="5"/>
        <v>0</v>
      </c>
      <c r="O45" s="734">
        <f t="shared" si="6"/>
        <v>0</v>
      </c>
      <c r="P45" s="159">
        <f t="shared" si="7"/>
        <v>0</v>
      </c>
      <c r="Q45" s="212"/>
      <c r="R45" s="731"/>
      <c r="S45" s="731"/>
      <c r="T45" s="731"/>
      <c r="U45" s="731"/>
      <c r="V45" s="211"/>
      <c r="W45" s="763"/>
      <c r="X45" s="763"/>
      <c r="Y45" s="763"/>
      <c r="Z45" s="738"/>
      <c r="AA45" s="210"/>
      <c r="AB45" s="731"/>
      <c r="AC45" s="731"/>
      <c r="AD45" s="731"/>
      <c r="AE45" s="731"/>
      <c r="AF45" s="211"/>
      <c r="AG45" s="731"/>
      <c r="AH45" s="731"/>
      <c r="AI45" s="731"/>
      <c r="AJ45" s="731"/>
      <c r="AK45" s="211"/>
      <c r="AL45" s="731"/>
      <c r="AM45" s="731"/>
      <c r="AN45" s="731"/>
      <c r="AO45" s="731"/>
      <c r="AP45" s="211"/>
      <c r="AQ45" s="731"/>
      <c r="AR45" s="731"/>
      <c r="AS45" s="731"/>
      <c r="AT45" s="731"/>
      <c r="AU45" s="211"/>
      <c r="AV45" s="731"/>
      <c r="AW45" s="731"/>
      <c r="AX45" s="731"/>
      <c r="AY45" s="731"/>
      <c r="AZ45" s="213"/>
      <c r="BA45" s="731"/>
      <c r="BB45" s="731"/>
      <c r="BC45" s="731"/>
      <c r="BD45" s="738"/>
      <c r="BE45" s="156"/>
      <c r="BF45" s="731"/>
      <c r="BG45" s="731"/>
      <c r="BH45" s="731"/>
      <c r="BI45" s="731"/>
      <c r="BJ45" s="50"/>
      <c r="BK45" s="731"/>
      <c r="BL45" s="731"/>
      <c r="BM45" s="731"/>
      <c r="BN45" s="731"/>
      <c r="BO45" s="210"/>
      <c r="BP45" s="731"/>
      <c r="BQ45" s="731"/>
      <c r="BR45" s="731"/>
      <c r="BS45" s="731"/>
      <c r="BT45" s="211"/>
      <c r="BU45" s="731"/>
      <c r="BV45" s="731"/>
      <c r="BW45" s="731"/>
      <c r="BX45" s="731"/>
      <c r="BY45" s="153"/>
      <c r="BZ45" s="731"/>
      <c r="CA45" s="731"/>
      <c r="CB45" s="731"/>
      <c r="CC45" s="731"/>
      <c r="CD45" s="616"/>
      <c r="CE45" s="731"/>
      <c r="CF45" s="731"/>
      <c r="CG45" s="731"/>
      <c r="CH45" s="731"/>
      <c r="CI45" s="210"/>
      <c r="CJ45" s="731"/>
      <c r="CK45" s="731"/>
      <c r="CL45" s="731"/>
      <c r="CM45" s="757"/>
      <c r="CN45" s="760"/>
      <c r="CO45" s="210"/>
      <c r="CP45" s="731"/>
      <c r="CQ45" s="731"/>
      <c r="CR45" s="731"/>
      <c r="CS45" s="757"/>
      <c r="CT45" s="760"/>
      <c r="CU45" s="210"/>
      <c r="CV45" s="731"/>
      <c r="CW45" s="731"/>
      <c r="CX45" s="731"/>
      <c r="CY45" s="757"/>
      <c r="CZ45" s="760"/>
      <c r="DA45" s="210"/>
      <c r="DB45" s="731"/>
      <c r="DC45" s="731"/>
      <c r="DD45" s="731"/>
      <c r="DE45" s="757"/>
      <c r="DF45" s="760"/>
      <c r="DG45" s="44"/>
      <c r="DH45" s="9" t="e">
        <f>SUMIFS('Краевые Сосновоборск'!$K$353:$K361,'Краевые Сосновоборск'!$C$349:$C447,$C45,'Краевые Сосновоборск'!$E$349:$E447,$E45,'Краевые Сосновоборск'!$F$349:$F447,$F45)</f>
        <v>#VALUE!</v>
      </c>
      <c r="DI45" s="28" t="e">
        <f>COUNTIFS('Краевые Сосновоборск'!$C$349:$C447,$C45,'Краевые Сосновоборск'!$E$349:$E447,$E45,'Краевые Сосновоборск'!$F$349:$F447,$F45,'Краевые Сосновоборск'!$K$353:$K361,"&gt;=0")</f>
        <v>#VALUE!</v>
      </c>
      <c r="DJ45" s="9" t="e">
        <f>COUNTIFS('Краевые Сосновоборск'!$C$349:$C447,$C45,'Краевые Сосновоборск'!$E$349:$E447,$E45,'Краевые Сосновоборск'!$F$349:$F447,$F45,'Краевые Сосновоборск'!$K$353:$K361,"лично")</f>
        <v>#VALUE!</v>
      </c>
    </row>
    <row r="46" spans="1:115" ht="12" customHeight="1" x14ac:dyDescent="0.3">
      <c r="A46" s="66">
        <v>14</v>
      </c>
      <c r="B46" s="206" t="s">
        <v>6</v>
      </c>
      <c r="C46" s="204" t="s">
        <v>112</v>
      </c>
      <c r="D46" s="67"/>
      <c r="E46" s="205"/>
      <c r="F46" s="207" t="str">
        <f t="shared" si="0"/>
        <v>Сокращенное название</v>
      </c>
      <c r="G46" s="208" t="s">
        <v>250</v>
      </c>
      <c r="H46" s="317" t="str">
        <f t="shared" si="8"/>
        <v>Фамилия_1 Имя Отчество</v>
      </c>
      <c r="I46" s="209">
        <f t="shared" si="1"/>
        <v>0</v>
      </c>
      <c r="J46" s="732">
        <f t="shared" si="2"/>
        <v>0</v>
      </c>
      <c r="K46" s="209">
        <f t="shared" si="3"/>
        <v>0</v>
      </c>
      <c r="L46" s="732">
        <f t="shared" si="9"/>
        <v>0</v>
      </c>
      <c r="M46" s="736">
        <f t="shared" si="4"/>
        <v>0</v>
      </c>
      <c r="N46" s="159">
        <f t="shared" si="5"/>
        <v>0</v>
      </c>
      <c r="O46" s="734">
        <f t="shared" si="6"/>
        <v>0</v>
      </c>
      <c r="P46" s="159">
        <f t="shared" si="7"/>
        <v>0</v>
      </c>
      <c r="Q46" s="212"/>
      <c r="R46" s="731"/>
      <c r="S46" s="731"/>
      <c r="T46" s="731"/>
      <c r="U46" s="731"/>
      <c r="V46" s="211"/>
      <c r="W46" s="763"/>
      <c r="X46" s="763"/>
      <c r="Y46" s="763"/>
      <c r="Z46" s="738"/>
      <c r="AA46" s="210"/>
      <c r="AB46" s="731"/>
      <c r="AC46" s="731"/>
      <c r="AD46" s="731"/>
      <c r="AE46" s="731"/>
      <c r="AF46" s="211"/>
      <c r="AG46" s="731"/>
      <c r="AH46" s="731"/>
      <c r="AI46" s="731"/>
      <c r="AJ46" s="731"/>
      <c r="AK46" s="211"/>
      <c r="AL46" s="731"/>
      <c r="AM46" s="731"/>
      <c r="AN46" s="731"/>
      <c r="AO46" s="731"/>
      <c r="AP46" s="211"/>
      <c r="AQ46" s="731"/>
      <c r="AR46" s="731"/>
      <c r="AS46" s="731"/>
      <c r="AT46" s="731"/>
      <c r="AU46" s="211"/>
      <c r="AV46" s="731"/>
      <c r="AW46" s="731"/>
      <c r="AX46" s="731"/>
      <c r="AY46" s="731"/>
      <c r="AZ46" s="213"/>
      <c r="BA46" s="731"/>
      <c r="BB46" s="731"/>
      <c r="BC46" s="731"/>
      <c r="BD46" s="738"/>
      <c r="BE46" s="156"/>
      <c r="BF46" s="731"/>
      <c r="BG46" s="731"/>
      <c r="BH46" s="731"/>
      <c r="BI46" s="731"/>
      <c r="BJ46" s="50"/>
      <c r="BK46" s="731"/>
      <c r="BL46" s="731"/>
      <c r="BM46" s="731"/>
      <c r="BN46" s="731"/>
      <c r="BO46" s="210"/>
      <c r="BP46" s="731"/>
      <c r="BQ46" s="731"/>
      <c r="BR46" s="731"/>
      <c r="BS46" s="731"/>
      <c r="BT46" s="211"/>
      <c r="BU46" s="731"/>
      <c r="BV46" s="731"/>
      <c r="BW46" s="731"/>
      <c r="BX46" s="731"/>
      <c r="BY46" s="153"/>
      <c r="BZ46" s="731"/>
      <c r="CA46" s="731"/>
      <c r="CB46" s="731"/>
      <c r="CC46" s="731"/>
      <c r="CD46" s="616"/>
      <c r="CE46" s="731"/>
      <c r="CF46" s="731"/>
      <c r="CG46" s="731"/>
      <c r="CH46" s="731"/>
      <c r="CI46" s="210"/>
      <c r="CJ46" s="731"/>
      <c r="CK46" s="731"/>
      <c r="CL46" s="731"/>
      <c r="CM46" s="757"/>
      <c r="CN46" s="760"/>
      <c r="CO46" s="210"/>
      <c r="CP46" s="731"/>
      <c r="CQ46" s="731"/>
      <c r="CR46" s="731"/>
      <c r="CS46" s="757"/>
      <c r="CT46" s="760"/>
      <c r="CU46" s="210"/>
      <c r="CV46" s="731"/>
      <c r="CW46" s="731"/>
      <c r="CX46" s="731"/>
      <c r="CY46" s="757"/>
      <c r="CZ46" s="760"/>
      <c r="DA46" s="210"/>
      <c r="DB46" s="731"/>
      <c r="DC46" s="731"/>
      <c r="DD46" s="731"/>
      <c r="DE46" s="757"/>
      <c r="DF46" s="760"/>
      <c r="DG46" s="44"/>
      <c r="DH46" s="9" t="e">
        <f>SUMIFS('Краевые Сосновоборск'!$K$353:$K361,'Краевые Сосновоборск'!$C$349:$C447,$C46,'Краевые Сосновоборск'!$E$349:$E447,$E46,'Краевые Сосновоборск'!$F$349:$F447,$F46)</f>
        <v>#VALUE!</v>
      </c>
      <c r="DI46" s="28" t="e">
        <f>COUNTIFS('Краевые Сосновоборск'!$C$349:$C447,$C46,'Краевые Сосновоборск'!$E$349:$E447,$E46,'Краевые Сосновоборск'!$F$349:$F447,$F46,'Краевые Сосновоборск'!$K$353:$K361,"&gt;=0")</f>
        <v>#VALUE!</v>
      </c>
      <c r="DJ46" s="9" t="e">
        <f>COUNTIFS('Краевые Сосновоборск'!$C$349:$C447,$C46,'Краевые Сосновоборск'!$E$349:$E447,$E46,'Краевые Сосновоборск'!$F$349:$F447,$F46,'Краевые Сосновоборск'!$K$353:$K361,"лично")</f>
        <v>#VALUE!</v>
      </c>
    </row>
    <row r="47" spans="1:115" ht="12" customHeight="1" x14ac:dyDescent="0.3">
      <c r="A47" s="66">
        <v>15</v>
      </c>
      <c r="B47" s="206" t="s">
        <v>6</v>
      </c>
      <c r="C47" s="204" t="s">
        <v>112</v>
      </c>
      <c r="D47" s="67"/>
      <c r="E47" s="205"/>
      <c r="F47" s="207" t="str">
        <f t="shared" si="0"/>
        <v>Сокращенное название</v>
      </c>
      <c r="G47" s="208" t="s">
        <v>250</v>
      </c>
      <c r="H47" s="317" t="str">
        <f t="shared" si="8"/>
        <v>Фамилия_1 Имя Отчество</v>
      </c>
      <c r="I47" s="209">
        <f t="shared" si="1"/>
        <v>0</v>
      </c>
      <c r="J47" s="732">
        <f t="shared" si="2"/>
        <v>0</v>
      </c>
      <c r="K47" s="209">
        <f t="shared" si="3"/>
        <v>0</v>
      </c>
      <c r="L47" s="732">
        <f t="shared" si="9"/>
        <v>0</v>
      </c>
      <c r="M47" s="736">
        <f t="shared" si="4"/>
        <v>0</v>
      </c>
      <c r="N47" s="159">
        <f t="shared" si="5"/>
        <v>0</v>
      </c>
      <c r="O47" s="734">
        <f t="shared" si="6"/>
        <v>0</v>
      </c>
      <c r="P47" s="159">
        <f t="shared" si="7"/>
        <v>0</v>
      </c>
      <c r="Q47" s="212"/>
      <c r="R47" s="731"/>
      <c r="S47" s="731"/>
      <c r="T47" s="731"/>
      <c r="U47" s="731"/>
      <c r="V47" s="211"/>
      <c r="W47" s="763"/>
      <c r="X47" s="763"/>
      <c r="Y47" s="763"/>
      <c r="Z47" s="738"/>
      <c r="AA47" s="210"/>
      <c r="AB47" s="731"/>
      <c r="AC47" s="731"/>
      <c r="AD47" s="731"/>
      <c r="AE47" s="731"/>
      <c r="AF47" s="211"/>
      <c r="AG47" s="731"/>
      <c r="AH47" s="731"/>
      <c r="AI47" s="731"/>
      <c r="AJ47" s="731"/>
      <c r="AK47" s="211"/>
      <c r="AL47" s="731"/>
      <c r="AM47" s="731"/>
      <c r="AN47" s="731"/>
      <c r="AO47" s="731"/>
      <c r="AP47" s="211"/>
      <c r="AQ47" s="731"/>
      <c r="AR47" s="731"/>
      <c r="AS47" s="731"/>
      <c r="AT47" s="731"/>
      <c r="AU47" s="211"/>
      <c r="AV47" s="731"/>
      <c r="AW47" s="731"/>
      <c r="AX47" s="731"/>
      <c r="AY47" s="731"/>
      <c r="AZ47" s="213"/>
      <c r="BA47" s="731"/>
      <c r="BB47" s="731"/>
      <c r="BC47" s="731"/>
      <c r="BD47" s="738"/>
      <c r="BE47" s="156"/>
      <c r="BF47" s="731"/>
      <c r="BG47" s="731"/>
      <c r="BH47" s="731"/>
      <c r="BI47" s="731"/>
      <c r="BJ47" s="50"/>
      <c r="BK47" s="731"/>
      <c r="BL47" s="731"/>
      <c r="BM47" s="731"/>
      <c r="BN47" s="731"/>
      <c r="BO47" s="210"/>
      <c r="BP47" s="731"/>
      <c r="BQ47" s="731"/>
      <c r="BR47" s="731"/>
      <c r="BS47" s="731"/>
      <c r="BT47" s="211"/>
      <c r="BU47" s="731"/>
      <c r="BV47" s="731"/>
      <c r="BW47" s="731"/>
      <c r="BX47" s="731"/>
      <c r="BY47" s="153"/>
      <c r="BZ47" s="731"/>
      <c r="CA47" s="731"/>
      <c r="CB47" s="731"/>
      <c r="CC47" s="731"/>
      <c r="CD47" s="616"/>
      <c r="CE47" s="731"/>
      <c r="CF47" s="731"/>
      <c r="CG47" s="731"/>
      <c r="CH47" s="731"/>
      <c r="CI47" s="210"/>
      <c r="CJ47" s="731"/>
      <c r="CK47" s="731"/>
      <c r="CL47" s="731"/>
      <c r="CM47" s="757"/>
      <c r="CN47" s="760"/>
      <c r="CO47" s="210"/>
      <c r="CP47" s="731"/>
      <c r="CQ47" s="731"/>
      <c r="CR47" s="731"/>
      <c r="CS47" s="757"/>
      <c r="CT47" s="760"/>
      <c r="CU47" s="210"/>
      <c r="CV47" s="731"/>
      <c r="CW47" s="731"/>
      <c r="CX47" s="731"/>
      <c r="CY47" s="757"/>
      <c r="CZ47" s="760"/>
      <c r="DA47" s="210"/>
      <c r="DB47" s="731"/>
      <c r="DC47" s="731"/>
      <c r="DD47" s="731"/>
      <c r="DE47" s="757"/>
      <c r="DF47" s="760"/>
      <c r="DG47" s="44"/>
      <c r="DH47" s="9" t="e">
        <f>SUMIFS('Краевые Сосновоборск'!$K$353:$K361,'Краевые Сосновоборск'!$C$349:$C447,$C47,'Краевые Сосновоборск'!$E$349:$E447,$E47,'Краевые Сосновоборск'!$F$349:$F447,$F47)</f>
        <v>#VALUE!</v>
      </c>
      <c r="DI47" s="28" t="e">
        <f>COUNTIFS('Краевые Сосновоборск'!$C$349:$C447,$C47,'Краевые Сосновоборск'!$E$349:$E447,$E47,'Краевые Сосновоборск'!$F$349:$F447,$F47,'Краевые Сосновоборск'!$K$353:$K361,"&gt;=0")</f>
        <v>#VALUE!</v>
      </c>
      <c r="DJ47" s="9" t="e">
        <f>COUNTIFS('Краевые Сосновоборск'!$C$349:$C447,$C47,'Краевые Сосновоборск'!$E$349:$E447,$E47,'Краевые Сосновоборск'!$F$349:$F447,$F47,'Краевые Сосновоборск'!$K$353:$K361,"лично")</f>
        <v>#VALUE!</v>
      </c>
    </row>
    <row r="48" spans="1:115" ht="12" customHeight="1" x14ac:dyDescent="0.3">
      <c r="A48" s="66">
        <v>16</v>
      </c>
      <c r="B48" s="206" t="s">
        <v>6</v>
      </c>
      <c r="C48" s="204" t="s">
        <v>112</v>
      </c>
      <c r="D48" s="67"/>
      <c r="E48" s="205"/>
      <c r="F48" s="207" t="str">
        <f t="shared" si="0"/>
        <v>Сокращенное название</v>
      </c>
      <c r="G48" s="208" t="s">
        <v>250</v>
      </c>
      <c r="H48" s="317" t="str">
        <f t="shared" si="8"/>
        <v>Фамилия_1 Имя Отчество</v>
      </c>
      <c r="I48" s="209">
        <f t="shared" si="1"/>
        <v>0</v>
      </c>
      <c r="J48" s="732">
        <f t="shared" si="2"/>
        <v>0</v>
      </c>
      <c r="K48" s="209">
        <f t="shared" si="3"/>
        <v>0</v>
      </c>
      <c r="L48" s="732">
        <f t="shared" si="9"/>
        <v>0</v>
      </c>
      <c r="M48" s="736">
        <f t="shared" si="4"/>
        <v>0</v>
      </c>
      <c r="N48" s="159">
        <f t="shared" si="5"/>
        <v>0</v>
      </c>
      <c r="O48" s="734">
        <f t="shared" si="6"/>
        <v>0</v>
      </c>
      <c r="P48" s="159">
        <f t="shared" si="7"/>
        <v>0</v>
      </c>
      <c r="Q48" s="212"/>
      <c r="R48" s="731"/>
      <c r="S48" s="731"/>
      <c r="T48" s="731"/>
      <c r="U48" s="731"/>
      <c r="V48" s="211"/>
      <c r="W48" s="763"/>
      <c r="X48" s="763"/>
      <c r="Y48" s="763"/>
      <c r="Z48" s="738"/>
      <c r="AA48" s="210"/>
      <c r="AB48" s="731"/>
      <c r="AC48" s="731"/>
      <c r="AD48" s="731"/>
      <c r="AE48" s="731"/>
      <c r="AF48" s="211"/>
      <c r="AG48" s="731"/>
      <c r="AH48" s="731"/>
      <c r="AI48" s="731"/>
      <c r="AJ48" s="731"/>
      <c r="AK48" s="211"/>
      <c r="AL48" s="731"/>
      <c r="AM48" s="731"/>
      <c r="AN48" s="731"/>
      <c r="AO48" s="731"/>
      <c r="AP48" s="211"/>
      <c r="AQ48" s="731"/>
      <c r="AR48" s="731"/>
      <c r="AS48" s="731"/>
      <c r="AT48" s="731"/>
      <c r="AU48" s="211"/>
      <c r="AV48" s="731"/>
      <c r="AW48" s="731"/>
      <c r="AX48" s="731"/>
      <c r="AY48" s="731"/>
      <c r="AZ48" s="213"/>
      <c r="BA48" s="731"/>
      <c r="BB48" s="731"/>
      <c r="BC48" s="731"/>
      <c r="BD48" s="738"/>
      <c r="BE48" s="156"/>
      <c r="BF48" s="731"/>
      <c r="BG48" s="731"/>
      <c r="BH48" s="731"/>
      <c r="BI48" s="731"/>
      <c r="BJ48" s="50"/>
      <c r="BK48" s="731"/>
      <c r="BL48" s="731"/>
      <c r="BM48" s="731"/>
      <c r="BN48" s="731"/>
      <c r="BO48" s="210"/>
      <c r="BP48" s="731"/>
      <c r="BQ48" s="731"/>
      <c r="BR48" s="731"/>
      <c r="BS48" s="731"/>
      <c r="BT48" s="211"/>
      <c r="BU48" s="731"/>
      <c r="BV48" s="731"/>
      <c r="BW48" s="731"/>
      <c r="BX48" s="731"/>
      <c r="BY48" s="153"/>
      <c r="BZ48" s="731"/>
      <c r="CA48" s="731"/>
      <c r="CB48" s="731"/>
      <c r="CC48" s="731"/>
      <c r="CD48" s="616"/>
      <c r="CE48" s="731"/>
      <c r="CF48" s="731"/>
      <c r="CG48" s="731"/>
      <c r="CH48" s="731"/>
      <c r="CI48" s="210"/>
      <c r="CJ48" s="731"/>
      <c r="CK48" s="731"/>
      <c r="CL48" s="731"/>
      <c r="CM48" s="757"/>
      <c r="CN48" s="760"/>
      <c r="CO48" s="210"/>
      <c r="CP48" s="731"/>
      <c r="CQ48" s="731"/>
      <c r="CR48" s="731"/>
      <c r="CS48" s="757"/>
      <c r="CT48" s="760"/>
      <c r="CU48" s="210"/>
      <c r="CV48" s="731"/>
      <c r="CW48" s="731"/>
      <c r="CX48" s="731"/>
      <c r="CY48" s="757"/>
      <c r="CZ48" s="760"/>
      <c r="DA48" s="210"/>
      <c r="DB48" s="731"/>
      <c r="DC48" s="731"/>
      <c r="DD48" s="731"/>
      <c r="DE48" s="757"/>
      <c r="DF48" s="760"/>
      <c r="DG48" s="44"/>
      <c r="DH48" s="9" t="e">
        <f>SUMIFS('Краевые Сосновоборск'!$K$353:$K361,'Краевые Сосновоборск'!$C$349:$C447,$C48,'Краевые Сосновоборск'!$E$349:$E447,$E48,'Краевые Сосновоборск'!$F$349:$F447,$F48)</f>
        <v>#VALUE!</v>
      </c>
      <c r="DI48" s="28" t="e">
        <f>COUNTIFS('Краевые Сосновоборск'!$C$349:$C447,$C48,'Краевые Сосновоборск'!$E$349:$E447,$E48,'Краевые Сосновоборск'!$F$349:$F447,$F48,'Краевые Сосновоборск'!$K$353:$K361,"&gt;=0")</f>
        <v>#VALUE!</v>
      </c>
      <c r="DJ48" s="9" t="e">
        <f>COUNTIFS('Краевые Сосновоборск'!$C$349:$C447,$C48,'Краевые Сосновоборск'!$E$349:$E447,$E48,'Краевые Сосновоборск'!$F$349:$F447,$F48,'Краевые Сосновоборск'!$K$353:$K361,"лично")</f>
        <v>#VALUE!</v>
      </c>
    </row>
    <row r="49" spans="1:114" ht="12" customHeight="1" x14ac:dyDescent="0.3">
      <c r="A49" s="66">
        <v>17</v>
      </c>
      <c r="B49" s="51" t="s">
        <v>35</v>
      </c>
      <c r="C49" s="204" t="s">
        <v>112</v>
      </c>
      <c r="D49" s="67"/>
      <c r="E49" s="205"/>
      <c r="F49" s="207" t="str">
        <f t="shared" si="0"/>
        <v>Сокращенное название</v>
      </c>
      <c r="G49" s="208" t="s">
        <v>250</v>
      </c>
      <c r="H49" s="317" t="str">
        <f t="shared" si="8"/>
        <v>Фамилия_1 Имя Отчество</v>
      </c>
      <c r="I49" s="209">
        <f t="shared" si="1"/>
        <v>0</v>
      </c>
      <c r="J49" s="732">
        <f t="shared" si="2"/>
        <v>0</v>
      </c>
      <c r="K49" s="209">
        <f t="shared" si="3"/>
        <v>0</v>
      </c>
      <c r="L49" s="732">
        <f t="shared" si="9"/>
        <v>0</v>
      </c>
      <c r="M49" s="736">
        <f t="shared" si="4"/>
        <v>0</v>
      </c>
      <c r="N49" s="159">
        <f t="shared" si="5"/>
        <v>0</v>
      </c>
      <c r="O49" s="734">
        <f t="shared" si="6"/>
        <v>0</v>
      </c>
      <c r="P49" s="159">
        <f t="shared" si="7"/>
        <v>0</v>
      </c>
      <c r="Q49" s="212"/>
      <c r="R49" s="731"/>
      <c r="S49" s="731"/>
      <c r="T49" s="731"/>
      <c r="U49" s="731"/>
      <c r="V49" s="211"/>
      <c r="W49" s="763"/>
      <c r="X49" s="763"/>
      <c r="Y49" s="763"/>
      <c r="Z49" s="738"/>
      <c r="AA49" s="210"/>
      <c r="AB49" s="731"/>
      <c r="AC49" s="731"/>
      <c r="AD49" s="731"/>
      <c r="AE49" s="731"/>
      <c r="AF49" s="211"/>
      <c r="AG49" s="731"/>
      <c r="AH49" s="731"/>
      <c r="AI49" s="731"/>
      <c r="AJ49" s="731"/>
      <c r="AK49" s="211"/>
      <c r="AL49" s="731"/>
      <c r="AM49" s="731"/>
      <c r="AN49" s="731"/>
      <c r="AO49" s="731"/>
      <c r="AP49" s="211"/>
      <c r="AQ49" s="731"/>
      <c r="AR49" s="731"/>
      <c r="AS49" s="731"/>
      <c r="AT49" s="731"/>
      <c r="AU49" s="211"/>
      <c r="AV49" s="731"/>
      <c r="AW49" s="731"/>
      <c r="AX49" s="731"/>
      <c r="AY49" s="731"/>
      <c r="AZ49" s="213"/>
      <c r="BA49" s="731"/>
      <c r="BB49" s="731"/>
      <c r="BC49" s="731"/>
      <c r="BD49" s="738"/>
      <c r="BE49" s="156"/>
      <c r="BF49" s="731"/>
      <c r="BG49" s="731"/>
      <c r="BH49" s="731"/>
      <c r="BI49" s="731"/>
      <c r="BJ49" s="50"/>
      <c r="BK49" s="731"/>
      <c r="BL49" s="731"/>
      <c r="BM49" s="731"/>
      <c r="BN49" s="731"/>
      <c r="BO49" s="210"/>
      <c r="BP49" s="731"/>
      <c r="BQ49" s="731"/>
      <c r="BR49" s="731"/>
      <c r="BS49" s="731"/>
      <c r="BT49" s="211"/>
      <c r="BU49" s="731"/>
      <c r="BV49" s="731"/>
      <c r="BW49" s="731"/>
      <c r="BX49" s="731"/>
      <c r="BY49" s="153"/>
      <c r="BZ49" s="731"/>
      <c r="CA49" s="731"/>
      <c r="CB49" s="731"/>
      <c r="CC49" s="731"/>
      <c r="CD49" s="616"/>
      <c r="CE49" s="731"/>
      <c r="CF49" s="731"/>
      <c r="CG49" s="731"/>
      <c r="CH49" s="731"/>
      <c r="CI49" s="210"/>
      <c r="CJ49" s="731"/>
      <c r="CK49" s="731"/>
      <c r="CL49" s="731"/>
      <c r="CM49" s="757"/>
      <c r="CN49" s="760"/>
      <c r="CO49" s="210"/>
      <c r="CP49" s="731"/>
      <c r="CQ49" s="731"/>
      <c r="CR49" s="731"/>
      <c r="CS49" s="757"/>
      <c r="CT49" s="760"/>
      <c r="CU49" s="210"/>
      <c r="CV49" s="731"/>
      <c r="CW49" s="731"/>
      <c r="CX49" s="731"/>
      <c r="CY49" s="757"/>
      <c r="CZ49" s="760"/>
      <c r="DA49" s="210"/>
      <c r="DB49" s="731"/>
      <c r="DC49" s="731"/>
      <c r="DD49" s="731"/>
      <c r="DE49" s="757"/>
      <c r="DF49" s="760"/>
      <c r="DG49" s="44"/>
      <c r="DH49" s="9" t="e">
        <f>SUMIFS('Краевые Сосновоборск'!$K$353:$K361,'Краевые Сосновоборск'!$C$349:$C447,$C49,'Краевые Сосновоборск'!$E$349:$E447,$E49,'Краевые Сосновоборск'!$F$349:$F447,$F49)</f>
        <v>#VALUE!</v>
      </c>
      <c r="DI49" s="28" t="e">
        <f>COUNTIFS('Краевые Сосновоборск'!$C$349:$C447,$C49,'Краевые Сосновоборск'!$E$349:$E447,$E49,'Краевые Сосновоборск'!$F$349:$F447,$F49,'Краевые Сосновоборск'!$K$353:$K361,"&gt;=0")</f>
        <v>#VALUE!</v>
      </c>
      <c r="DJ49" s="9" t="e">
        <f>COUNTIFS('Краевые Сосновоборск'!$C$349:$C447,$C49,'Краевые Сосновоборск'!$E$349:$E447,$E49,'Краевые Сосновоборск'!$F$349:$F447,$F49,'Краевые Сосновоборск'!$K$353:$K361,"лично")</f>
        <v>#VALUE!</v>
      </c>
    </row>
    <row r="50" spans="1:114" ht="12" customHeight="1" x14ac:dyDescent="0.3">
      <c r="A50" s="66">
        <v>18</v>
      </c>
      <c r="B50" s="51" t="s">
        <v>20</v>
      </c>
      <c r="C50" s="204" t="s">
        <v>112</v>
      </c>
      <c r="D50" s="67"/>
      <c r="E50" s="205"/>
      <c r="F50" s="207" t="str">
        <f t="shared" si="0"/>
        <v>Сокращенное название</v>
      </c>
      <c r="G50" s="208" t="s">
        <v>250</v>
      </c>
      <c r="H50" s="317" t="str">
        <f t="shared" si="8"/>
        <v>Фамилия_1 Имя Отчество</v>
      </c>
      <c r="I50" s="209">
        <f t="shared" si="1"/>
        <v>0</v>
      </c>
      <c r="J50" s="732">
        <f t="shared" si="2"/>
        <v>0</v>
      </c>
      <c r="K50" s="209">
        <f t="shared" si="3"/>
        <v>0</v>
      </c>
      <c r="L50" s="732">
        <f t="shared" si="9"/>
        <v>0</v>
      </c>
      <c r="M50" s="736">
        <f t="shared" si="4"/>
        <v>0</v>
      </c>
      <c r="N50" s="159">
        <f t="shared" si="5"/>
        <v>0</v>
      </c>
      <c r="O50" s="734">
        <f t="shared" si="6"/>
        <v>0</v>
      </c>
      <c r="P50" s="159">
        <f t="shared" si="7"/>
        <v>0</v>
      </c>
      <c r="Q50" s="212"/>
      <c r="R50" s="731"/>
      <c r="S50" s="731"/>
      <c r="T50" s="731"/>
      <c r="U50" s="731"/>
      <c r="V50" s="211"/>
      <c r="W50" s="763"/>
      <c r="X50" s="763"/>
      <c r="Y50" s="763"/>
      <c r="Z50" s="738"/>
      <c r="AA50" s="210"/>
      <c r="AB50" s="731"/>
      <c r="AC50" s="731"/>
      <c r="AD50" s="731"/>
      <c r="AE50" s="731"/>
      <c r="AF50" s="211"/>
      <c r="AG50" s="731"/>
      <c r="AH50" s="731"/>
      <c r="AI50" s="731"/>
      <c r="AJ50" s="731"/>
      <c r="AK50" s="211"/>
      <c r="AL50" s="731"/>
      <c r="AM50" s="731"/>
      <c r="AN50" s="731"/>
      <c r="AO50" s="731"/>
      <c r="AP50" s="211"/>
      <c r="AQ50" s="731"/>
      <c r="AR50" s="731"/>
      <c r="AS50" s="731"/>
      <c r="AT50" s="731"/>
      <c r="AU50" s="211"/>
      <c r="AV50" s="731"/>
      <c r="AW50" s="731"/>
      <c r="AX50" s="731"/>
      <c r="AY50" s="731"/>
      <c r="AZ50" s="213"/>
      <c r="BA50" s="731"/>
      <c r="BB50" s="731"/>
      <c r="BC50" s="731"/>
      <c r="BD50" s="738"/>
      <c r="BE50" s="156"/>
      <c r="BF50" s="731"/>
      <c r="BG50" s="731"/>
      <c r="BH50" s="731"/>
      <c r="BI50" s="731"/>
      <c r="BJ50" s="50"/>
      <c r="BK50" s="731"/>
      <c r="BL50" s="731"/>
      <c r="BM50" s="731"/>
      <c r="BN50" s="731"/>
      <c r="BO50" s="210"/>
      <c r="BP50" s="731"/>
      <c r="BQ50" s="731"/>
      <c r="BR50" s="731"/>
      <c r="BS50" s="731"/>
      <c r="BT50" s="211"/>
      <c r="BU50" s="731"/>
      <c r="BV50" s="731"/>
      <c r="BW50" s="731"/>
      <c r="BX50" s="731"/>
      <c r="BY50" s="153"/>
      <c r="BZ50" s="731"/>
      <c r="CA50" s="731"/>
      <c r="CB50" s="731"/>
      <c r="CC50" s="731"/>
      <c r="CD50" s="616"/>
      <c r="CE50" s="731"/>
      <c r="CF50" s="731"/>
      <c r="CG50" s="731"/>
      <c r="CH50" s="731"/>
      <c r="CI50" s="210"/>
      <c r="CJ50" s="731"/>
      <c r="CK50" s="731"/>
      <c r="CL50" s="731"/>
      <c r="CM50" s="757"/>
      <c r="CN50" s="760"/>
      <c r="CO50" s="210"/>
      <c r="CP50" s="731"/>
      <c r="CQ50" s="731"/>
      <c r="CR50" s="731"/>
      <c r="CS50" s="757"/>
      <c r="CT50" s="760"/>
      <c r="CU50" s="210"/>
      <c r="CV50" s="731"/>
      <c r="CW50" s="731"/>
      <c r="CX50" s="731"/>
      <c r="CY50" s="757"/>
      <c r="CZ50" s="760"/>
      <c r="DA50" s="210"/>
      <c r="DB50" s="731"/>
      <c r="DC50" s="731"/>
      <c r="DD50" s="731"/>
      <c r="DE50" s="757"/>
      <c r="DF50" s="760"/>
      <c r="DG50" s="44"/>
      <c r="DH50" s="9" t="e">
        <f>SUMIFS('Краевые Сосновоборск'!$K$353:$K361,'Краевые Сосновоборск'!$C$349:$C447,$C50,'Краевые Сосновоборск'!$E$349:$E447,$E50,'Краевые Сосновоборск'!$F$349:$F447,$F50)</f>
        <v>#VALUE!</v>
      </c>
      <c r="DI50" s="28" t="e">
        <f>COUNTIFS('Краевые Сосновоборск'!$C$349:$C447,$C50,'Краевые Сосновоборск'!$E$349:$E447,$E50,'Краевые Сосновоборск'!$F$349:$F447,$F50,'Краевые Сосновоборск'!$K$353:$K361,"&gt;=0")</f>
        <v>#VALUE!</v>
      </c>
      <c r="DJ50" s="9" t="e">
        <f>COUNTIFS('Краевые Сосновоборск'!$C$349:$C447,$C50,'Краевые Сосновоборск'!$E$349:$E447,$E50,'Краевые Сосновоборск'!$F$349:$F447,$F50,'Краевые Сосновоборск'!$K$353:$K361,"лично")</f>
        <v>#VALUE!</v>
      </c>
    </row>
    <row r="51" spans="1:114" ht="12" customHeight="1" x14ac:dyDescent="0.3">
      <c r="A51" s="66">
        <v>19</v>
      </c>
      <c r="B51" s="51" t="s">
        <v>21</v>
      </c>
      <c r="C51" s="204" t="s">
        <v>112</v>
      </c>
      <c r="D51" s="67"/>
      <c r="E51" s="205"/>
      <c r="F51" s="207" t="str">
        <f t="shared" si="0"/>
        <v>Сокращенное название</v>
      </c>
      <c r="G51" s="208" t="s">
        <v>250</v>
      </c>
      <c r="H51" s="317" t="str">
        <f t="shared" si="8"/>
        <v>Фамилия_1 Имя Отчество</v>
      </c>
      <c r="I51" s="209">
        <f t="shared" si="1"/>
        <v>0</v>
      </c>
      <c r="J51" s="732">
        <f t="shared" si="2"/>
        <v>0</v>
      </c>
      <c r="K51" s="209">
        <f t="shared" si="3"/>
        <v>0</v>
      </c>
      <c r="L51" s="732">
        <f t="shared" si="9"/>
        <v>0</v>
      </c>
      <c r="M51" s="736">
        <f t="shared" si="4"/>
        <v>0</v>
      </c>
      <c r="N51" s="159">
        <f t="shared" si="5"/>
        <v>0</v>
      </c>
      <c r="O51" s="734">
        <f t="shared" si="6"/>
        <v>0</v>
      </c>
      <c r="P51" s="159">
        <f t="shared" si="7"/>
        <v>0</v>
      </c>
      <c r="Q51" s="212"/>
      <c r="R51" s="731"/>
      <c r="S51" s="731"/>
      <c r="T51" s="731"/>
      <c r="U51" s="731"/>
      <c r="V51" s="211"/>
      <c r="W51" s="763"/>
      <c r="X51" s="763"/>
      <c r="Y51" s="763"/>
      <c r="Z51" s="738"/>
      <c r="AA51" s="210"/>
      <c r="AB51" s="731"/>
      <c r="AC51" s="731"/>
      <c r="AD51" s="731"/>
      <c r="AE51" s="731"/>
      <c r="AF51" s="211"/>
      <c r="AG51" s="731"/>
      <c r="AH51" s="731"/>
      <c r="AI51" s="731"/>
      <c r="AJ51" s="731"/>
      <c r="AK51" s="211"/>
      <c r="AL51" s="731"/>
      <c r="AM51" s="731"/>
      <c r="AN51" s="731"/>
      <c r="AO51" s="731"/>
      <c r="AP51" s="211"/>
      <c r="AQ51" s="731"/>
      <c r="AR51" s="731"/>
      <c r="AS51" s="731"/>
      <c r="AT51" s="731"/>
      <c r="AU51" s="211"/>
      <c r="AV51" s="731"/>
      <c r="AW51" s="731"/>
      <c r="AX51" s="731"/>
      <c r="AY51" s="731"/>
      <c r="AZ51" s="213"/>
      <c r="BA51" s="731"/>
      <c r="BB51" s="731"/>
      <c r="BC51" s="731"/>
      <c r="BD51" s="738"/>
      <c r="BE51" s="156"/>
      <c r="BF51" s="731"/>
      <c r="BG51" s="731"/>
      <c r="BH51" s="731"/>
      <c r="BI51" s="731"/>
      <c r="BJ51" s="50"/>
      <c r="BK51" s="731"/>
      <c r="BL51" s="731"/>
      <c r="BM51" s="731"/>
      <c r="BN51" s="731"/>
      <c r="BO51" s="210"/>
      <c r="BP51" s="731"/>
      <c r="BQ51" s="731"/>
      <c r="BR51" s="731"/>
      <c r="BS51" s="731"/>
      <c r="BT51" s="211"/>
      <c r="BU51" s="731"/>
      <c r="BV51" s="731"/>
      <c r="BW51" s="731"/>
      <c r="BX51" s="731"/>
      <c r="BY51" s="153"/>
      <c r="BZ51" s="731"/>
      <c r="CA51" s="731"/>
      <c r="CB51" s="731"/>
      <c r="CC51" s="731"/>
      <c r="CD51" s="616"/>
      <c r="CE51" s="731"/>
      <c r="CF51" s="731"/>
      <c r="CG51" s="731"/>
      <c r="CH51" s="731"/>
      <c r="CI51" s="210"/>
      <c r="CJ51" s="731"/>
      <c r="CK51" s="731"/>
      <c r="CL51" s="731"/>
      <c r="CM51" s="757"/>
      <c r="CN51" s="760"/>
      <c r="CO51" s="210"/>
      <c r="CP51" s="731"/>
      <c r="CQ51" s="731"/>
      <c r="CR51" s="731"/>
      <c r="CS51" s="757"/>
      <c r="CT51" s="760"/>
      <c r="CU51" s="210"/>
      <c r="CV51" s="731"/>
      <c r="CW51" s="731"/>
      <c r="CX51" s="731"/>
      <c r="CY51" s="757"/>
      <c r="CZ51" s="760"/>
      <c r="DA51" s="210"/>
      <c r="DB51" s="731"/>
      <c r="DC51" s="731"/>
      <c r="DD51" s="731"/>
      <c r="DE51" s="757"/>
      <c r="DF51" s="760"/>
      <c r="DG51" s="44"/>
      <c r="DH51" s="9" t="e">
        <f>SUMIFS('Краевые Сосновоборск'!$K$353:$K361,'Краевые Сосновоборск'!$C$349:$C448,$C51,'Краевые Сосновоборск'!$E$349:$E448,$E51,'Краевые Сосновоборск'!$F$349:$F448,$F51)</f>
        <v>#VALUE!</v>
      </c>
      <c r="DI51" s="28" t="e">
        <f>COUNTIFS('Краевые Сосновоборск'!$C$349:$C448,$C51,'Краевые Сосновоборск'!$E$349:$E448,$E51,'Краевые Сосновоборск'!$F$349:$F448,$F51,'Краевые Сосновоборск'!$K$353:$K361,"&gt;=0")</f>
        <v>#VALUE!</v>
      </c>
      <c r="DJ51" s="9" t="e">
        <f>COUNTIFS('Краевые Сосновоборск'!$C$349:$C448,$C51,'Краевые Сосновоборск'!$E$349:$E448,$E51,'Краевые Сосновоборск'!$F$349:$F448,$F51,'Краевые Сосновоборск'!$K$353:$K361,"лично")</f>
        <v>#VALUE!</v>
      </c>
    </row>
    <row r="52" spans="1:114" ht="12" customHeight="1" x14ac:dyDescent="0.3">
      <c r="A52" s="66">
        <v>20</v>
      </c>
      <c r="B52" s="206" t="s">
        <v>32</v>
      </c>
      <c r="C52" s="204" t="s">
        <v>112</v>
      </c>
      <c r="D52" s="67"/>
      <c r="E52" s="205"/>
      <c r="F52" s="207" t="str">
        <f t="shared" si="0"/>
        <v>Сокращенное название</v>
      </c>
      <c r="G52" s="208" t="s">
        <v>250</v>
      </c>
      <c r="H52" s="317" t="str">
        <f t="shared" si="8"/>
        <v>Фамилия_1 Имя Отчество</v>
      </c>
      <c r="I52" s="209">
        <f t="shared" si="1"/>
        <v>0</v>
      </c>
      <c r="J52" s="732">
        <f t="shared" si="2"/>
        <v>0</v>
      </c>
      <c r="K52" s="209">
        <f t="shared" si="3"/>
        <v>0</v>
      </c>
      <c r="L52" s="732">
        <f t="shared" si="9"/>
        <v>0</v>
      </c>
      <c r="M52" s="736">
        <f t="shared" si="4"/>
        <v>0</v>
      </c>
      <c r="N52" s="159">
        <f t="shared" si="5"/>
        <v>0</v>
      </c>
      <c r="O52" s="734">
        <f t="shared" si="6"/>
        <v>0</v>
      </c>
      <c r="P52" s="159">
        <f t="shared" si="7"/>
        <v>0</v>
      </c>
      <c r="Q52" s="212"/>
      <c r="R52" s="731"/>
      <c r="S52" s="731"/>
      <c r="T52" s="731"/>
      <c r="U52" s="731"/>
      <c r="V52" s="211"/>
      <c r="W52" s="763"/>
      <c r="X52" s="763"/>
      <c r="Y52" s="763"/>
      <c r="Z52" s="738"/>
      <c r="AA52" s="210"/>
      <c r="AB52" s="731"/>
      <c r="AC52" s="731"/>
      <c r="AD52" s="731"/>
      <c r="AE52" s="731"/>
      <c r="AF52" s="211"/>
      <c r="AG52" s="731"/>
      <c r="AH52" s="731"/>
      <c r="AI52" s="731"/>
      <c r="AJ52" s="731"/>
      <c r="AK52" s="211"/>
      <c r="AL52" s="731"/>
      <c r="AM52" s="731"/>
      <c r="AN52" s="731"/>
      <c r="AO52" s="731"/>
      <c r="AP52" s="211"/>
      <c r="AQ52" s="731"/>
      <c r="AR52" s="731"/>
      <c r="AS52" s="731"/>
      <c r="AT52" s="731"/>
      <c r="AU52" s="211"/>
      <c r="AV52" s="731"/>
      <c r="AW52" s="731"/>
      <c r="AX52" s="731"/>
      <c r="AY52" s="731"/>
      <c r="AZ52" s="213"/>
      <c r="BA52" s="731"/>
      <c r="BB52" s="731"/>
      <c r="BC52" s="731"/>
      <c r="BD52" s="738"/>
      <c r="BE52" s="156"/>
      <c r="BF52" s="731"/>
      <c r="BG52" s="731"/>
      <c r="BH52" s="731"/>
      <c r="BI52" s="731"/>
      <c r="BJ52" s="50"/>
      <c r="BK52" s="731"/>
      <c r="BL52" s="731"/>
      <c r="BM52" s="731"/>
      <c r="BN52" s="731"/>
      <c r="BO52" s="210"/>
      <c r="BP52" s="731"/>
      <c r="BQ52" s="731"/>
      <c r="BR52" s="731"/>
      <c r="BS52" s="731"/>
      <c r="BT52" s="211"/>
      <c r="BU52" s="731"/>
      <c r="BV52" s="731"/>
      <c r="BW52" s="731"/>
      <c r="BX52" s="731"/>
      <c r="BY52" s="153"/>
      <c r="BZ52" s="731"/>
      <c r="CA52" s="731"/>
      <c r="CB52" s="731"/>
      <c r="CC52" s="731"/>
      <c r="CD52" s="616"/>
      <c r="CE52" s="731"/>
      <c r="CF52" s="731"/>
      <c r="CG52" s="731"/>
      <c r="CH52" s="731"/>
      <c r="CI52" s="210"/>
      <c r="CJ52" s="731"/>
      <c r="CK52" s="731"/>
      <c r="CL52" s="731"/>
      <c r="CM52" s="757"/>
      <c r="CN52" s="760"/>
      <c r="CO52" s="210"/>
      <c r="CP52" s="731"/>
      <c r="CQ52" s="731"/>
      <c r="CR52" s="731"/>
      <c r="CS52" s="757"/>
      <c r="CT52" s="760"/>
      <c r="CU52" s="210"/>
      <c r="CV52" s="731"/>
      <c r="CW52" s="731"/>
      <c r="CX52" s="731"/>
      <c r="CY52" s="757"/>
      <c r="CZ52" s="760"/>
      <c r="DA52" s="210"/>
      <c r="DB52" s="731"/>
      <c r="DC52" s="731"/>
      <c r="DD52" s="731"/>
      <c r="DE52" s="757"/>
      <c r="DF52" s="760"/>
      <c r="DG52" s="44"/>
      <c r="DH52" s="9" t="e">
        <f>SUMIFS('Краевые Сосновоборск'!$K$353:$K361,'Краевые Сосновоборск'!$C$349:$C449,$C52,'Краевые Сосновоборск'!$E$349:$E449,$E52,'Краевые Сосновоборск'!$F$349:$F449,$F52)</f>
        <v>#VALUE!</v>
      </c>
      <c r="DI52" s="28" t="e">
        <f>COUNTIFS('Краевые Сосновоборск'!$C$349:$C449,$C52,'Краевые Сосновоборск'!$E$349:$E449,$E52,'Краевые Сосновоборск'!$F$349:$F449,$F52,'Краевые Сосновоборск'!$K$353:$K361,"&gt;=0")</f>
        <v>#VALUE!</v>
      </c>
      <c r="DJ52" s="9" t="e">
        <f>COUNTIFS('Краевые Сосновоборск'!$C$349:$C449,$C52,'Краевые Сосновоборск'!$E$349:$E449,$E52,'Краевые Сосновоборск'!$F$349:$F449,$F52,'Краевые Сосновоборск'!$K$353:$K361,"лично")</f>
        <v>#VALUE!</v>
      </c>
    </row>
    <row r="53" spans="1:114" ht="12" customHeight="1" x14ac:dyDescent="0.3">
      <c r="A53" s="66">
        <v>21</v>
      </c>
      <c r="B53" s="206" t="s">
        <v>33</v>
      </c>
      <c r="C53" s="204" t="s">
        <v>112</v>
      </c>
      <c r="D53" s="67"/>
      <c r="E53" s="205"/>
      <c r="F53" s="207" t="str">
        <f t="shared" si="0"/>
        <v>Сокращенное название</v>
      </c>
      <c r="G53" s="208" t="s">
        <v>250</v>
      </c>
      <c r="H53" s="317" t="str">
        <f t="shared" si="8"/>
        <v>Фамилия_1 Имя Отчество</v>
      </c>
      <c r="I53" s="209">
        <f t="shared" si="1"/>
        <v>0</v>
      </c>
      <c r="J53" s="732">
        <f t="shared" si="2"/>
        <v>0</v>
      </c>
      <c r="K53" s="209">
        <f t="shared" si="3"/>
        <v>0</v>
      </c>
      <c r="L53" s="732">
        <f t="shared" si="9"/>
        <v>0</v>
      </c>
      <c r="M53" s="736">
        <f t="shared" si="4"/>
        <v>0</v>
      </c>
      <c r="N53" s="159">
        <f t="shared" si="5"/>
        <v>0</v>
      </c>
      <c r="O53" s="734">
        <f t="shared" si="6"/>
        <v>0</v>
      </c>
      <c r="P53" s="159">
        <f t="shared" si="7"/>
        <v>0</v>
      </c>
      <c r="Q53" s="212"/>
      <c r="R53" s="731"/>
      <c r="S53" s="731"/>
      <c r="T53" s="731"/>
      <c r="U53" s="731"/>
      <c r="V53" s="211"/>
      <c r="W53" s="763"/>
      <c r="X53" s="763"/>
      <c r="Y53" s="763"/>
      <c r="Z53" s="738"/>
      <c r="AA53" s="210"/>
      <c r="AB53" s="731"/>
      <c r="AC53" s="731"/>
      <c r="AD53" s="731"/>
      <c r="AE53" s="731"/>
      <c r="AF53" s="211"/>
      <c r="AG53" s="731"/>
      <c r="AH53" s="731"/>
      <c r="AI53" s="731"/>
      <c r="AJ53" s="731"/>
      <c r="AK53" s="211"/>
      <c r="AL53" s="731"/>
      <c r="AM53" s="731"/>
      <c r="AN53" s="731"/>
      <c r="AO53" s="731"/>
      <c r="AP53" s="211"/>
      <c r="AQ53" s="731"/>
      <c r="AR53" s="731"/>
      <c r="AS53" s="731"/>
      <c r="AT53" s="731"/>
      <c r="AU53" s="211"/>
      <c r="AV53" s="731"/>
      <c r="AW53" s="731"/>
      <c r="AX53" s="731"/>
      <c r="AY53" s="731"/>
      <c r="AZ53" s="213"/>
      <c r="BA53" s="731"/>
      <c r="BB53" s="731"/>
      <c r="BC53" s="731"/>
      <c r="BD53" s="738"/>
      <c r="BE53" s="156"/>
      <c r="BF53" s="731"/>
      <c r="BG53" s="731"/>
      <c r="BH53" s="731"/>
      <c r="BI53" s="731"/>
      <c r="BJ53" s="50"/>
      <c r="BK53" s="731"/>
      <c r="BL53" s="731"/>
      <c r="BM53" s="731"/>
      <c r="BN53" s="731"/>
      <c r="BO53" s="210"/>
      <c r="BP53" s="731"/>
      <c r="BQ53" s="731"/>
      <c r="BR53" s="731"/>
      <c r="BS53" s="731"/>
      <c r="BT53" s="211"/>
      <c r="BU53" s="731"/>
      <c r="BV53" s="731"/>
      <c r="BW53" s="731"/>
      <c r="BX53" s="731"/>
      <c r="BY53" s="153"/>
      <c r="BZ53" s="731"/>
      <c r="CA53" s="731"/>
      <c r="CB53" s="731"/>
      <c r="CC53" s="731"/>
      <c r="CD53" s="616"/>
      <c r="CE53" s="731"/>
      <c r="CF53" s="731"/>
      <c r="CG53" s="731"/>
      <c r="CH53" s="731"/>
      <c r="CI53" s="210"/>
      <c r="CJ53" s="731"/>
      <c r="CK53" s="731"/>
      <c r="CL53" s="731"/>
      <c r="CM53" s="757"/>
      <c r="CN53" s="760"/>
      <c r="CO53" s="210"/>
      <c r="CP53" s="731"/>
      <c r="CQ53" s="731"/>
      <c r="CR53" s="731"/>
      <c r="CS53" s="757"/>
      <c r="CT53" s="760"/>
      <c r="CU53" s="210"/>
      <c r="CV53" s="731"/>
      <c r="CW53" s="731"/>
      <c r="CX53" s="731"/>
      <c r="CY53" s="757"/>
      <c r="CZ53" s="760"/>
      <c r="DA53" s="210"/>
      <c r="DB53" s="731"/>
      <c r="DC53" s="731"/>
      <c r="DD53" s="731"/>
      <c r="DE53" s="757"/>
      <c r="DF53" s="760"/>
      <c r="DG53" s="44"/>
      <c r="DH53" s="9" t="e">
        <f>SUMIFS('Краевые Сосновоборск'!$K$353:$K361,'Краевые Сосновоборск'!$C$349:$C450,$C53,'Краевые Сосновоборск'!$E$349:$E450,$E53,'Краевые Сосновоборск'!$F$349:$F450,$F53)</f>
        <v>#VALUE!</v>
      </c>
      <c r="DI53" s="28" t="e">
        <f>COUNTIFS('Краевые Сосновоборск'!$C$349:$C450,$C53,'Краевые Сосновоборск'!$E$349:$E450,$E53,'Краевые Сосновоборск'!$F$349:$F450,$F53,'Краевые Сосновоборск'!$K$353:$K361,"&gt;=0")</f>
        <v>#VALUE!</v>
      </c>
      <c r="DJ53" s="9" t="e">
        <f>COUNTIFS('Краевые Сосновоборск'!$C$349:$C450,$C53,'Краевые Сосновоборск'!$E$349:$E450,$E53,'Краевые Сосновоборск'!$F$349:$F450,$F53,'Краевые Сосновоборск'!$K$353:$K361,"лично")</f>
        <v>#VALUE!</v>
      </c>
    </row>
    <row r="54" spans="1:114" ht="12" customHeight="1" x14ac:dyDescent="0.3">
      <c r="A54" s="66">
        <v>22</v>
      </c>
      <c r="B54" s="206" t="s">
        <v>6</v>
      </c>
      <c r="C54" s="204" t="s">
        <v>112</v>
      </c>
      <c r="D54" s="67"/>
      <c r="E54" s="205"/>
      <c r="F54" s="207" t="str">
        <f t="shared" si="0"/>
        <v>Сокращенное название</v>
      </c>
      <c r="G54" s="208" t="s">
        <v>250</v>
      </c>
      <c r="H54" s="317" t="str">
        <f t="shared" si="8"/>
        <v>Фамилия_1 Имя Отчество</v>
      </c>
      <c r="I54" s="209">
        <f t="shared" si="1"/>
        <v>0</v>
      </c>
      <c r="J54" s="732">
        <f t="shared" si="2"/>
        <v>0</v>
      </c>
      <c r="K54" s="209">
        <f t="shared" si="3"/>
        <v>0</v>
      </c>
      <c r="L54" s="732">
        <f t="shared" si="9"/>
        <v>0</v>
      </c>
      <c r="M54" s="736">
        <f t="shared" si="4"/>
        <v>0</v>
      </c>
      <c r="N54" s="159">
        <f t="shared" si="5"/>
        <v>0</v>
      </c>
      <c r="O54" s="734">
        <f t="shared" si="6"/>
        <v>0</v>
      </c>
      <c r="P54" s="159">
        <f t="shared" si="7"/>
        <v>0</v>
      </c>
      <c r="Q54" s="212"/>
      <c r="R54" s="731"/>
      <c r="S54" s="731"/>
      <c r="T54" s="731"/>
      <c r="U54" s="731"/>
      <c r="V54" s="211"/>
      <c r="W54" s="763"/>
      <c r="X54" s="763"/>
      <c r="Y54" s="763"/>
      <c r="Z54" s="738"/>
      <c r="AA54" s="210"/>
      <c r="AB54" s="731"/>
      <c r="AC54" s="731"/>
      <c r="AD54" s="731"/>
      <c r="AE54" s="731"/>
      <c r="AF54" s="211"/>
      <c r="AG54" s="731"/>
      <c r="AH54" s="731"/>
      <c r="AI54" s="731"/>
      <c r="AJ54" s="731"/>
      <c r="AK54" s="211"/>
      <c r="AL54" s="731"/>
      <c r="AM54" s="731"/>
      <c r="AN54" s="731"/>
      <c r="AO54" s="731"/>
      <c r="AP54" s="211"/>
      <c r="AQ54" s="731"/>
      <c r="AR54" s="731"/>
      <c r="AS54" s="731"/>
      <c r="AT54" s="731"/>
      <c r="AU54" s="211"/>
      <c r="AV54" s="731"/>
      <c r="AW54" s="731"/>
      <c r="AX54" s="731"/>
      <c r="AY54" s="731"/>
      <c r="AZ54" s="213"/>
      <c r="BA54" s="731"/>
      <c r="BB54" s="731"/>
      <c r="BC54" s="731"/>
      <c r="BD54" s="738"/>
      <c r="BE54" s="156"/>
      <c r="BF54" s="731"/>
      <c r="BG54" s="731"/>
      <c r="BH54" s="731"/>
      <c r="BI54" s="731"/>
      <c r="BJ54" s="50"/>
      <c r="BK54" s="731"/>
      <c r="BL54" s="731"/>
      <c r="BM54" s="731"/>
      <c r="BN54" s="731"/>
      <c r="BO54" s="210"/>
      <c r="BP54" s="731"/>
      <c r="BQ54" s="731"/>
      <c r="BR54" s="731"/>
      <c r="BS54" s="731"/>
      <c r="BT54" s="211"/>
      <c r="BU54" s="731"/>
      <c r="BV54" s="731"/>
      <c r="BW54" s="731"/>
      <c r="BX54" s="731"/>
      <c r="BY54" s="153"/>
      <c r="BZ54" s="731"/>
      <c r="CA54" s="731"/>
      <c r="CB54" s="731"/>
      <c r="CC54" s="731"/>
      <c r="CD54" s="616"/>
      <c r="CE54" s="731"/>
      <c r="CF54" s="731"/>
      <c r="CG54" s="731"/>
      <c r="CH54" s="731"/>
      <c r="CI54" s="210"/>
      <c r="CJ54" s="731"/>
      <c r="CK54" s="731"/>
      <c r="CL54" s="731"/>
      <c r="CM54" s="757"/>
      <c r="CN54" s="760"/>
      <c r="CO54" s="210"/>
      <c r="CP54" s="731"/>
      <c r="CQ54" s="731"/>
      <c r="CR54" s="731"/>
      <c r="CS54" s="757"/>
      <c r="CT54" s="760"/>
      <c r="CU54" s="210"/>
      <c r="CV54" s="731"/>
      <c r="CW54" s="731"/>
      <c r="CX54" s="731"/>
      <c r="CY54" s="757"/>
      <c r="CZ54" s="760"/>
      <c r="DA54" s="210"/>
      <c r="DB54" s="731"/>
      <c r="DC54" s="731"/>
      <c r="DD54" s="731"/>
      <c r="DE54" s="757"/>
      <c r="DF54" s="760"/>
      <c r="DG54" s="44"/>
      <c r="DH54" s="9" t="e">
        <f>SUMIFS('Краевые Сосновоборск'!$K$353:$K361,'Краевые Сосновоборск'!$C$349:$C451,$C54,'Краевые Сосновоборск'!$E$349:$E451,$E54,'Краевые Сосновоборск'!$F$349:$F451,$F54)</f>
        <v>#VALUE!</v>
      </c>
      <c r="DI54" s="28" t="e">
        <f>COUNTIFS('Краевые Сосновоборск'!$C$349:$C451,$C54,'Краевые Сосновоборск'!$E$349:$E451,$E54,'Краевые Сосновоборск'!$F$349:$F451,$F54,'Краевые Сосновоборск'!$K$353:$K361,"&gt;=0")</f>
        <v>#VALUE!</v>
      </c>
      <c r="DJ54" s="9" t="e">
        <f>COUNTIFS('Краевые Сосновоборск'!$C$349:$C451,$C54,'Краевые Сосновоборск'!$E$349:$E451,$E54,'Краевые Сосновоборск'!$F$349:$F451,$F54,'Краевые Сосновоборск'!$K$353:$K361,"лично")</f>
        <v>#VALUE!</v>
      </c>
    </row>
    <row r="55" spans="1:114" ht="12" customHeight="1" x14ac:dyDescent="0.3">
      <c r="A55" s="66">
        <v>23</v>
      </c>
      <c r="B55" s="206" t="s">
        <v>33</v>
      </c>
      <c r="C55" s="204" t="s">
        <v>112</v>
      </c>
      <c r="D55" s="67"/>
      <c r="E55" s="205"/>
      <c r="F55" s="207" t="str">
        <f t="shared" si="0"/>
        <v>Сокращенное название</v>
      </c>
      <c r="G55" s="208" t="s">
        <v>250</v>
      </c>
      <c r="H55" s="317" t="str">
        <f t="shared" si="8"/>
        <v>Фамилия_1 Имя Отчество</v>
      </c>
      <c r="I55" s="209">
        <f t="shared" si="1"/>
        <v>0</v>
      </c>
      <c r="J55" s="732">
        <f t="shared" si="2"/>
        <v>0</v>
      </c>
      <c r="K55" s="209">
        <f t="shared" si="3"/>
        <v>0</v>
      </c>
      <c r="L55" s="732">
        <f t="shared" si="9"/>
        <v>0</v>
      </c>
      <c r="M55" s="736">
        <f t="shared" si="4"/>
        <v>0</v>
      </c>
      <c r="N55" s="159">
        <f t="shared" si="5"/>
        <v>0</v>
      </c>
      <c r="O55" s="734">
        <f t="shared" si="6"/>
        <v>0</v>
      </c>
      <c r="P55" s="159">
        <f t="shared" si="7"/>
        <v>0</v>
      </c>
      <c r="Q55" s="212"/>
      <c r="R55" s="731"/>
      <c r="S55" s="731"/>
      <c r="T55" s="731"/>
      <c r="U55" s="731"/>
      <c r="V55" s="211"/>
      <c r="W55" s="763"/>
      <c r="X55" s="763"/>
      <c r="Y55" s="763"/>
      <c r="Z55" s="738"/>
      <c r="AA55" s="210"/>
      <c r="AB55" s="731"/>
      <c r="AC55" s="731"/>
      <c r="AD55" s="731"/>
      <c r="AE55" s="731"/>
      <c r="AF55" s="211"/>
      <c r="AG55" s="731"/>
      <c r="AH55" s="731"/>
      <c r="AI55" s="731"/>
      <c r="AJ55" s="731"/>
      <c r="AK55" s="211"/>
      <c r="AL55" s="731"/>
      <c r="AM55" s="731"/>
      <c r="AN55" s="731"/>
      <c r="AO55" s="731"/>
      <c r="AP55" s="211"/>
      <c r="AQ55" s="731"/>
      <c r="AR55" s="731"/>
      <c r="AS55" s="731"/>
      <c r="AT55" s="731"/>
      <c r="AU55" s="211"/>
      <c r="AV55" s="731"/>
      <c r="AW55" s="731"/>
      <c r="AX55" s="731"/>
      <c r="AY55" s="731"/>
      <c r="AZ55" s="213"/>
      <c r="BA55" s="731"/>
      <c r="BB55" s="731"/>
      <c r="BC55" s="731"/>
      <c r="BD55" s="738"/>
      <c r="BE55" s="156"/>
      <c r="BF55" s="731"/>
      <c r="BG55" s="731"/>
      <c r="BH55" s="731"/>
      <c r="BI55" s="731"/>
      <c r="BJ55" s="50"/>
      <c r="BK55" s="731"/>
      <c r="BL55" s="731"/>
      <c r="BM55" s="731"/>
      <c r="BN55" s="731"/>
      <c r="BO55" s="210"/>
      <c r="BP55" s="731"/>
      <c r="BQ55" s="731"/>
      <c r="BR55" s="731"/>
      <c r="BS55" s="731"/>
      <c r="BT55" s="211"/>
      <c r="BU55" s="731"/>
      <c r="BV55" s="731"/>
      <c r="BW55" s="731"/>
      <c r="BX55" s="731"/>
      <c r="BY55" s="153"/>
      <c r="BZ55" s="731"/>
      <c r="CA55" s="731"/>
      <c r="CB55" s="731"/>
      <c r="CC55" s="731"/>
      <c r="CD55" s="616"/>
      <c r="CE55" s="731"/>
      <c r="CF55" s="731"/>
      <c r="CG55" s="731"/>
      <c r="CH55" s="731"/>
      <c r="CI55" s="210"/>
      <c r="CJ55" s="731"/>
      <c r="CK55" s="731"/>
      <c r="CL55" s="731"/>
      <c r="CM55" s="757"/>
      <c r="CN55" s="760"/>
      <c r="CO55" s="210"/>
      <c r="CP55" s="731"/>
      <c r="CQ55" s="731"/>
      <c r="CR55" s="731"/>
      <c r="CS55" s="757"/>
      <c r="CT55" s="760"/>
      <c r="CU55" s="210"/>
      <c r="CV55" s="731"/>
      <c r="CW55" s="731"/>
      <c r="CX55" s="731"/>
      <c r="CY55" s="757"/>
      <c r="CZ55" s="760"/>
      <c r="DA55" s="210"/>
      <c r="DB55" s="731"/>
      <c r="DC55" s="731"/>
      <c r="DD55" s="731"/>
      <c r="DE55" s="757"/>
      <c r="DF55" s="760"/>
      <c r="DG55" s="44"/>
      <c r="DH55" s="9" t="e">
        <f>SUMIFS('Краевые Сосновоборск'!$K$353:$K361,'Краевые Сосновоборск'!$C$349:$C452,$C55,'Краевые Сосновоборск'!$E$349:$E452,$E55,'Краевые Сосновоборск'!$F$349:$F452,$F55)</f>
        <v>#VALUE!</v>
      </c>
      <c r="DI55" s="28" t="e">
        <f>COUNTIFS('Краевые Сосновоборск'!$C$349:$C452,$C55,'Краевые Сосновоборск'!$E$349:$E452,$E55,'Краевые Сосновоборск'!$F$349:$F452,$F55,'Краевые Сосновоборск'!$K$353:$K361,"&gt;=0")</f>
        <v>#VALUE!</v>
      </c>
      <c r="DJ55" s="9" t="e">
        <f>COUNTIFS('Краевые Сосновоборск'!$C$349:$C452,$C55,'Краевые Сосновоборск'!$E$349:$E452,$E55,'Краевые Сосновоборск'!$F$349:$F452,$F55,'Краевые Сосновоборск'!$K$353:$K361,"лично")</f>
        <v>#VALUE!</v>
      </c>
    </row>
    <row r="56" spans="1:114" ht="12" customHeight="1" x14ac:dyDescent="0.3">
      <c r="A56" s="66">
        <v>24</v>
      </c>
      <c r="B56" s="206" t="s">
        <v>6</v>
      </c>
      <c r="C56" s="204" t="s">
        <v>112</v>
      </c>
      <c r="D56" s="67"/>
      <c r="E56" s="205"/>
      <c r="F56" s="207" t="str">
        <f t="shared" si="0"/>
        <v>Сокращенное название</v>
      </c>
      <c r="G56" s="208" t="s">
        <v>250</v>
      </c>
      <c r="H56" s="317" t="str">
        <f t="shared" si="8"/>
        <v>Фамилия_1 Имя Отчество</v>
      </c>
      <c r="I56" s="209">
        <f t="shared" si="1"/>
        <v>0</v>
      </c>
      <c r="J56" s="732">
        <f t="shared" si="2"/>
        <v>0</v>
      </c>
      <c r="K56" s="209">
        <f t="shared" si="3"/>
        <v>0</v>
      </c>
      <c r="L56" s="732">
        <f t="shared" si="9"/>
        <v>0</v>
      </c>
      <c r="M56" s="736">
        <f t="shared" si="4"/>
        <v>0</v>
      </c>
      <c r="N56" s="159">
        <f t="shared" si="5"/>
        <v>0</v>
      </c>
      <c r="O56" s="734">
        <f t="shared" si="6"/>
        <v>0</v>
      </c>
      <c r="P56" s="159">
        <f t="shared" si="7"/>
        <v>0</v>
      </c>
      <c r="Q56" s="212"/>
      <c r="R56" s="731"/>
      <c r="S56" s="731"/>
      <c r="T56" s="731"/>
      <c r="U56" s="731"/>
      <c r="V56" s="211"/>
      <c r="W56" s="763"/>
      <c r="X56" s="763"/>
      <c r="Y56" s="763"/>
      <c r="Z56" s="738"/>
      <c r="AA56" s="210"/>
      <c r="AB56" s="731"/>
      <c r="AC56" s="731"/>
      <c r="AD56" s="731"/>
      <c r="AE56" s="731"/>
      <c r="AF56" s="211"/>
      <c r="AG56" s="731"/>
      <c r="AH56" s="731"/>
      <c r="AI56" s="731"/>
      <c r="AJ56" s="731"/>
      <c r="AK56" s="211"/>
      <c r="AL56" s="731"/>
      <c r="AM56" s="731"/>
      <c r="AN56" s="731"/>
      <c r="AO56" s="731"/>
      <c r="AP56" s="211"/>
      <c r="AQ56" s="731"/>
      <c r="AR56" s="731"/>
      <c r="AS56" s="731"/>
      <c r="AT56" s="731"/>
      <c r="AU56" s="211"/>
      <c r="AV56" s="731"/>
      <c r="AW56" s="731"/>
      <c r="AX56" s="731"/>
      <c r="AY56" s="731"/>
      <c r="AZ56" s="213"/>
      <c r="BA56" s="731"/>
      <c r="BB56" s="731"/>
      <c r="BC56" s="731"/>
      <c r="BD56" s="738"/>
      <c r="BE56" s="156"/>
      <c r="BF56" s="731"/>
      <c r="BG56" s="731"/>
      <c r="BH56" s="731"/>
      <c r="BI56" s="731"/>
      <c r="BJ56" s="50"/>
      <c r="BK56" s="731"/>
      <c r="BL56" s="731"/>
      <c r="BM56" s="731"/>
      <c r="BN56" s="731"/>
      <c r="BO56" s="210"/>
      <c r="BP56" s="731"/>
      <c r="BQ56" s="731"/>
      <c r="BR56" s="731"/>
      <c r="BS56" s="731"/>
      <c r="BT56" s="211"/>
      <c r="BU56" s="731"/>
      <c r="BV56" s="731"/>
      <c r="BW56" s="731"/>
      <c r="BX56" s="731"/>
      <c r="BY56" s="153"/>
      <c r="BZ56" s="731"/>
      <c r="CA56" s="731"/>
      <c r="CB56" s="731"/>
      <c r="CC56" s="731"/>
      <c r="CD56" s="616"/>
      <c r="CE56" s="731"/>
      <c r="CF56" s="731"/>
      <c r="CG56" s="731"/>
      <c r="CH56" s="731"/>
      <c r="CI56" s="210"/>
      <c r="CJ56" s="731"/>
      <c r="CK56" s="731"/>
      <c r="CL56" s="731"/>
      <c r="CM56" s="757"/>
      <c r="CN56" s="760"/>
      <c r="CO56" s="210"/>
      <c r="CP56" s="731"/>
      <c r="CQ56" s="731"/>
      <c r="CR56" s="731"/>
      <c r="CS56" s="757"/>
      <c r="CT56" s="760"/>
      <c r="CU56" s="210"/>
      <c r="CV56" s="731"/>
      <c r="CW56" s="731"/>
      <c r="CX56" s="731"/>
      <c r="CY56" s="757"/>
      <c r="CZ56" s="760"/>
      <c r="DA56" s="210"/>
      <c r="DB56" s="731"/>
      <c r="DC56" s="731"/>
      <c r="DD56" s="731"/>
      <c r="DE56" s="757"/>
      <c r="DF56" s="760"/>
      <c r="DG56" s="44"/>
      <c r="DH56" s="9" t="e">
        <f>SUMIFS('Краевые Сосновоборск'!$K$353:$K361,'Краевые Сосновоборск'!$C$349:$C453,$C56,'Краевые Сосновоборск'!$E$349:$E453,$E56,'Краевые Сосновоборск'!$F$349:$F453,$F56)</f>
        <v>#VALUE!</v>
      </c>
      <c r="DI56" s="28" t="e">
        <f>COUNTIFS('Краевые Сосновоборск'!$C$349:$C453,$C56,'Краевые Сосновоборск'!$E$349:$E453,$E56,'Краевые Сосновоборск'!$F$349:$F453,$F56,'Краевые Сосновоборск'!$K$353:$K361,"&gt;=0")</f>
        <v>#VALUE!</v>
      </c>
      <c r="DJ56" s="9" t="e">
        <f>COUNTIFS('Краевые Сосновоборск'!$C$349:$C453,$C56,'Краевые Сосновоборск'!$E$349:$E453,$E56,'Краевые Сосновоборск'!$F$349:$F453,$F56,'Краевые Сосновоборск'!$K$353:$K361,"лично")</f>
        <v>#VALUE!</v>
      </c>
    </row>
    <row r="57" spans="1:114" ht="12.75" customHeight="1" thickBot="1" x14ac:dyDescent="0.35">
      <c r="A57" s="68">
        <v>25</v>
      </c>
      <c r="B57" s="715" t="s">
        <v>23</v>
      </c>
      <c r="C57" s="214" t="s">
        <v>112</v>
      </c>
      <c r="D57" s="69"/>
      <c r="E57" s="215"/>
      <c r="F57" s="216" t="str">
        <f t="shared" si="0"/>
        <v>Сокращенное название</v>
      </c>
      <c r="G57" s="217" t="s">
        <v>250</v>
      </c>
      <c r="H57" s="318" t="str">
        <f t="shared" si="8"/>
        <v>Фамилия_1 Имя Отчество</v>
      </c>
      <c r="I57" s="218">
        <f t="shared" si="1"/>
        <v>0</v>
      </c>
      <c r="J57" s="733">
        <f t="shared" si="2"/>
        <v>0</v>
      </c>
      <c r="K57" s="218">
        <f t="shared" si="3"/>
        <v>0</v>
      </c>
      <c r="L57" s="732">
        <f t="shared" si="9"/>
        <v>0</v>
      </c>
      <c r="M57" s="737">
        <f t="shared" si="4"/>
        <v>0</v>
      </c>
      <c r="N57" s="160">
        <f t="shared" si="5"/>
        <v>0</v>
      </c>
      <c r="O57" s="735">
        <f t="shared" si="6"/>
        <v>0</v>
      </c>
      <c r="P57" s="160">
        <f t="shared" si="7"/>
        <v>0</v>
      </c>
      <c r="Q57" s="221"/>
      <c r="R57" s="740"/>
      <c r="S57" s="740"/>
      <c r="T57" s="740"/>
      <c r="U57" s="740"/>
      <c r="V57" s="220"/>
      <c r="W57" s="764"/>
      <c r="X57" s="764"/>
      <c r="Y57" s="764"/>
      <c r="Z57" s="346"/>
      <c r="AA57" s="219"/>
      <c r="AB57" s="740"/>
      <c r="AC57" s="740"/>
      <c r="AD57" s="740"/>
      <c r="AE57" s="740"/>
      <c r="AF57" s="220"/>
      <c r="AG57" s="740"/>
      <c r="AH57" s="740"/>
      <c r="AI57" s="740"/>
      <c r="AJ57" s="740"/>
      <c r="AK57" s="220"/>
      <c r="AL57" s="740"/>
      <c r="AM57" s="740"/>
      <c r="AN57" s="740"/>
      <c r="AO57" s="740"/>
      <c r="AP57" s="220"/>
      <c r="AQ57" s="740"/>
      <c r="AR57" s="740"/>
      <c r="AS57" s="740"/>
      <c r="AT57" s="740"/>
      <c r="AU57" s="220"/>
      <c r="AV57" s="740"/>
      <c r="AW57" s="740"/>
      <c r="AX57" s="740"/>
      <c r="AY57" s="740"/>
      <c r="AZ57" s="222"/>
      <c r="BA57" s="740"/>
      <c r="BB57" s="740"/>
      <c r="BC57" s="740"/>
      <c r="BD57" s="346"/>
      <c r="BE57" s="157"/>
      <c r="BF57" s="740"/>
      <c r="BG57" s="740"/>
      <c r="BH57" s="740"/>
      <c r="BI57" s="740"/>
      <c r="BJ57" s="52"/>
      <c r="BK57" s="740"/>
      <c r="BL57" s="740"/>
      <c r="BM57" s="740"/>
      <c r="BN57" s="740"/>
      <c r="BO57" s="219"/>
      <c r="BP57" s="740"/>
      <c r="BQ57" s="740"/>
      <c r="BR57" s="740"/>
      <c r="BS57" s="740"/>
      <c r="BT57" s="220"/>
      <c r="BU57" s="740"/>
      <c r="BV57" s="740"/>
      <c r="BW57" s="740"/>
      <c r="BX57" s="740"/>
      <c r="BY57" s="154"/>
      <c r="BZ57" s="740"/>
      <c r="CA57" s="740"/>
      <c r="CB57" s="740"/>
      <c r="CC57" s="740"/>
      <c r="CD57" s="617"/>
      <c r="CE57" s="740"/>
      <c r="CF57" s="740"/>
      <c r="CG57" s="740"/>
      <c r="CH57" s="740"/>
      <c r="CI57" s="219"/>
      <c r="CJ57" s="740"/>
      <c r="CK57" s="740"/>
      <c r="CL57" s="740"/>
      <c r="CM57" s="758"/>
      <c r="CN57" s="761"/>
      <c r="CO57" s="219"/>
      <c r="CP57" s="740"/>
      <c r="CQ57" s="740"/>
      <c r="CR57" s="740"/>
      <c r="CS57" s="758"/>
      <c r="CT57" s="761"/>
      <c r="CU57" s="219"/>
      <c r="CV57" s="740"/>
      <c r="CW57" s="740"/>
      <c r="CX57" s="740"/>
      <c r="CY57" s="758"/>
      <c r="CZ57" s="761"/>
      <c r="DA57" s="219"/>
      <c r="DB57" s="740"/>
      <c r="DC57" s="740"/>
      <c r="DD57" s="740"/>
      <c r="DE57" s="758"/>
      <c r="DF57" s="761"/>
      <c r="DG57" s="44"/>
      <c r="DH57" s="9" t="e">
        <f>SUMIFS('Краевые Сосновоборск'!$K$353:$K361,'Краевые Сосновоборск'!$C$349:$C453,$C57,'Краевые Сосновоборск'!$E$349:$E453,$E57,'Краевые Сосновоборск'!$F$349:$F453,$F57)</f>
        <v>#VALUE!</v>
      </c>
      <c r="DI57" s="28" t="e">
        <f>COUNTIFS('Краевые Сосновоборск'!$C$349:$C453,$C57,'Краевые Сосновоборск'!$E$349:$E453,$E57,'Краевые Сосновоборск'!$F$349:$F453,$F57,'Краевые Сосновоборск'!$K$353:$K361,"&gt;=0")</f>
        <v>#VALUE!</v>
      </c>
      <c r="DJ57" s="9" t="e">
        <f>COUNTIFS('Краевые Сосновоборск'!$C$349:$C453,$C57,'Краевые Сосновоборск'!$E$349:$E453,$E57,'Краевые Сосновоборск'!$F$349:$F453,$F57,'Краевые Сосновоборск'!$K$353:$K361,"лично")</f>
        <v>#VALUE!</v>
      </c>
    </row>
    <row r="58" spans="1:114" ht="12" customHeight="1" x14ac:dyDescent="0.3">
      <c r="A58" s="65">
        <f t="shared" ref="A58:A82" si="10">A57+1</f>
        <v>26</v>
      </c>
      <c r="B58" s="48" t="s">
        <v>21</v>
      </c>
      <c r="C58" s="199" t="s">
        <v>113</v>
      </c>
      <c r="D58" s="256"/>
      <c r="E58" s="257"/>
      <c r="F58" s="70" t="str">
        <f t="shared" si="0"/>
        <v>Сокращенное название</v>
      </c>
      <c r="G58" s="200" t="s">
        <v>251</v>
      </c>
      <c r="H58" s="316" t="str">
        <f t="shared" si="8"/>
        <v>Фамилия_1 Имя Отчество</v>
      </c>
      <c r="I58" s="201">
        <f t="shared" si="1"/>
        <v>0</v>
      </c>
      <c r="J58" s="750">
        <f t="shared" si="2"/>
        <v>0</v>
      </c>
      <c r="K58" s="201">
        <f t="shared" si="3"/>
        <v>0</v>
      </c>
      <c r="L58" s="732">
        <f t="shared" si="9"/>
        <v>0</v>
      </c>
      <c r="M58" s="751">
        <f t="shared" si="4"/>
        <v>0</v>
      </c>
      <c r="N58" s="158">
        <f t="shared" si="5"/>
        <v>0</v>
      </c>
      <c r="O58" s="752">
        <f t="shared" si="6"/>
        <v>0</v>
      </c>
      <c r="P58" s="158">
        <f t="shared" si="7"/>
        <v>0</v>
      </c>
      <c r="Q58" s="724"/>
      <c r="R58" s="753"/>
      <c r="S58" s="753"/>
      <c r="T58" s="753"/>
      <c r="U58" s="753"/>
      <c r="V58" s="203"/>
      <c r="W58" s="762"/>
      <c r="X58" s="762"/>
      <c r="Y58" s="762"/>
      <c r="Z58" s="755"/>
      <c r="AA58" s="202"/>
      <c r="AB58" s="753"/>
      <c r="AC58" s="753"/>
      <c r="AD58" s="753"/>
      <c r="AE58" s="753"/>
      <c r="AF58" s="203"/>
      <c r="AG58" s="753"/>
      <c r="AH58" s="753"/>
      <c r="AI58" s="753"/>
      <c r="AJ58" s="753"/>
      <c r="AK58" s="203"/>
      <c r="AL58" s="753"/>
      <c r="AM58" s="753"/>
      <c r="AN58" s="753"/>
      <c r="AO58" s="753"/>
      <c r="AP58" s="203"/>
      <c r="AQ58" s="753"/>
      <c r="AR58" s="753"/>
      <c r="AS58" s="753"/>
      <c r="AT58" s="753"/>
      <c r="AU58" s="203"/>
      <c r="AV58" s="753"/>
      <c r="AW58" s="753"/>
      <c r="AX58" s="753"/>
      <c r="AY58" s="753"/>
      <c r="AZ58" s="203"/>
      <c r="BA58" s="753"/>
      <c r="BB58" s="753"/>
      <c r="BC58" s="753"/>
      <c r="BD58" s="755"/>
      <c r="BE58" s="722"/>
      <c r="BF58" s="753"/>
      <c r="BG58" s="753"/>
      <c r="BH58" s="753"/>
      <c r="BI58" s="753"/>
      <c r="BJ58" s="49"/>
      <c r="BK58" s="753"/>
      <c r="BL58" s="753"/>
      <c r="BM58" s="753"/>
      <c r="BN58" s="753"/>
      <c r="BO58" s="202"/>
      <c r="BP58" s="753"/>
      <c r="BQ58" s="753"/>
      <c r="BR58" s="753"/>
      <c r="BS58" s="753"/>
      <c r="BT58" s="203"/>
      <c r="BU58" s="753"/>
      <c r="BV58" s="753"/>
      <c r="BW58" s="753"/>
      <c r="BX58" s="753"/>
      <c r="BY58" s="152"/>
      <c r="BZ58" s="753"/>
      <c r="CA58" s="753"/>
      <c r="CB58" s="753"/>
      <c r="CC58" s="753"/>
      <c r="CD58" s="618"/>
      <c r="CE58" s="753"/>
      <c r="CF58" s="753"/>
      <c r="CG58" s="753"/>
      <c r="CH58" s="753"/>
      <c r="CI58" s="202"/>
      <c r="CJ58" s="753"/>
      <c r="CK58" s="753"/>
      <c r="CL58" s="753"/>
      <c r="CM58" s="756"/>
      <c r="CN58" s="759"/>
      <c r="CO58" s="202"/>
      <c r="CP58" s="753"/>
      <c r="CQ58" s="753"/>
      <c r="CR58" s="753"/>
      <c r="CS58" s="756"/>
      <c r="CT58" s="759"/>
      <c r="CU58" s="202"/>
      <c r="CV58" s="753"/>
      <c r="CW58" s="753"/>
      <c r="CX58" s="753"/>
      <c r="CY58" s="756"/>
      <c r="CZ58" s="759"/>
      <c r="DA58" s="202"/>
      <c r="DB58" s="753"/>
      <c r="DC58" s="753"/>
      <c r="DD58" s="753"/>
      <c r="DE58" s="756"/>
      <c r="DF58" s="759"/>
      <c r="DG58" s="44"/>
      <c r="DH58" s="9" t="e">
        <f>SUMIFS('Краевые Сосновоборск'!$K$353:$K361,'Краевые Сосновоборск'!$C$349:$C453,$C58,'Краевые Сосновоборск'!$E$349:$E453,$E58,'Краевые Сосновоборск'!$F$349:$F453,$F58)</f>
        <v>#VALUE!</v>
      </c>
      <c r="DI58" s="28" t="e">
        <f>COUNTIFS('Краевые Сосновоборск'!$C$349:$C453,$C58,'Краевые Сосновоборск'!$E$349:$E453,$E58,'Краевые Сосновоборск'!$F$349:$F453,$F58,'Краевые Сосновоборск'!$K$353:$K361,"&gt;=0")</f>
        <v>#VALUE!</v>
      </c>
      <c r="DJ58" s="9" t="e">
        <f>COUNTIFS('Краевые Сосновоборск'!$C$349:$C453,$C58,'Краевые Сосновоборск'!$E$349:$E453,$E58,'Краевые Сосновоборск'!$F$349:$F453,$F58,'Краевые Сосновоборск'!$K$353:$K361,"лично")</f>
        <v>#VALUE!</v>
      </c>
    </row>
    <row r="59" spans="1:114" ht="12" customHeight="1" x14ac:dyDescent="0.3">
      <c r="A59" s="66">
        <f t="shared" si="10"/>
        <v>27</v>
      </c>
      <c r="B59" s="206" t="s">
        <v>23</v>
      </c>
      <c r="C59" s="204" t="s">
        <v>113</v>
      </c>
      <c r="D59" s="67"/>
      <c r="E59" s="205"/>
      <c r="F59" s="223" t="str">
        <f t="shared" si="0"/>
        <v>Сокращенное название</v>
      </c>
      <c r="G59" s="208" t="s">
        <v>251</v>
      </c>
      <c r="H59" s="317" t="str">
        <f t="shared" si="8"/>
        <v>Фамилия_1 Имя Отчество</v>
      </c>
      <c r="I59" s="209">
        <f t="shared" si="1"/>
        <v>0</v>
      </c>
      <c r="J59" s="732">
        <f t="shared" si="2"/>
        <v>0</v>
      </c>
      <c r="K59" s="209">
        <f t="shared" si="3"/>
        <v>0</v>
      </c>
      <c r="L59" s="732">
        <f t="shared" si="9"/>
        <v>0</v>
      </c>
      <c r="M59" s="736">
        <f t="shared" si="4"/>
        <v>0</v>
      </c>
      <c r="N59" s="159">
        <f t="shared" si="5"/>
        <v>0</v>
      </c>
      <c r="O59" s="734">
        <f t="shared" si="6"/>
        <v>0</v>
      </c>
      <c r="P59" s="159">
        <f t="shared" si="7"/>
        <v>0</v>
      </c>
      <c r="Q59" s="212"/>
      <c r="R59" s="731"/>
      <c r="S59" s="731"/>
      <c r="T59" s="731"/>
      <c r="U59" s="731"/>
      <c r="V59" s="211"/>
      <c r="W59" s="763"/>
      <c r="X59" s="763"/>
      <c r="Y59" s="763"/>
      <c r="Z59" s="738"/>
      <c r="AA59" s="210"/>
      <c r="AB59" s="731"/>
      <c r="AC59" s="731"/>
      <c r="AD59" s="731"/>
      <c r="AE59" s="731"/>
      <c r="AF59" s="211"/>
      <c r="AG59" s="731"/>
      <c r="AH59" s="731"/>
      <c r="AI59" s="731"/>
      <c r="AJ59" s="731"/>
      <c r="AK59" s="211"/>
      <c r="AL59" s="731"/>
      <c r="AM59" s="731"/>
      <c r="AN59" s="731"/>
      <c r="AO59" s="731"/>
      <c r="AP59" s="211"/>
      <c r="AQ59" s="731"/>
      <c r="AR59" s="731"/>
      <c r="AS59" s="731"/>
      <c r="AT59" s="731"/>
      <c r="AU59" s="211"/>
      <c r="AV59" s="731"/>
      <c r="AW59" s="731"/>
      <c r="AX59" s="731"/>
      <c r="AY59" s="731"/>
      <c r="AZ59" s="211"/>
      <c r="BA59" s="731"/>
      <c r="BB59" s="731"/>
      <c r="BC59" s="731"/>
      <c r="BD59" s="738"/>
      <c r="BE59" s="156"/>
      <c r="BF59" s="731"/>
      <c r="BG59" s="731"/>
      <c r="BH59" s="731"/>
      <c r="BI59" s="731"/>
      <c r="BJ59" s="50"/>
      <c r="BK59" s="731"/>
      <c r="BL59" s="731"/>
      <c r="BM59" s="731"/>
      <c r="BN59" s="731"/>
      <c r="BO59" s="210"/>
      <c r="BP59" s="731"/>
      <c r="BQ59" s="731"/>
      <c r="BR59" s="731"/>
      <c r="BS59" s="731"/>
      <c r="BT59" s="211"/>
      <c r="BU59" s="731"/>
      <c r="BV59" s="731"/>
      <c r="BW59" s="731"/>
      <c r="BX59" s="731"/>
      <c r="BY59" s="153"/>
      <c r="BZ59" s="731"/>
      <c r="CA59" s="731"/>
      <c r="CB59" s="731"/>
      <c r="CC59" s="731"/>
      <c r="CD59" s="616"/>
      <c r="CE59" s="731"/>
      <c r="CF59" s="731"/>
      <c r="CG59" s="731"/>
      <c r="CH59" s="731"/>
      <c r="CI59" s="210"/>
      <c r="CJ59" s="731"/>
      <c r="CK59" s="731"/>
      <c r="CL59" s="731"/>
      <c r="CM59" s="757"/>
      <c r="CN59" s="760"/>
      <c r="CO59" s="210"/>
      <c r="CP59" s="731"/>
      <c r="CQ59" s="731"/>
      <c r="CR59" s="731"/>
      <c r="CS59" s="757"/>
      <c r="CT59" s="760"/>
      <c r="CU59" s="210"/>
      <c r="CV59" s="731"/>
      <c r="CW59" s="731"/>
      <c r="CX59" s="731"/>
      <c r="CY59" s="757"/>
      <c r="CZ59" s="760"/>
      <c r="DA59" s="210"/>
      <c r="DB59" s="731"/>
      <c r="DC59" s="731"/>
      <c r="DD59" s="731"/>
      <c r="DE59" s="757"/>
      <c r="DF59" s="760"/>
      <c r="DG59" s="44"/>
      <c r="DH59" s="9" t="e">
        <f>SUMIFS('Краевые Сосновоборск'!$K$353:$K361,'Краевые Сосновоборск'!$C$349:$C454,$C59,'Краевые Сосновоборск'!$E$349:$E454,$E59,'Краевые Сосновоборск'!$F$349:$F454,$F59)</f>
        <v>#VALUE!</v>
      </c>
      <c r="DI59" s="28" t="e">
        <f>COUNTIFS('Краевые Сосновоборск'!$C$349:$C454,$C59,'Краевые Сосновоборск'!$E$349:$E454,$E59,'Краевые Сосновоборск'!$F$349:$F454,$F59,'Краевые Сосновоборск'!$K$353:$K361,"&gt;=0")</f>
        <v>#VALUE!</v>
      </c>
      <c r="DJ59" s="9" t="e">
        <f>COUNTIFS('Краевые Сосновоборск'!$C$349:$C454,$C59,'Краевые Сосновоборск'!$E$349:$E454,$E59,'Краевые Сосновоборск'!$F$349:$F454,$F59,'Краевые Сосновоборск'!$K$353:$K361,"лично")</f>
        <v>#VALUE!</v>
      </c>
    </row>
    <row r="60" spans="1:114" ht="12" customHeight="1" x14ac:dyDescent="0.3">
      <c r="A60" s="66">
        <f t="shared" si="10"/>
        <v>28</v>
      </c>
      <c r="B60" s="206" t="s">
        <v>31</v>
      </c>
      <c r="C60" s="204" t="s">
        <v>113</v>
      </c>
      <c r="D60" s="67"/>
      <c r="E60" s="205"/>
      <c r="F60" s="223" t="str">
        <f t="shared" si="0"/>
        <v>Сокращенное название</v>
      </c>
      <c r="G60" s="208" t="s">
        <v>251</v>
      </c>
      <c r="H60" s="317" t="str">
        <f t="shared" si="8"/>
        <v>Фамилия_1 Имя Отчество</v>
      </c>
      <c r="I60" s="209">
        <f t="shared" si="1"/>
        <v>0</v>
      </c>
      <c r="J60" s="732">
        <f t="shared" si="2"/>
        <v>0</v>
      </c>
      <c r="K60" s="209">
        <f t="shared" si="3"/>
        <v>0</v>
      </c>
      <c r="L60" s="732">
        <f t="shared" si="9"/>
        <v>0</v>
      </c>
      <c r="M60" s="736">
        <f t="shared" si="4"/>
        <v>0</v>
      </c>
      <c r="N60" s="159">
        <f t="shared" si="5"/>
        <v>0</v>
      </c>
      <c r="O60" s="734">
        <f t="shared" si="6"/>
        <v>0</v>
      </c>
      <c r="P60" s="159">
        <f t="shared" si="7"/>
        <v>0</v>
      </c>
      <c r="Q60" s="212"/>
      <c r="R60" s="731"/>
      <c r="S60" s="731"/>
      <c r="T60" s="731"/>
      <c r="U60" s="731"/>
      <c r="V60" s="211"/>
      <c r="W60" s="763"/>
      <c r="X60" s="763"/>
      <c r="Y60" s="763"/>
      <c r="Z60" s="738"/>
      <c r="AA60" s="210"/>
      <c r="AB60" s="731"/>
      <c r="AC60" s="731"/>
      <c r="AD60" s="731"/>
      <c r="AE60" s="731"/>
      <c r="AF60" s="211"/>
      <c r="AG60" s="731"/>
      <c r="AH60" s="731"/>
      <c r="AI60" s="731"/>
      <c r="AJ60" s="731"/>
      <c r="AK60" s="211"/>
      <c r="AL60" s="731"/>
      <c r="AM60" s="731"/>
      <c r="AN60" s="731"/>
      <c r="AO60" s="731"/>
      <c r="AP60" s="211"/>
      <c r="AQ60" s="731"/>
      <c r="AR60" s="731"/>
      <c r="AS60" s="731"/>
      <c r="AT60" s="731"/>
      <c r="AU60" s="211"/>
      <c r="AV60" s="731"/>
      <c r="AW60" s="731"/>
      <c r="AX60" s="731"/>
      <c r="AY60" s="731"/>
      <c r="AZ60" s="211"/>
      <c r="BA60" s="731"/>
      <c r="BB60" s="731"/>
      <c r="BC60" s="731"/>
      <c r="BD60" s="738"/>
      <c r="BE60" s="156"/>
      <c r="BF60" s="731"/>
      <c r="BG60" s="731"/>
      <c r="BH60" s="731"/>
      <c r="BI60" s="731"/>
      <c r="BJ60" s="50"/>
      <c r="BK60" s="731"/>
      <c r="BL60" s="731"/>
      <c r="BM60" s="731"/>
      <c r="BN60" s="731"/>
      <c r="BO60" s="210"/>
      <c r="BP60" s="731"/>
      <c r="BQ60" s="731"/>
      <c r="BR60" s="731"/>
      <c r="BS60" s="731"/>
      <c r="BT60" s="211"/>
      <c r="BU60" s="731"/>
      <c r="BV60" s="731"/>
      <c r="BW60" s="731"/>
      <c r="BX60" s="731"/>
      <c r="BY60" s="153"/>
      <c r="BZ60" s="731"/>
      <c r="CA60" s="731"/>
      <c r="CB60" s="731"/>
      <c r="CC60" s="731"/>
      <c r="CD60" s="616"/>
      <c r="CE60" s="731"/>
      <c r="CF60" s="731"/>
      <c r="CG60" s="731"/>
      <c r="CH60" s="731"/>
      <c r="CI60" s="210"/>
      <c r="CJ60" s="731"/>
      <c r="CK60" s="731"/>
      <c r="CL60" s="731"/>
      <c r="CM60" s="757"/>
      <c r="CN60" s="760"/>
      <c r="CO60" s="210"/>
      <c r="CP60" s="731"/>
      <c r="CQ60" s="731"/>
      <c r="CR60" s="731"/>
      <c r="CS60" s="757"/>
      <c r="CT60" s="760"/>
      <c r="CU60" s="210"/>
      <c r="CV60" s="731"/>
      <c r="CW60" s="731"/>
      <c r="CX60" s="731"/>
      <c r="CY60" s="757"/>
      <c r="CZ60" s="760"/>
      <c r="DA60" s="210"/>
      <c r="DB60" s="731"/>
      <c r="DC60" s="731"/>
      <c r="DD60" s="731"/>
      <c r="DE60" s="757"/>
      <c r="DF60" s="760"/>
      <c r="DG60" s="44"/>
      <c r="DH60" s="9" t="e">
        <f>SUMIFS('Краевые Сосновоборск'!$K$353:$K361,'Краевые Сосновоборск'!$C$349:$C455,$C60,'Краевые Сосновоборск'!$E$349:$E455,$E60,'Краевые Сосновоборск'!$F$349:$F455,$F60)</f>
        <v>#VALUE!</v>
      </c>
      <c r="DI60" s="28" t="e">
        <f>COUNTIFS('Краевые Сосновоборск'!$C$349:$C455,$C60,'Краевые Сосновоборск'!$E$349:$E455,$E60,'Краевые Сосновоборск'!$F$349:$F455,$F60,'Краевые Сосновоборск'!$K$353:$K361,"&gt;=0")</f>
        <v>#VALUE!</v>
      </c>
      <c r="DJ60" s="9" t="e">
        <f>COUNTIFS('Краевые Сосновоборск'!$C$349:$C455,$C60,'Краевые Сосновоборск'!$E$349:$E455,$E60,'Краевые Сосновоборск'!$F$349:$F455,$F60,'Краевые Сосновоборск'!$K$353:$K361,"лично")</f>
        <v>#VALUE!</v>
      </c>
    </row>
    <row r="61" spans="1:114" ht="12" customHeight="1" x14ac:dyDescent="0.3">
      <c r="A61" s="66">
        <f t="shared" si="10"/>
        <v>29</v>
      </c>
      <c r="B61" s="206" t="s">
        <v>32</v>
      </c>
      <c r="C61" s="204" t="s">
        <v>113</v>
      </c>
      <c r="D61" s="67"/>
      <c r="E61" s="205"/>
      <c r="F61" s="223" t="str">
        <f t="shared" si="0"/>
        <v>Сокращенное название</v>
      </c>
      <c r="G61" s="208" t="s">
        <v>251</v>
      </c>
      <c r="H61" s="317" t="str">
        <f t="shared" si="8"/>
        <v>Фамилия_1 Имя Отчество</v>
      </c>
      <c r="I61" s="209">
        <f t="shared" si="1"/>
        <v>0</v>
      </c>
      <c r="J61" s="732">
        <f t="shared" si="2"/>
        <v>0</v>
      </c>
      <c r="K61" s="209">
        <f t="shared" si="3"/>
        <v>0</v>
      </c>
      <c r="L61" s="732">
        <f t="shared" si="9"/>
        <v>0</v>
      </c>
      <c r="M61" s="736">
        <f t="shared" si="4"/>
        <v>0</v>
      </c>
      <c r="N61" s="159">
        <f t="shared" si="5"/>
        <v>0</v>
      </c>
      <c r="O61" s="734">
        <f t="shared" si="6"/>
        <v>0</v>
      </c>
      <c r="P61" s="159">
        <f t="shared" si="7"/>
        <v>0</v>
      </c>
      <c r="Q61" s="212"/>
      <c r="R61" s="731"/>
      <c r="S61" s="731"/>
      <c r="T61" s="731"/>
      <c r="U61" s="731"/>
      <c r="V61" s="211"/>
      <c r="W61" s="763"/>
      <c r="X61" s="763"/>
      <c r="Y61" s="763"/>
      <c r="Z61" s="738"/>
      <c r="AA61" s="210"/>
      <c r="AB61" s="731"/>
      <c r="AC61" s="731"/>
      <c r="AD61" s="731"/>
      <c r="AE61" s="731"/>
      <c r="AF61" s="211"/>
      <c r="AG61" s="731"/>
      <c r="AH61" s="731"/>
      <c r="AI61" s="731"/>
      <c r="AJ61" s="731"/>
      <c r="AK61" s="211"/>
      <c r="AL61" s="731"/>
      <c r="AM61" s="731"/>
      <c r="AN61" s="731"/>
      <c r="AO61" s="731"/>
      <c r="AP61" s="211"/>
      <c r="AQ61" s="731"/>
      <c r="AR61" s="731"/>
      <c r="AS61" s="731"/>
      <c r="AT61" s="731"/>
      <c r="AU61" s="211"/>
      <c r="AV61" s="731"/>
      <c r="AW61" s="731"/>
      <c r="AX61" s="731"/>
      <c r="AY61" s="731"/>
      <c r="AZ61" s="211"/>
      <c r="BA61" s="731"/>
      <c r="BB61" s="731"/>
      <c r="BC61" s="731"/>
      <c r="BD61" s="738"/>
      <c r="BE61" s="156"/>
      <c r="BF61" s="731"/>
      <c r="BG61" s="731"/>
      <c r="BH61" s="731"/>
      <c r="BI61" s="731"/>
      <c r="BJ61" s="50"/>
      <c r="BK61" s="731"/>
      <c r="BL61" s="731"/>
      <c r="BM61" s="731"/>
      <c r="BN61" s="731"/>
      <c r="BO61" s="210"/>
      <c r="BP61" s="731"/>
      <c r="BQ61" s="731"/>
      <c r="BR61" s="731"/>
      <c r="BS61" s="731"/>
      <c r="BT61" s="211"/>
      <c r="BU61" s="731"/>
      <c r="BV61" s="731"/>
      <c r="BW61" s="731"/>
      <c r="BX61" s="731"/>
      <c r="BY61" s="153"/>
      <c r="BZ61" s="731"/>
      <c r="CA61" s="731"/>
      <c r="CB61" s="731"/>
      <c r="CC61" s="731"/>
      <c r="CD61" s="616"/>
      <c r="CE61" s="731"/>
      <c r="CF61" s="731"/>
      <c r="CG61" s="731"/>
      <c r="CH61" s="731"/>
      <c r="CI61" s="210"/>
      <c r="CJ61" s="731"/>
      <c r="CK61" s="731"/>
      <c r="CL61" s="731"/>
      <c r="CM61" s="757"/>
      <c r="CN61" s="760"/>
      <c r="CO61" s="210"/>
      <c r="CP61" s="731"/>
      <c r="CQ61" s="731"/>
      <c r="CR61" s="731"/>
      <c r="CS61" s="757"/>
      <c r="CT61" s="760"/>
      <c r="CU61" s="210"/>
      <c r="CV61" s="731"/>
      <c r="CW61" s="731"/>
      <c r="CX61" s="731"/>
      <c r="CY61" s="757"/>
      <c r="CZ61" s="760"/>
      <c r="DA61" s="210"/>
      <c r="DB61" s="731"/>
      <c r="DC61" s="731"/>
      <c r="DD61" s="731"/>
      <c r="DE61" s="757"/>
      <c r="DF61" s="760"/>
      <c r="DG61" s="44"/>
      <c r="DH61" s="9" t="e">
        <f>SUMIFS('Краевые Сосновоборск'!$K$353:$K361,'Краевые Сосновоборск'!$C$349:$C456,$C61,'Краевые Сосновоборск'!$E$349:$E456,$E61,'Краевые Сосновоборск'!$F$349:$F456,$F61)</f>
        <v>#VALUE!</v>
      </c>
      <c r="DI61" s="28" t="e">
        <f>COUNTIFS('Краевые Сосновоборск'!$C$349:$C456,$C61,'Краевые Сосновоборск'!$E$349:$E456,$E61,'Краевые Сосновоборск'!$F$349:$F456,$F61,'Краевые Сосновоборск'!$K$353:$K361,"&gt;=0")</f>
        <v>#VALUE!</v>
      </c>
      <c r="DJ61" s="9" t="e">
        <f>COUNTIFS('Краевые Сосновоборск'!$C$349:$C456,$C61,'Краевые Сосновоборск'!$E$349:$E456,$E61,'Краевые Сосновоборск'!$F$349:$F456,$F61,'Краевые Сосновоборск'!$K$353:$K361,"лично")</f>
        <v>#VALUE!</v>
      </c>
    </row>
    <row r="62" spans="1:114" ht="12" customHeight="1" x14ac:dyDescent="0.3">
      <c r="A62" s="66">
        <f t="shared" si="10"/>
        <v>30</v>
      </c>
      <c r="B62" s="206" t="s">
        <v>33</v>
      </c>
      <c r="C62" s="204" t="s">
        <v>113</v>
      </c>
      <c r="D62" s="67"/>
      <c r="E62" s="205"/>
      <c r="F62" s="223" t="str">
        <f t="shared" si="0"/>
        <v>Сокращенное название</v>
      </c>
      <c r="G62" s="208" t="s">
        <v>251</v>
      </c>
      <c r="H62" s="317" t="str">
        <f t="shared" si="8"/>
        <v>Фамилия_1 Имя Отчество</v>
      </c>
      <c r="I62" s="209">
        <f t="shared" si="1"/>
        <v>0</v>
      </c>
      <c r="J62" s="732">
        <f t="shared" si="2"/>
        <v>0</v>
      </c>
      <c r="K62" s="209">
        <f t="shared" si="3"/>
        <v>0</v>
      </c>
      <c r="L62" s="732">
        <f t="shared" si="9"/>
        <v>0</v>
      </c>
      <c r="M62" s="736">
        <f t="shared" si="4"/>
        <v>0</v>
      </c>
      <c r="N62" s="159">
        <f t="shared" si="5"/>
        <v>0</v>
      </c>
      <c r="O62" s="734">
        <f t="shared" si="6"/>
        <v>0</v>
      </c>
      <c r="P62" s="159">
        <f t="shared" si="7"/>
        <v>0</v>
      </c>
      <c r="Q62" s="212"/>
      <c r="R62" s="731"/>
      <c r="S62" s="731"/>
      <c r="T62" s="731"/>
      <c r="U62" s="731"/>
      <c r="V62" s="211"/>
      <c r="W62" s="763"/>
      <c r="X62" s="763"/>
      <c r="Y62" s="763"/>
      <c r="Z62" s="738"/>
      <c r="AA62" s="210"/>
      <c r="AB62" s="731"/>
      <c r="AC62" s="731"/>
      <c r="AD62" s="731"/>
      <c r="AE62" s="731"/>
      <c r="AF62" s="211"/>
      <c r="AG62" s="731"/>
      <c r="AH62" s="731"/>
      <c r="AI62" s="731"/>
      <c r="AJ62" s="731"/>
      <c r="AK62" s="211"/>
      <c r="AL62" s="731"/>
      <c r="AM62" s="731"/>
      <c r="AN62" s="731"/>
      <c r="AO62" s="731"/>
      <c r="AP62" s="211"/>
      <c r="AQ62" s="731"/>
      <c r="AR62" s="731"/>
      <c r="AS62" s="731"/>
      <c r="AT62" s="731"/>
      <c r="AU62" s="211"/>
      <c r="AV62" s="731"/>
      <c r="AW62" s="731"/>
      <c r="AX62" s="731"/>
      <c r="AY62" s="731"/>
      <c r="AZ62" s="211"/>
      <c r="BA62" s="731"/>
      <c r="BB62" s="731"/>
      <c r="BC62" s="731"/>
      <c r="BD62" s="738"/>
      <c r="BE62" s="156"/>
      <c r="BF62" s="731"/>
      <c r="BG62" s="731"/>
      <c r="BH62" s="731"/>
      <c r="BI62" s="731"/>
      <c r="BJ62" s="50"/>
      <c r="BK62" s="731"/>
      <c r="BL62" s="731"/>
      <c r="BM62" s="731"/>
      <c r="BN62" s="731"/>
      <c r="BO62" s="210"/>
      <c r="BP62" s="731"/>
      <c r="BQ62" s="731"/>
      <c r="BR62" s="731"/>
      <c r="BS62" s="731"/>
      <c r="BT62" s="211"/>
      <c r="BU62" s="731"/>
      <c r="BV62" s="731"/>
      <c r="BW62" s="731"/>
      <c r="BX62" s="731"/>
      <c r="BY62" s="153"/>
      <c r="BZ62" s="731"/>
      <c r="CA62" s="731"/>
      <c r="CB62" s="731"/>
      <c r="CC62" s="731"/>
      <c r="CD62" s="616"/>
      <c r="CE62" s="731"/>
      <c r="CF62" s="731"/>
      <c r="CG62" s="731"/>
      <c r="CH62" s="731"/>
      <c r="CI62" s="210"/>
      <c r="CJ62" s="731"/>
      <c r="CK62" s="731"/>
      <c r="CL62" s="731"/>
      <c r="CM62" s="757"/>
      <c r="CN62" s="760"/>
      <c r="CO62" s="210"/>
      <c r="CP62" s="731"/>
      <c r="CQ62" s="731"/>
      <c r="CR62" s="731"/>
      <c r="CS62" s="757"/>
      <c r="CT62" s="760"/>
      <c r="CU62" s="210"/>
      <c r="CV62" s="731"/>
      <c r="CW62" s="731"/>
      <c r="CX62" s="731"/>
      <c r="CY62" s="757"/>
      <c r="CZ62" s="760"/>
      <c r="DA62" s="210"/>
      <c r="DB62" s="731"/>
      <c r="DC62" s="731"/>
      <c r="DD62" s="731"/>
      <c r="DE62" s="757"/>
      <c r="DF62" s="760"/>
      <c r="DG62" s="44"/>
      <c r="DH62" s="9" t="e">
        <f>SUMIFS('Краевые Сосновоборск'!$K$353:$K361,'Краевые Сосновоборск'!$C$349:$C457,$C62,'Краевые Сосновоборск'!$E$349:$E457,$E62,'Краевые Сосновоборск'!$F$349:$F457,$F62)</f>
        <v>#VALUE!</v>
      </c>
      <c r="DI62" s="28" t="e">
        <f>COUNTIFS('Краевые Сосновоборск'!$C$349:$C457,$C62,'Краевые Сосновоборск'!$E$349:$E457,$E62,'Краевые Сосновоборск'!$F$349:$F457,$F62,'Краевые Сосновоборск'!$K$353:$K361,"&gt;=0")</f>
        <v>#VALUE!</v>
      </c>
      <c r="DJ62" s="9" t="e">
        <f>COUNTIFS('Краевые Сосновоборск'!$C$349:$C457,$C62,'Краевые Сосновоборск'!$E$349:$E457,$E62,'Краевые Сосновоборск'!$F$349:$F457,$F62,'Краевые Сосновоборск'!$K$353:$K361,"лично")</f>
        <v>#VALUE!</v>
      </c>
    </row>
    <row r="63" spans="1:114" ht="12" customHeight="1" x14ac:dyDescent="0.3">
      <c r="A63" s="66">
        <f t="shared" si="10"/>
        <v>31</v>
      </c>
      <c r="B63" s="206" t="s">
        <v>34</v>
      </c>
      <c r="C63" s="204" t="s">
        <v>113</v>
      </c>
      <c r="D63" s="67"/>
      <c r="E63" s="205"/>
      <c r="F63" s="223" t="str">
        <f t="shared" si="0"/>
        <v>Сокращенное название</v>
      </c>
      <c r="G63" s="208" t="s">
        <v>251</v>
      </c>
      <c r="H63" s="317" t="str">
        <f t="shared" si="8"/>
        <v>Фамилия_1 Имя Отчество</v>
      </c>
      <c r="I63" s="209">
        <f t="shared" si="1"/>
        <v>0</v>
      </c>
      <c r="J63" s="732">
        <f t="shared" si="2"/>
        <v>0</v>
      </c>
      <c r="K63" s="209">
        <f t="shared" si="3"/>
        <v>0</v>
      </c>
      <c r="L63" s="732">
        <f t="shared" si="9"/>
        <v>0</v>
      </c>
      <c r="M63" s="736">
        <f t="shared" si="4"/>
        <v>0</v>
      </c>
      <c r="N63" s="159">
        <f t="shared" si="5"/>
        <v>0</v>
      </c>
      <c r="O63" s="734">
        <f t="shared" si="6"/>
        <v>0</v>
      </c>
      <c r="P63" s="159">
        <f t="shared" si="7"/>
        <v>0</v>
      </c>
      <c r="Q63" s="212"/>
      <c r="R63" s="731"/>
      <c r="S63" s="731"/>
      <c r="T63" s="731"/>
      <c r="U63" s="731"/>
      <c r="V63" s="211"/>
      <c r="W63" s="763"/>
      <c r="X63" s="763"/>
      <c r="Y63" s="763"/>
      <c r="Z63" s="738"/>
      <c r="AA63" s="210"/>
      <c r="AB63" s="731"/>
      <c r="AC63" s="731"/>
      <c r="AD63" s="731"/>
      <c r="AE63" s="731"/>
      <c r="AF63" s="211"/>
      <c r="AG63" s="731"/>
      <c r="AH63" s="731"/>
      <c r="AI63" s="731"/>
      <c r="AJ63" s="731"/>
      <c r="AK63" s="211"/>
      <c r="AL63" s="731"/>
      <c r="AM63" s="731"/>
      <c r="AN63" s="731"/>
      <c r="AO63" s="731"/>
      <c r="AP63" s="211"/>
      <c r="AQ63" s="731"/>
      <c r="AR63" s="731"/>
      <c r="AS63" s="731"/>
      <c r="AT63" s="731"/>
      <c r="AU63" s="211"/>
      <c r="AV63" s="731"/>
      <c r="AW63" s="731"/>
      <c r="AX63" s="731"/>
      <c r="AY63" s="731"/>
      <c r="AZ63" s="211"/>
      <c r="BA63" s="731"/>
      <c r="BB63" s="731"/>
      <c r="BC63" s="731"/>
      <c r="BD63" s="738"/>
      <c r="BE63" s="156"/>
      <c r="BF63" s="731"/>
      <c r="BG63" s="731"/>
      <c r="BH63" s="731"/>
      <c r="BI63" s="731"/>
      <c r="BJ63" s="50"/>
      <c r="BK63" s="731"/>
      <c r="BL63" s="731"/>
      <c r="BM63" s="731"/>
      <c r="BN63" s="731"/>
      <c r="BO63" s="210"/>
      <c r="BP63" s="731"/>
      <c r="BQ63" s="731"/>
      <c r="BR63" s="731"/>
      <c r="BS63" s="731"/>
      <c r="BT63" s="211"/>
      <c r="BU63" s="731"/>
      <c r="BV63" s="731"/>
      <c r="BW63" s="731"/>
      <c r="BX63" s="731"/>
      <c r="BY63" s="153"/>
      <c r="BZ63" s="731"/>
      <c r="CA63" s="731"/>
      <c r="CB63" s="731"/>
      <c r="CC63" s="731"/>
      <c r="CD63" s="616"/>
      <c r="CE63" s="731"/>
      <c r="CF63" s="731"/>
      <c r="CG63" s="731"/>
      <c r="CH63" s="731"/>
      <c r="CI63" s="210"/>
      <c r="CJ63" s="731"/>
      <c r="CK63" s="731"/>
      <c r="CL63" s="731"/>
      <c r="CM63" s="757"/>
      <c r="CN63" s="760"/>
      <c r="CO63" s="210"/>
      <c r="CP63" s="731"/>
      <c r="CQ63" s="731"/>
      <c r="CR63" s="731"/>
      <c r="CS63" s="757"/>
      <c r="CT63" s="760"/>
      <c r="CU63" s="210"/>
      <c r="CV63" s="731"/>
      <c r="CW63" s="731"/>
      <c r="CX63" s="731"/>
      <c r="CY63" s="757"/>
      <c r="CZ63" s="760"/>
      <c r="DA63" s="210"/>
      <c r="DB63" s="731"/>
      <c r="DC63" s="731"/>
      <c r="DD63" s="731"/>
      <c r="DE63" s="757"/>
      <c r="DF63" s="760"/>
      <c r="DG63" s="44"/>
      <c r="DH63" s="9" t="e">
        <f>SUMIFS('Краевые Сосновоборск'!$K$353:$K361,'Краевые Сосновоборск'!$C$349:$C458,$C63,'Краевые Сосновоборск'!$E$349:$E458,$E63,'Краевые Сосновоборск'!$F$349:$F458,$F63)</f>
        <v>#VALUE!</v>
      </c>
      <c r="DI63" s="28" t="e">
        <f>COUNTIFS('Краевые Сосновоборск'!$C$349:$C458,$C63,'Краевые Сосновоборск'!$E$349:$E458,$E63,'Краевые Сосновоборск'!$F$349:$F458,$F63,'Краевые Сосновоборск'!$K$353:$K361,"&gt;=0")</f>
        <v>#VALUE!</v>
      </c>
      <c r="DJ63" s="9" t="e">
        <f>COUNTIFS('Краевые Сосновоборск'!$C$349:$C458,$C63,'Краевые Сосновоборск'!$E$349:$E458,$E63,'Краевые Сосновоборск'!$F$349:$F458,$F63,'Краевые Сосновоборск'!$K$353:$K361,"лично")</f>
        <v>#VALUE!</v>
      </c>
    </row>
    <row r="64" spans="1:114" ht="12" customHeight="1" x14ac:dyDescent="0.3">
      <c r="A64" s="66">
        <f t="shared" si="10"/>
        <v>32</v>
      </c>
      <c r="B64" s="206" t="s">
        <v>34</v>
      </c>
      <c r="C64" s="204" t="s">
        <v>113</v>
      </c>
      <c r="D64" s="67"/>
      <c r="E64" s="205"/>
      <c r="F64" s="223" t="str">
        <f t="shared" si="0"/>
        <v>Сокращенное название</v>
      </c>
      <c r="G64" s="208" t="s">
        <v>251</v>
      </c>
      <c r="H64" s="317" t="str">
        <f t="shared" si="8"/>
        <v>Фамилия_1 Имя Отчество</v>
      </c>
      <c r="I64" s="209">
        <f t="shared" si="1"/>
        <v>0</v>
      </c>
      <c r="J64" s="732">
        <f t="shared" si="2"/>
        <v>0</v>
      </c>
      <c r="K64" s="209">
        <f t="shared" si="3"/>
        <v>0</v>
      </c>
      <c r="L64" s="732">
        <f t="shared" si="9"/>
        <v>0</v>
      </c>
      <c r="M64" s="736">
        <f t="shared" si="4"/>
        <v>0</v>
      </c>
      <c r="N64" s="159">
        <f t="shared" si="5"/>
        <v>0</v>
      </c>
      <c r="O64" s="734">
        <f t="shared" si="6"/>
        <v>0</v>
      </c>
      <c r="P64" s="159">
        <f t="shared" si="7"/>
        <v>0</v>
      </c>
      <c r="Q64" s="212"/>
      <c r="R64" s="731"/>
      <c r="S64" s="731"/>
      <c r="T64" s="731"/>
      <c r="U64" s="731"/>
      <c r="V64" s="211"/>
      <c r="W64" s="763"/>
      <c r="X64" s="763"/>
      <c r="Y64" s="763"/>
      <c r="Z64" s="738"/>
      <c r="AA64" s="210"/>
      <c r="AB64" s="731"/>
      <c r="AC64" s="731"/>
      <c r="AD64" s="731"/>
      <c r="AE64" s="731"/>
      <c r="AF64" s="211"/>
      <c r="AG64" s="731"/>
      <c r="AH64" s="731"/>
      <c r="AI64" s="731"/>
      <c r="AJ64" s="731"/>
      <c r="AK64" s="211"/>
      <c r="AL64" s="731"/>
      <c r="AM64" s="731"/>
      <c r="AN64" s="731"/>
      <c r="AO64" s="731"/>
      <c r="AP64" s="211"/>
      <c r="AQ64" s="731"/>
      <c r="AR64" s="731"/>
      <c r="AS64" s="731"/>
      <c r="AT64" s="731"/>
      <c r="AU64" s="211"/>
      <c r="AV64" s="731"/>
      <c r="AW64" s="731"/>
      <c r="AX64" s="731"/>
      <c r="AY64" s="731"/>
      <c r="AZ64" s="211"/>
      <c r="BA64" s="731"/>
      <c r="BB64" s="731"/>
      <c r="BC64" s="731"/>
      <c r="BD64" s="738"/>
      <c r="BE64" s="156"/>
      <c r="BF64" s="731"/>
      <c r="BG64" s="731"/>
      <c r="BH64" s="731"/>
      <c r="BI64" s="731"/>
      <c r="BJ64" s="50"/>
      <c r="BK64" s="731"/>
      <c r="BL64" s="731"/>
      <c r="BM64" s="731"/>
      <c r="BN64" s="731"/>
      <c r="BO64" s="210"/>
      <c r="BP64" s="731"/>
      <c r="BQ64" s="731"/>
      <c r="BR64" s="731"/>
      <c r="BS64" s="731"/>
      <c r="BT64" s="211"/>
      <c r="BU64" s="731"/>
      <c r="BV64" s="731"/>
      <c r="BW64" s="731"/>
      <c r="BX64" s="731"/>
      <c r="BY64" s="153"/>
      <c r="BZ64" s="731"/>
      <c r="CA64" s="731"/>
      <c r="CB64" s="731"/>
      <c r="CC64" s="731"/>
      <c r="CD64" s="616"/>
      <c r="CE64" s="731"/>
      <c r="CF64" s="731"/>
      <c r="CG64" s="731"/>
      <c r="CH64" s="731"/>
      <c r="CI64" s="210"/>
      <c r="CJ64" s="731"/>
      <c r="CK64" s="731"/>
      <c r="CL64" s="731"/>
      <c r="CM64" s="757"/>
      <c r="CN64" s="760"/>
      <c r="CO64" s="210"/>
      <c r="CP64" s="731"/>
      <c r="CQ64" s="731"/>
      <c r="CR64" s="731"/>
      <c r="CS64" s="757"/>
      <c r="CT64" s="760"/>
      <c r="CU64" s="210"/>
      <c r="CV64" s="731"/>
      <c r="CW64" s="731"/>
      <c r="CX64" s="731"/>
      <c r="CY64" s="757"/>
      <c r="CZ64" s="760"/>
      <c r="DA64" s="210"/>
      <c r="DB64" s="731"/>
      <c r="DC64" s="731"/>
      <c r="DD64" s="731"/>
      <c r="DE64" s="757"/>
      <c r="DF64" s="760"/>
      <c r="DG64" s="44"/>
      <c r="DH64" s="9" t="e">
        <f>SUMIFS('Краевые Сосновоборск'!$K$353:$K361,'Краевые Сосновоборск'!$C$349:$C459,$C64,'Краевые Сосновоборск'!$E$349:$E459,$E64,'Краевые Сосновоборск'!$F$349:$F459,$F64)</f>
        <v>#VALUE!</v>
      </c>
      <c r="DI64" s="28" t="e">
        <f>COUNTIFS('Краевые Сосновоборск'!$C$349:$C459,$C64,'Краевые Сосновоборск'!$E$349:$E459,$E64,'Краевые Сосновоборск'!$F$349:$F459,$F64,'Краевые Сосновоборск'!$K$353:$K361,"&gt;=0")</f>
        <v>#VALUE!</v>
      </c>
      <c r="DJ64" s="9" t="e">
        <f>COUNTIFS('Краевые Сосновоборск'!$C$349:$C459,$C64,'Краевые Сосновоборск'!$E$349:$E459,$E64,'Краевые Сосновоборск'!$F$349:$F459,$F64,'Краевые Сосновоборск'!$K$353:$K361,"лично")</f>
        <v>#VALUE!</v>
      </c>
    </row>
    <row r="65" spans="1:114" ht="12" customHeight="1" x14ac:dyDescent="0.3">
      <c r="A65" s="66">
        <f t="shared" si="10"/>
        <v>33</v>
      </c>
      <c r="B65" s="206" t="s">
        <v>34</v>
      </c>
      <c r="C65" s="204" t="s">
        <v>113</v>
      </c>
      <c r="D65" s="67"/>
      <c r="E65" s="205"/>
      <c r="F65" s="223" t="str">
        <f t="shared" si="0"/>
        <v>Сокращенное название</v>
      </c>
      <c r="G65" s="208" t="s">
        <v>251</v>
      </c>
      <c r="H65" s="317" t="str">
        <f t="shared" si="8"/>
        <v>Фамилия_1 Имя Отчество</v>
      </c>
      <c r="I65" s="209">
        <f t="shared" si="1"/>
        <v>0</v>
      </c>
      <c r="J65" s="732">
        <f t="shared" si="2"/>
        <v>0</v>
      </c>
      <c r="K65" s="209">
        <f t="shared" si="3"/>
        <v>0</v>
      </c>
      <c r="L65" s="732">
        <f t="shared" si="9"/>
        <v>0</v>
      </c>
      <c r="M65" s="736">
        <f t="shared" si="4"/>
        <v>0</v>
      </c>
      <c r="N65" s="159">
        <f t="shared" si="5"/>
        <v>0</v>
      </c>
      <c r="O65" s="734">
        <f t="shared" si="6"/>
        <v>0</v>
      </c>
      <c r="P65" s="159">
        <f t="shared" si="7"/>
        <v>0</v>
      </c>
      <c r="Q65" s="212"/>
      <c r="R65" s="731"/>
      <c r="S65" s="731"/>
      <c r="T65" s="731"/>
      <c r="U65" s="731"/>
      <c r="V65" s="211"/>
      <c r="W65" s="763"/>
      <c r="X65" s="763"/>
      <c r="Y65" s="763"/>
      <c r="Z65" s="738"/>
      <c r="AA65" s="210"/>
      <c r="AB65" s="731"/>
      <c r="AC65" s="731"/>
      <c r="AD65" s="731"/>
      <c r="AE65" s="731"/>
      <c r="AF65" s="211"/>
      <c r="AG65" s="731"/>
      <c r="AH65" s="731"/>
      <c r="AI65" s="731"/>
      <c r="AJ65" s="731"/>
      <c r="AK65" s="211"/>
      <c r="AL65" s="731"/>
      <c r="AM65" s="731"/>
      <c r="AN65" s="731"/>
      <c r="AO65" s="731"/>
      <c r="AP65" s="211"/>
      <c r="AQ65" s="731"/>
      <c r="AR65" s="731"/>
      <c r="AS65" s="731"/>
      <c r="AT65" s="731"/>
      <c r="AU65" s="211"/>
      <c r="AV65" s="731"/>
      <c r="AW65" s="731"/>
      <c r="AX65" s="731"/>
      <c r="AY65" s="731"/>
      <c r="AZ65" s="211"/>
      <c r="BA65" s="731"/>
      <c r="BB65" s="731"/>
      <c r="BC65" s="731"/>
      <c r="BD65" s="738"/>
      <c r="BE65" s="156"/>
      <c r="BF65" s="731"/>
      <c r="BG65" s="731"/>
      <c r="BH65" s="731"/>
      <c r="BI65" s="731"/>
      <c r="BJ65" s="50"/>
      <c r="BK65" s="731"/>
      <c r="BL65" s="731"/>
      <c r="BM65" s="731"/>
      <c r="BN65" s="731"/>
      <c r="BO65" s="210"/>
      <c r="BP65" s="731"/>
      <c r="BQ65" s="731"/>
      <c r="BR65" s="731"/>
      <c r="BS65" s="731"/>
      <c r="BT65" s="211"/>
      <c r="BU65" s="731"/>
      <c r="BV65" s="731"/>
      <c r="BW65" s="731"/>
      <c r="BX65" s="731"/>
      <c r="BY65" s="153"/>
      <c r="BZ65" s="731"/>
      <c r="CA65" s="731"/>
      <c r="CB65" s="731"/>
      <c r="CC65" s="731"/>
      <c r="CD65" s="616"/>
      <c r="CE65" s="731"/>
      <c r="CF65" s="731"/>
      <c r="CG65" s="731"/>
      <c r="CH65" s="731"/>
      <c r="CI65" s="210"/>
      <c r="CJ65" s="731"/>
      <c r="CK65" s="731"/>
      <c r="CL65" s="731"/>
      <c r="CM65" s="757"/>
      <c r="CN65" s="760"/>
      <c r="CO65" s="210"/>
      <c r="CP65" s="731"/>
      <c r="CQ65" s="731"/>
      <c r="CR65" s="731"/>
      <c r="CS65" s="757"/>
      <c r="CT65" s="760"/>
      <c r="CU65" s="210"/>
      <c r="CV65" s="731"/>
      <c r="CW65" s="731"/>
      <c r="CX65" s="731"/>
      <c r="CY65" s="757"/>
      <c r="CZ65" s="760"/>
      <c r="DA65" s="210"/>
      <c r="DB65" s="731"/>
      <c r="DC65" s="731"/>
      <c r="DD65" s="731"/>
      <c r="DE65" s="757"/>
      <c r="DF65" s="760"/>
      <c r="DG65" s="44"/>
      <c r="DH65" s="9" t="e">
        <f>SUMIFS('Краевые Сосновоборск'!$K$353:$K361,'Краевые Сосновоборск'!$C$349:$C459,$C65,'Краевые Сосновоборск'!$E$349:$E459,$E65,'Краевые Сосновоборск'!$F$349:$F459,$F65)</f>
        <v>#VALUE!</v>
      </c>
      <c r="DI65" s="28" t="e">
        <f>COUNTIFS('Краевые Сосновоборск'!$C$349:$C459,$C65,'Краевые Сосновоборск'!$E$349:$E459,$E65,'Краевые Сосновоборск'!$F$349:$F459,$F65,'Краевые Сосновоборск'!$K$353:$K361,"&gt;=0")</f>
        <v>#VALUE!</v>
      </c>
      <c r="DJ65" s="9" t="e">
        <f>COUNTIFS('Краевые Сосновоборск'!$C$349:$C459,$C65,'Краевые Сосновоборск'!$E$349:$E459,$E65,'Краевые Сосновоборск'!$F$349:$F459,$F65,'Краевые Сосновоборск'!$K$353:$K361,"лично")</f>
        <v>#VALUE!</v>
      </c>
    </row>
    <row r="66" spans="1:114" ht="12" customHeight="1" x14ac:dyDescent="0.3">
      <c r="A66" s="66">
        <f t="shared" si="10"/>
        <v>34</v>
      </c>
      <c r="B66" s="206" t="s">
        <v>31</v>
      </c>
      <c r="C66" s="204" t="s">
        <v>113</v>
      </c>
      <c r="D66" s="67"/>
      <c r="E66" s="205"/>
      <c r="F66" s="223" t="str">
        <f t="shared" si="0"/>
        <v>Сокращенное название</v>
      </c>
      <c r="G66" s="208" t="s">
        <v>251</v>
      </c>
      <c r="H66" s="317" t="str">
        <f t="shared" si="8"/>
        <v>Фамилия_1 Имя Отчество</v>
      </c>
      <c r="I66" s="209">
        <f t="shared" si="1"/>
        <v>0</v>
      </c>
      <c r="J66" s="732">
        <f t="shared" si="2"/>
        <v>0</v>
      </c>
      <c r="K66" s="209">
        <f t="shared" si="3"/>
        <v>0</v>
      </c>
      <c r="L66" s="732">
        <f t="shared" si="9"/>
        <v>0</v>
      </c>
      <c r="M66" s="736">
        <f t="shared" si="4"/>
        <v>0</v>
      </c>
      <c r="N66" s="159">
        <f t="shared" si="5"/>
        <v>0</v>
      </c>
      <c r="O66" s="734">
        <f t="shared" si="6"/>
        <v>0</v>
      </c>
      <c r="P66" s="159">
        <f t="shared" si="7"/>
        <v>0</v>
      </c>
      <c r="Q66" s="212"/>
      <c r="R66" s="731"/>
      <c r="S66" s="731"/>
      <c r="T66" s="731"/>
      <c r="U66" s="731"/>
      <c r="V66" s="211"/>
      <c r="W66" s="763"/>
      <c r="X66" s="763"/>
      <c r="Y66" s="763"/>
      <c r="Z66" s="738"/>
      <c r="AA66" s="210"/>
      <c r="AB66" s="731"/>
      <c r="AC66" s="731"/>
      <c r="AD66" s="731"/>
      <c r="AE66" s="731"/>
      <c r="AF66" s="211"/>
      <c r="AG66" s="731"/>
      <c r="AH66" s="731"/>
      <c r="AI66" s="731"/>
      <c r="AJ66" s="731"/>
      <c r="AK66" s="211"/>
      <c r="AL66" s="731"/>
      <c r="AM66" s="731"/>
      <c r="AN66" s="731"/>
      <c r="AO66" s="731"/>
      <c r="AP66" s="211"/>
      <c r="AQ66" s="731"/>
      <c r="AR66" s="731"/>
      <c r="AS66" s="731"/>
      <c r="AT66" s="731"/>
      <c r="AU66" s="211"/>
      <c r="AV66" s="731"/>
      <c r="AW66" s="731"/>
      <c r="AX66" s="731"/>
      <c r="AY66" s="731"/>
      <c r="AZ66" s="211"/>
      <c r="BA66" s="731"/>
      <c r="BB66" s="731"/>
      <c r="BC66" s="731"/>
      <c r="BD66" s="738"/>
      <c r="BE66" s="156"/>
      <c r="BF66" s="731"/>
      <c r="BG66" s="731"/>
      <c r="BH66" s="731"/>
      <c r="BI66" s="731"/>
      <c r="BJ66" s="50"/>
      <c r="BK66" s="731"/>
      <c r="BL66" s="731"/>
      <c r="BM66" s="731"/>
      <c r="BN66" s="731"/>
      <c r="BO66" s="210"/>
      <c r="BP66" s="731"/>
      <c r="BQ66" s="731"/>
      <c r="BR66" s="731"/>
      <c r="BS66" s="731"/>
      <c r="BT66" s="211"/>
      <c r="BU66" s="731"/>
      <c r="BV66" s="731"/>
      <c r="BW66" s="731"/>
      <c r="BX66" s="731"/>
      <c r="BY66" s="153"/>
      <c r="BZ66" s="731"/>
      <c r="CA66" s="731"/>
      <c r="CB66" s="731"/>
      <c r="CC66" s="731"/>
      <c r="CD66" s="616"/>
      <c r="CE66" s="731"/>
      <c r="CF66" s="731"/>
      <c r="CG66" s="731"/>
      <c r="CH66" s="731"/>
      <c r="CI66" s="210"/>
      <c r="CJ66" s="731"/>
      <c r="CK66" s="731"/>
      <c r="CL66" s="731"/>
      <c r="CM66" s="757"/>
      <c r="CN66" s="760"/>
      <c r="CO66" s="210"/>
      <c r="CP66" s="731"/>
      <c r="CQ66" s="731"/>
      <c r="CR66" s="731"/>
      <c r="CS66" s="757"/>
      <c r="CT66" s="760"/>
      <c r="CU66" s="210"/>
      <c r="CV66" s="731"/>
      <c r="CW66" s="731"/>
      <c r="CX66" s="731"/>
      <c r="CY66" s="757"/>
      <c r="CZ66" s="760"/>
      <c r="DA66" s="210"/>
      <c r="DB66" s="731"/>
      <c r="DC66" s="731"/>
      <c r="DD66" s="731"/>
      <c r="DE66" s="757"/>
      <c r="DF66" s="760"/>
      <c r="DG66" s="44"/>
      <c r="DH66" s="9" t="e">
        <f>SUMIFS('Краевые Сосновоборск'!$K$353:$K361,'Краевые Сосновоборск'!$C$349:$C459,$C66,'Краевые Сосновоборск'!$E$349:$E459,$E66,'Краевые Сосновоборск'!$F$349:$F459,$F66)</f>
        <v>#VALUE!</v>
      </c>
      <c r="DI66" s="28" t="e">
        <f>COUNTIFS('Краевые Сосновоборск'!$C$349:$C459,$C66,'Краевые Сосновоборск'!$E$349:$E459,$E66,'Краевые Сосновоборск'!$F$349:$F459,$F66,'Краевые Сосновоборск'!$K$353:$K361,"&gt;=0")</f>
        <v>#VALUE!</v>
      </c>
      <c r="DJ66" s="9" t="e">
        <f>COUNTIFS('Краевые Сосновоборск'!$C$349:$C459,$C66,'Краевые Сосновоборск'!$E$349:$E459,$E66,'Краевые Сосновоборск'!$F$349:$F459,$F66,'Краевые Сосновоборск'!$K$353:$K361,"лично")</f>
        <v>#VALUE!</v>
      </c>
    </row>
    <row r="67" spans="1:114" ht="12" customHeight="1" x14ac:dyDescent="0.3">
      <c r="A67" s="66">
        <f t="shared" si="10"/>
        <v>35</v>
      </c>
      <c r="B67" s="206" t="s">
        <v>32</v>
      </c>
      <c r="C67" s="204" t="s">
        <v>113</v>
      </c>
      <c r="D67" s="67"/>
      <c r="E67" s="205"/>
      <c r="F67" s="223" t="str">
        <f t="shared" si="0"/>
        <v>Сокращенное название</v>
      </c>
      <c r="G67" s="208" t="s">
        <v>251</v>
      </c>
      <c r="H67" s="317" t="str">
        <f t="shared" si="8"/>
        <v>Фамилия_1 Имя Отчество</v>
      </c>
      <c r="I67" s="209">
        <f t="shared" si="1"/>
        <v>0</v>
      </c>
      <c r="J67" s="732">
        <f t="shared" si="2"/>
        <v>0</v>
      </c>
      <c r="K67" s="209">
        <f t="shared" si="3"/>
        <v>0</v>
      </c>
      <c r="L67" s="732">
        <f t="shared" si="9"/>
        <v>0</v>
      </c>
      <c r="M67" s="736">
        <f t="shared" si="4"/>
        <v>0</v>
      </c>
      <c r="N67" s="159">
        <f t="shared" si="5"/>
        <v>0</v>
      </c>
      <c r="O67" s="734">
        <f t="shared" si="6"/>
        <v>0</v>
      </c>
      <c r="P67" s="159">
        <f t="shared" si="7"/>
        <v>0</v>
      </c>
      <c r="Q67" s="212"/>
      <c r="R67" s="731"/>
      <c r="S67" s="731"/>
      <c r="T67" s="731"/>
      <c r="U67" s="731"/>
      <c r="V67" s="211"/>
      <c r="W67" s="763"/>
      <c r="X67" s="763"/>
      <c r="Y67" s="763"/>
      <c r="Z67" s="738"/>
      <c r="AA67" s="210"/>
      <c r="AB67" s="731"/>
      <c r="AC67" s="731"/>
      <c r="AD67" s="731"/>
      <c r="AE67" s="731"/>
      <c r="AF67" s="211"/>
      <c r="AG67" s="731"/>
      <c r="AH67" s="731"/>
      <c r="AI67" s="731"/>
      <c r="AJ67" s="731"/>
      <c r="AK67" s="211"/>
      <c r="AL67" s="731"/>
      <c r="AM67" s="731"/>
      <c r="AN67" s="731"/>
      <c r="AO67" s="731"/>
      <c r="AP67" s="211"/>
      <c r="AQ67" s="731"/>
      <c r="AR67" s="731"/>
      <c r="AS67" s="731"/>
      <c r="AT67" s="731"/>
      <c r="AU67" s="211"/>
      <c r="AV67" s="731"/>
      <c r="AW67" s="731"/>
      <c r="AX67" s="731"/>
      <c r="AY67" s="731"/>
      <c r="AZ67" s="211"/>
      <c r="BA67" s="731"/>
      <c r="BB67" s="731"/>
      <c r="BC67" s="731"/>
      <c r="BD67" s="738"/>
      <c r="BE67" s="156"/>
      <c r="BF67" s="731"/>
      <c r="BG67" s="731"/>
      <c r="BH67" s="731"/>
      <c r="BI67" s="731"/>
      <c r="BJ67" s="50"/>
      <c r="BK67" s="731"/>
      <c r="BL67" s="731"/>
      <c r="BM67" s="731"/>
      <c r="BN67" s="731"/>
      <c r="BO67" s="210"/>
      <c r="BP67" s="731"/>
      <c r="BQ67" s="731"/>
      <c r="BR67" s="731"/>
      <c r="BS67" s="731"/>
      <c r="BT67" s="211"/>
      <c r="BU67" s="731"/>
      <c r="BV67" s="731"/>
      <c r="BW67" s="731"/>
      <c r="BX67" s="731"/>
      <c r="BY67" s="153"/>
      <c r="BZ67" s="731"/>
      <c r="CA67" s="731"/>
      <c r="CB67" s="731"/>
      <c r="CC67" s="731"/>
      <c r="CD67" s="616"/>
      <c r="CE67" s="731"/>
      <c r="CF67" s="731"/>
      <c r="CG67" s="731"/>
      <c r="CH67" s="731"/>
      <c r="CI67" s="210"/>
      <c r="CJ67" s="731"/>
      <c r="CK67" s="731"/>
      <c r="CL67" s="731"/>
      <c r="CM67" s="757"/>
      <c r="CN67" s="760"/>
      <c r="CO67" s="210"/>
      <c r="CP67" s="731"/>
      <c r="CQ67" s="731"/>
      <c r="CR67" s="731"/>
      <c r="CS67" s="757"/>
      <c r="CT67" s="760"/>
      <c r="CU67" s="210"/>
      <c r="CV67" s="731"/>
      <c r="CW67" s="731"/>
      <c r="CX67" s="731"/>
      <c r="CY67" s="757"/>
      <c r="CZ67" s="760"/>
      <c r="DA67" s="210"/>
      <c r="DB67" s="731"/>
      <c r="DC67" s="731"/>
      <c r="DD67" s="731"/>
      <c r="DE67" s="757"/>
      <c r="DF67" s="760"/>
      <c r="DG67" s="44"/>
      <c r="DH67" s="9" t="e">
        <f>SUMIFS('Краевые Сосновоборск'!$K$353:$K361,'Краевые Сосновоборск'!$C$349:$C460,$C67,'Краевые Сосновоборск'!$E$349:$E460,$E67,'Краевые Сосновоборск'!$F$349:$F460,$F67)</f>
        <v>#VALUE!</v>
      </c>
      <c r="DI67" s="28" t="e">
        <f>COUNTIFS('Краевые Сосновоборск'!$C$349:$C460,$C67,'Краевые Сосновоборск'!$E$349:$E460,$E67,'Краевые Сосновоборск'!$F$349:$F460,$F67,'Краевые Сосновоборск'!$K$353:$K361,"&gt;=0")</f>
        <v>#VALUE!</v>
      </c>
      <c r="DJ67" s="9" t="e">
        <f>COUNTIFS('Краевые Сосновоборск'!$C$349:$C460,$C67,'Краевые Сосновоборск'!$E$349:$E460,$E67,'Краевые Сосновоборск'!$F$349:$F460,$F67,'Краевые Сосновоборск'!$K$353:$K361,"лично")</f>
        <v>#VALUE!</v>
      </c>
    </row>
    <row r="68" spans="1:114" ht="12" customHeight="1" x14ac:dyDescent="0.3">
      <c r="A68" s="66">
        <f t="shared" si="10"/>
        <v>36</v>
      </c>
      <c r="B68" s="206" t="s">
        <v>33</v>
      </c>
      <c r="C68" s="204" t="s">
        <v>113</v>
      </c>
      <c r="D68" s="67"/>
      <c r="E68" s="205"/>
      <c r="F68" s="223" t="str">
        <f t="shared" si="0"/>
        <v>Сокращенное название</v>
      </c>
      <c r="G68" s="208" t="s">
        <v>251</v>
      </c>
      <c r="H68" s="317" t="str">
        <f t="shared" si="8"/>
        <v>Фамилия_1 Имя Отчество</v>
      </c>
      <c r="I68" s="209">
        <f t="shared" si="1"/>
        <v>0</v>
      </c>
      <c r="J68" s="732">
        <f t="shared" si="2"/>
        <v>0</v>
      </c>
      <c r="K68" s="209">
        <f t="shared" si="3"/>
        <v>0</v>
      </c>
      <c r="L68" s="732">
        <f t="shared" si="9"/>
        <v>0</v>
      </c>
      <c r="M68" s="736">
        <f t="shared" si="4"/>
        <v>0</v>
      </c>
      <c r="N68" s="159">
        <f t="shared" si="5"/>
        <v>0</v>
      </c>
      <c r="O68" s="734">
        <f t="shared" si="6"/>
        <v>0</v>
      </c>
      <c r="P68" s="159">
        <f t="shared" si="7"/>
        <v>0</v>
      </c>
      <c r="Q68" s="212"/>
      <c r="R68" s="731"/>
      <c r="S68" s="731"/>
      <c r="T68" s="731"/>
      <c r="U68" s="731"/>
      <c r="V68" s="211"/>
      <c r="W68" s="763"/>
      <c r="X68" s="763"/>
      <c r="Y68" s="763"/>
      <c r="Z68" s="738"/>
      <c r="AA68" s="210"/>
      <c r="AB68" s="731"/>
      <c r="AC68" s="731"/>
      <c r="AD68" s="731"/>
      <c r="AE68" s="731"/>
      <c r="AF68" s="211"/>
      <c r="AG68" s="731"/>
      <c r="AH68" s="731"/>
      <c r="AI68" s="731"/>
      <c r="AJ68" s="731"/>
      <c r="AK68" s="211"/>
      <c r="AL68" s="731"/>
      <c r="AM68" s="731"/>
      <c r="AN68" s="731"/>
      <c r="AO68" s="731"/>
      <c r="AP68" s="211"/>
      <c r="AQ68" s="731"/>
      <c r="AR68" s="731"/>
      <c r="AS68" s="731"/>
      <c r="AT68" s="731"/>
      <c r="AU68" s="211"/>
      <c r="AV68" s="731"/>
      <c r="AW68" s="731"/>
      <c r="AX68" s="731"/>
      <c r="AY68" s="731"/>
      <c r="AZ68" s="211"/>
      <c r="BA68" s="731"/>
      <c r="BB68" s="731"/>
      <c r="BC68" s="731"/>
      <c r="BD68" s="738"/>
      <c r="BE68" s="156"/>
      <c r="BF68" s="731"/>
      <c r="BG68" s="731"/>
      <c r="BH68" s="731"/>
      <c r="BI68" s="731"/>
      <c r="BJ68" s="50"/>
      <c r="BK68" s="731"/>
      <c r="BL68" s="731"/>
      <c r="BM68" s="731"/>
      <c r="BN68" s="731"/>
      <c r="BO68" s="210"/>
      <c r="BP68" s="731"/>
      <c r="BQ68" s="731"/>
      <c r="BR68" s="731"/>
      <c r="BS68" s="731"/>
      <c r="BT68" s="211"/>
      <c r="BU68" s="731"/>
      <c r="BV68" s="731"/>
      <c r="BW68" s="731"/>
      <c r="BX68" s="731"/>
      <c r="BY68" s="153"/>
      <c r="BZ68" s="731"/>
      <c r="CA68" s="731"/>
      <c r="CB68" s="731"/>
      <c r="CC68" s="731"/>
      <c r="CD68" s="616"/>
      <c r="CE68" s="731"/>
      <c r="CF68" s="731"/>
      <c r="CG68" s="731"/>
      <c r="CH68" s="731"/>
      <c r="CI68" s="210"/>
      <c r="CJ68" s="731"/>
      <c r="CK68" s="731"/>
      <c r="CL68" s="731"/>
      <c r="CM68" s="757"/>
      <c r="CN68" s="760"/>
      <c r="CO68" s="210"/>
      <c r="CP68" s="731"/>
      <c r="CQ68" s="731"/>
      <c r="CR68" s="731"/>
      <c r="CS68" s="757"/>
      <c r="CT68" s="760"/>
      <c r="CU68" s="210"/>
      <c r="CV68" s="731"/>
      <c r="CW68" s="731"/>
      <c r="CX68" s="731"/>
      <c r="CY68" s="757"/>
      <c r="CZ68" s="760"/>
      <c r="DA68" s="210"/>
      <c r="DB68" s="731"/>
      <c r="DC68" s="731"/>
      <c r="DD68" s="731"/>
      <c r="DE68" s="757"/>
      <c r="DF68" s="760"/>
      <c r="DG68" s="44"/>
      <c r="DH68" s="9" t="e">
        <f>SUMIFS('Краевые Сосновоборск'!$K$353:$K361,'Краевые Сосновоборск'!$C$349:$C461,$C68,'Краевые Сосновоборск'!$E$349:$E461,$E68,'Краевые Сосновоборск'!$F$349:$F461,$F68)</f>
        <v>#VALUE!</v>
      </c>
      <c r="DI68" s="28" t="e">
        <f>COUNTIFS('Краевые Сосновоборск'!$C$349:$C461,$C68,'Краевые Сосновоборск'!$E$349:$E461,$E68,'Краевые Сосновоборск'!$F$349:$F461,$F68,'Краевые Сосновоборск'!$K$353:$K361,"&gt;=0")</f>
        <v>#VALUE!</v>
      </c>
      <c r="DJ68" s="9" t="e">
        <f>COUNTIFS('Краевые Сосновоборск'!$C$349:$C461,$C68,'Краевые Сосновоборск'!$E$349:$E461,$E68,'Краевые Сосновоборск'!$F$349:$F461,$F68,'Краевые Сосновоборск'!$K$353:$K361,"лично")</f>
        <v>#VALUE!</v>
      </c>
    </row>
    <row r="69" spans="1:114" ht="12" customHeight="1" x14ac:dyDescent="0.3">
      <c r="A69" s="66">
        <f t="shared" si="10"/>
        <v>37</v>
      </c>
      <c r="B69" s="206" t="s">
        <v>34</v>
      </c>
      <c r="C69" s="204" t="s">
        <v>113</v>
      </c>
      <c r="D69" s="67"/>
      <c r="E69" s="205"/>
      <c r="F69" s="223" t="str">
        <f t="shared" si="0"/>
        <v>Сокращенное название</v>
      </c>
      <c r="G69" s="208" t="s">
        <v>251</v>
      </c>
      <c r="H69" s="317" t="str">
        <f t="shared" si="8"/>
        <v>Фамилия_1 Имя Отчество</v>
      </c>
      <c r="I69" s="209">
        <f t="shared" si="1"/>
        <v>0</v>
      </c>
      <c r="J69" s="732">
        <f t="shared" si="2"/>
        <v>0</v>
      </c>
      <c r="K69" s="209">
        <f t="shared" si="3"/>
        <v>0</v>
      </c>
      <c r="L69" s="732">
        <f t="shared" si="9"/>
        <v>0</v>
      </c>
      <c r="M69" s="736">
        <f t="shared" si="4"/>
        <v>0</v>
      </c>
      <c r="N69" s="159">
        <f t="shared" si="5"/>
        <v>0</v>
      </c>
      <c r="O69" s="734">
        <f t="shared" si="6"/>
        <v>0</v>
      </c>
      <c r="P69" s="159">
        <f t="shared" si="7"/>
        <v>0</v>
      </c>
      <c r="Q69" s="212"/>
      <c r="R69" s="731"/>
      <c r="S69" s="731"/>
      <c r="T69" s="731"/>
      <c r="U69" s="731"/>
      <c r="V69" s="211"/>
      <c r="W69" s="763"/>
      <c r="X69" s="763"/>
      <c r="Y69" s="763"/>
      <c r="Z69" s="738"/>
      <c r="AA69" s="210"/>
      <c r="AB69" s="731"/>
      <c r="AC69" s="731"/>
      <c r="AD69" s="731"/>
      <c r="AE69" s="731"/>
      <c r="AF69" s="211"/>
      <c r="AG69" s="731"/>
      <c r="AH69" s="731"/>
      <c r="AI69" s="731"/>
      <c r="AJ69" s="731"/>
      <c r="AK69" s="211"/>
      <c r="AL69" s="731"/>
      <c r="AM69" s="731"/>
      <c r="AN69" s="731"/>
      <c r="AO69" s="731"/>
      <c r="AP69" s="211"/>
      <c r="AQ69" s="731"/>
      <c r="AR69" s="731"/>
      <c r="AS69" s="731"/>
      <c r="AT69" s="731"/>
      <c r="AU69" s="211"/>
      <c r="AV69" s="731"/>
      <c r="AW69" s="731"/>
      <c r="AX69" s="731"/>
      <c r="AY69" s="731"/>
      <c r="AZ69" s="211"/>
      <c r="BA69" s="731"/>
      <c r="BB69" s="731"/>
      <c r="BC69" s="731"/>
      <c r="BD69" s="738"/>
      <c r="BE69" s="156"/>
      <c r="BF69" s="731"/>
      <c r="BG69" s="731"/>
      <c r="BH69" s="731"/>
      <c r="BI69" s="731"/>
      <c r="BJ69" s="50"/>
      <c r="BK69" s="731"/>
      <c r="BL69" s="731"/>
      <c r="BM69" s="731"/>
      <c r="BN69" s="731"/>
      <c r="BO69" s="210"/>
      <c r="BP69" s="731"/>
      <c r="BQ69" s="731"/>
      <c r="BR69" s="731"/>
      <c r="BS69" s="731"/>
      <c r="BT69" s="211"/>
      <c r="BU69" s="731"/>
      <c r="BV69" s="731"/>
      <c r="BW69" s="731"/>
      <c r="BX69" s="731"/>
      <c r="BY69" s="153"/>
      <c r="BZ69" s="731"/>
      <c r="CA69" s="731"/>
      <c r="CB69" s="731"/>
      <c r="CC69" s="731"/>
      <c r="CD69" s="616"/>
      <c r="CE69" s="731"/>
      <c r="CF69" s="731"/>
      <c r="CG69" s="731"/>
      <c r="CH69" s="731"/>
      <c r="CI69" s="210"/>
      <c r="CJ69" s="731"/>
      <c r="CK69" s="731"/>
      <c r="CL69" s="731"/>
      <c r="CM69" s="757"/>
      <c r="CN69" s="760"/>
      <c r="CO69" s="210"/>
      <c r="CP69" s="731"/>
      <c r="CQ69" s="731"/>
      <c r="CR69" s="731"/>
      <c r="CS69" s="757"/>
      <c r="CT69" s="760"/>
      <c r="CU69" s="210"/>
      <c r="CV69" s="731"/>
      <c r="CW69" s="731"/>
      <c r="CX69" s="731"/>
      <c r="CY69" s="757"/>
      <c r="CZ69" s="760"/>
      <c r="DA69" s="210"/>
      <c r="DB69" s="731"/>
      <c r="DC69" s="731"/>
      <c r="DD69" s="731"/>
      <c r="DE69" s="757"/>
      <c r="DF69" s="760"/>
      <c r="DG69" s="44"/>
      <c r="DH69" s="9" t="e">
        <f>SUMIFS('Краевые Сосновоборск'!$K$353:$K361,'Краевые Сосновоборск'!$C$349:$C462,$C69,'Краевые Сосновоборск'!$E$349:$E462,$E69,'Краевые Сосновоборск'!$F$349:$F462,$F69)</f>
        <v>#VALUE!</v>
      </c>
      <c r="DI69" s="28" t="e">
        <f>COUNTIFS('Краевые Сосновоборск'!$C$349:$C462,$C69,'Краевые Сосновоборск'!$E$349:$E462,$E69,'Краевые Сосновоборск'!$F$349:$F462,$F69,'Краевые Сосновоборск'!$K$353:$K361,"&gt;=0")</f>
        <v>#VALUE!</v>
      </c>
      <c r="DJ69" s="9" t="e">
        <f>COUNTIFS('Краевые Сосновоборск'!$C$349:$C462,$C69,'Краевые Сосновоборск'!$E$349:$E462,$E69,'Краевые Сосновоборск'!$F$349:$F462,$F69,'Краевые Сосновоборск'!$K$353:$K361,"лично")</f>
        <v>#VALUE!</v>
      </c>
    </row>
    <row r="70" spans="1:114" ht="12" customHeight="1" x14ac:dyDescent="0.3">
      <c r="A70" s="66">
        <f t="shared" si="10"/>
        <v>38</v>
      </c>
      <c r="B70" s="206" t="s">
        <v>34</v>
      </c>
      <c r="C70" s="204" t="s">
        <v>113</v>
      </c>
      <c r="D70" s="67"/>
      <c r="E70" s="205"/>
      <c r="F70" s="223" t="str">
        <f t="shared" si="0"/>
        <v>Сокращенное название</v>
      </c>
      <c r="G70" s="208" t="s">
        <v>251</v>
      </c>
      <c r="H70" s="317" t="str">
        <f t="shared" si="8"/>
        <v>Фамилия_1 Имя Отчество</v>
      </c>
      <c r="I70" s="209">
        <f t="shared" si="1"/>
        <v>0</v>
      </c>
      <c r="J70" s="732">
        <f t="shared" si="2"/>
        <v>0</v>
      </c>
      <c r="K70" s="209">
        <f t="shared" si="3"/>
        <v>0</v>
      </c>
      <c r="L70" s="732">
        <f t="shared" si="9"/>
        <v>0</v>
      </c>
      <c r="M70" s="736">
        <f t="shared" si="4"/>
        <v>0</v>
      </c>
      <c r="N70" s="159">
        <f t="shared" si="5"/>
        <v>0</v>
      </c>
      <c r="O70" s="734">
        <f t="shared" si="6"/>
        <v>0</v>
      </c>
      <c r="P70" s="159">
        <f t="shared" si="7"/>
        <v>0</v>
      </c>
      <c r="Q70" s="212"/>
      <c r="R70" s="731"/>
      <c r="S70" s="731"/>
      <c r="T70" s="731"/>
      <c r="U70" s="731"/>
      <c r="V70" s="211"/>
      <c r="W70" s="763"/>
      <c r="X70" s="763"/>
      <c r="Y70" s="763"/>
      <c r="Z70" s="738"/>
      <c r="AA70" s="210"/>
      <c r="AB70" s="731"/>
      <c r="AC70" s="731"/>
      <c r="AD70" s="731"/>
      <c r="AE70" s="731"/>
      <c r="AF70" s="211"/>
      <c r="AG70" s="731"/>
      <c r="AH70" s="731"/>
      <c r="AI70" s="731"/>
      <c r="AJ70" s="731"/>
      <c r="AK70" s="211"/>
      <c r="AL70" s="731"/>
      <c r="AM70" s="731"/>
      <c r="AN70" s="731"/>
      <c r="AO70" s="731"/>
      <c r="AP70" s="211"/>
      <c r="AQ70" s="731"/>
      <c r="AR70" s="731"/>
      <c r="AS70" s="731"/>
      <c r="AT70" s="731"/>
      <c r="AU70" s="211"/>
      <c r="AV70" s="731"/>
      <c r="AW70" s="731"/>
      <c r="AX70" s="731"/>
      <c r="AY70" s="731"/>
      <c r="AZ70" s="211"/>
      <c r="BA70" s="731"/>
      <c r="BB70" s="731"/>
      <c r="BC70" s="731"/>
      <c r="BD70" s="738"/>
      <c r="BE70" s="156"/>
      <c r="BF70" s="731"/>
      <c r="BG70" s="731"/>
      <c r="BH70" s="731"/>
      <c r="BI70" s="731"/>
      <c r="BJ70" s="50"/>
      <c r="BK70" s="731"/>
      <c r="BL70" s="731"/>
      <c r="BM70" s="731"/>
      <c r="BN70" s="731"/>
      <c r="BO70" s="210"/>
      <c r="BP70" s="731"/>
      <c r="BQ70" s="731"/>
      <c r="BR70" s="731"/>
      <c r="BS70" s="731"/>
      <c r="BT70" s="211"/>
      <c r="BU70" s="731"/>
      <c r="BV70" s="731"/>
      <c r="BW70" s="731"/>
      <c r="BX70" s="731"/>
      <c r="BY70" s="153"/>
      <c r="BZ70" s="731"/>
      <c r="CA70" s="731"/>
      <c r="CB70" s="731"/>
      <c r="CC70" s="731"/>
      <c r="CD70" s="616"/>
      <c r="CE70" s="731"/>
      <c r="CF70" s="731"/>
      <c r="CG70" s="731"/>
      <c r="CH70" s="731"/>
      <c r="CI70" s="210"/>
      <c r="CJ70" s="731"/>
      <c r="CK70" s="731"/>
      <c r="CL70" s="731"/>
      <c r="CM70" s="757"/>
      <c r="CN70" s="760"/>
      <c r="CO70" s="210"/>
      <c r="CP70" s="731"/>
      <c r="CQ70" s="731"/>
      <c r="CR70" s="731"/>
      <c r="CS70" s="757"/>
      <c r="CT70" s="760"/>
      <c r="CU70" s="210"/>
      <c r="CV70" s="731"/>
      <c r="CW70" s="731"/>
      <c r="CX70" s="731"/>
      <c r="CY70" s="757"/>
      <c r="CZ70" s="760"/>
      <c r="DA70" s="210"/>
      <c r="DB70" s="731"/>
      <c r="DC70" s="731"/>
      <c r="DD70" s="731"/>
      <c r="DE70" s="757"/>
      <c r="DF70" s="760"/>
      <c r="DG70" s="44"/>
      <c r="DH70" s="9" t="e">
        <f>SUMIFS('Краевые Сосновоборск'!$K$353:$K361,'Краевые Сосновоборск'!$C$349:$C463,$C70,'Краевые Сосновоборск'!$E$349:$E463,$E70,'Краевые Сосновоборск'!$F$349:$F463,$F70)</f>
        <v>#VALUE!</v>
      </c>
      <c r="DI70" s="28" t="e">
        <f>COUNTIFS('Краевые Сосновоборск'!$C$349:$C463,$C70,'Краевые Сосновоборск'!$E$349:$E463,$E70,'Краевые Сосновоборск'!$F$349:$F463,$F70,'Краевые Сосновоборск'!$K$353:$K361,"&gt;=0")</f>
        <v>#VALUE!</v>
      </c>
      <c r="DJ70" s="9" t="e">
        <f>COUNTIFS('Краевые Сосновоборск'!$C$349:$C463,$C70,'Краевые Сосновоборск'!$E$349:$E463,$E70,'Краевые Сосновоборск'!$F$349:$F463,$F70,'Краевые Сосновоборск'!$K$353:$K361,"лично")</f>
        <v>#VALUE!</v>
      </c>
    </row>
    <row r="71" spans="1:114" ht="12" customHeight="1" x14ac:dyDescent="0.3">
      <c r="A71" s="66">
        <f t="shared" si="10"/>
        <v>39</v>
      </c>
      <c r="B71" s="206" t="s">
        <v>34</v>
      </c>
      <c r="C71" s="204" t="s">
        <v>113</v>
      </c>
      <c r="D71" s="67"/>
      <c r="E71" s="205"/>
      <c r="F71" s="223" t="str">
        <f t="shared" si="0"/>
        <v>Сокращенное название</v>
      </c>
      <c r="G71" s="208" t="s">
        <v>251</v>
      </c>
      <c r="H71" s="317" t="str">
        <f t="shared" si="8"/>
        <v>Фамилия_1 Имя Отчество</v>
      </c>
      <c r="I71" s="209">
        <f t="shared" si="1"/>
        <v>0</v>
      </c>
      <c r="J71" s="732">
        <f t="shared" si="2"/>
        <v>0</v>
      </c>
      <c r="K71" s="209">
        <f t="shared" si="3"/>
        <v>0</v>
      </c>
      <c r="L71" s="732">
        <f t="shared" si="9"/>
        <v>0</v>
      </c>
      <c r="M71" s="736">
        <f t="shared" si="4"/>
        <v>0</v>
      </c>
      <c r="N71" s="159">
        <f t="shared" si="5"/>
        <v>0</v>
      </c>
      <c r="O71" s="734">
        <f t="shared" si="6"/>
        <v>0</v>
      </c>
      <c r="P71" s="159">
        <f t="shared" si="7"/>
        <v>0</v>
      </c>
      <c r="Q71" s="212"/>
      <c r="R71" s="731"/>
      <c r="S71" s="731"/>
      <c r="T71" s="731"/>
      <c r="U71" s="731"/>
      <c r="V71" s="211"/>
      <c r="W71" s="763"/>
      <c r="X71" s="763"/>
      <c r="Y71" s="763"/>
      <c r="Z71" s="738"/>
      <c r="AA71" s="210"/>
      <c r="AB71" s="731"/>
      <c r="AC71" s="731"/>
      <c r="AD71" s="731"/>
      <c r="AE71" s="731"/>
      <c r="AF71" s="211"/>
      <c r="AG71" s="731"/>
      <c r="AH71" s="731"/>
      <c r="AI71" s="731"/>
      <c r="AJ71" s="731"/>
      <c r="AK71" s="211"/>
      <c r="AL71" s="731"/>
      <c r="AM71" s="731"/>
      <c r="AN71" s="731"/>
      <c r="AO71" s="731"/>
      <c r="AP71" s="211"/>
      <c r="AQ71" s="731"/>
      <c r="AR71" s="731"/>
      <c r="AS71" s="731"/>
      <c r="AT71" s="731"/>
      <c r="AU71" s="211"/>
      <c r="AV71" s="731"/>
      <c r="AW71" s="731"/>
      <c r="AX71" s="731"/>
      <c r="AY71" s="731"/>
      <c r="AZ71" s="211"/>
      <c r="BA71" s="731"/>
      <c r="BB71" s="731"/>
      <c r="BC71" s="731"/>
      <c r="BD71" s="738"/>
      <c r="BE71" s="156"/>
      <c r="BF71" s="731"/>
      <c r="BG71" s="731"/>
      <c r="BH71" s="731"/>
      <c r="BI71" s="731"/>
      <c r="BJ71" s="50"/>
      <c r="BK71" s="731"/>
      <c r="BL71" s="731"/>
      <c r="BM71" s="731"/>
      <c r="BN71" s="731"/>
      <c r="BO71" s="210"/>
      <c r="BP71" s="731"/>
      <c r="BQ71" s="731"/>
      <c r="BR71" s="731"/>
      <c r="BS71" s="731"/>
      <c r="BT71" s="211"/>
      <c r="BU71" s="731"/>
      <c r="BV71" s="731"/>
      <c r="BW71" s="731"/>
      <c r="BX71" s="731"/>
      <c r="BY71" s="153"/>
      <c r="BZ71" s="731"/>
      <c r="CA71" s="731"/>
      <c r="CB71" s="731"/>
      <c r="CC71" s="731"/>
      <c r="CD71" s="616"/>
      <c r="CE71" s="731"/>
      <c r="CF71" s="731"/>
      <c r="CG71" s="731"/>
      <c r="CH71" s="731"/>
      <c r="CI71" s="210"/>
      <c r="CJ71" s="731"/>
      <c r="CK71" s="731"/>
      <c r="CL71" s="731"/>
      <c r="CM71" s="757"/>
      <c r="CN71" s="760"/>
      <c r="CO71" s="210"/>
      <c r="CP71" s="731"/>
      <c r="CQ71" s="731"/>
      <c r="CR71" s="731"/>
      <c r="CS71" s="757"/>
      <c r="CT71" s="760"/>
      <c r="CU71" s="210"/>
      <c r="CV71" s="731"/>
      <c r="CW71" s="731"/>
      <c r="CX71" s="731"/>
      <c r="CY71" s="757"/>
      <c r="CZ71" s="760"/>
      <c r="DA71" s="210"/>
      <c r="DB71" s="731"/>
      <c r="DC71" s="731"/>
      <c r="DD71" s="731"/>
      <c r="DE71" s="757"/>
      <c r="DF71" s="760"/>
      <c r="DG71" s="44"/>
      <c r="DH71" s="9" t="e">
        <f>SUMIFS('Краевые Сосновоборск'!$K$353:$K361,'Краевые Сосновоборск'!$C$349:$C464,$C71,'Краевые Сосновоборск'!$E$349:$E464,$E71,'Краевые Сосновоборск'!$F$349:$F464,$F71)</f>
        <v>#VALUE!</v>
      </c>
      <c r="DI71" s="28" t="e">
        <f>COUNTIFS('Краевые Сосновоборск'!$C$349:$C464,$C71,'Краевые Сосновоборск'!$E$349:$E464,$E71,'Краевые Сосновоборск'!$F$349:$F464,$F71,'Краевые Сосновоборск'!$K$353:$K361,"&gt;=0")</f>
        <v>#VALUE!</v>
      </c>
      <c r="DJ71" s="9" t="e">
        <f>COUNTIFS('Краевые Сосновоборск'!$C$349:$C464,$C71,'Краевые Сосновоборск'!$E$349:$E464,$E71,'Краевые Сосновоборск'!$F$349:$F464,$F71,'Краевые Сосновоборск'!$K$353:$K361,"лично")</f>
        <v>#VALUE!</v>
      </c>
    </row>
    <row r="72" spans="1:114" ht="12" customHeight="1" x14ac:dyDescent="0.3">
      <c r="A72" s="66">
        <f t="shared" si="10"/>
        <v>40</v>
      </c>
      <c r="B72" s="206" t="s">
        <v>34</v>
      </c>
      <c r="C72" s="204" t="s">
        <v>113</v>
      </c>
      <c r="D72" s="67"/>
      <c r="E72" s="205"/>
      <c r="F72" s="223" t="str">
        <f t="shared" si="0"/>
        <v>Сокращенное название</v>
      </c>
      <c r="G72" s="208" t="s">
        <v>251</v>
      </c>
      <c r="H72" s="317" t="str">
        <f t="shared" si="8"/>
        <v>Фамилия_1 Имя Отчество</v>
      </c>
      <c r="I72" s="209">
        <f t="shared" si="1"/>
        <v>0</v>
      </c>
      <c r="J72" s="732">
        <f t="shared" si="2"/>
        <v>0</v>
      </c>
      <c r="K72" s="209">
        <f t="shared" si="3"/>
        <v>0</v>
      </c>
      <c r="L72" s="732">
        <f t="shared" si="9"/>
        <v>0</v>
      </c>
      <c r="M72" s="736">
        <f t="shared" si="4"/>
        <v>0</v>
      </c>
      <c r="N72" s="159">
        <f t="shared" si="5"/>
        <v>0</v>
      </c>
      <c r="O72" s="734">
        <f t="shared" si="6"/>
        <v>0</v>
      </c>
      <c r="P72" s="159">
        <f t="shared" si="7"/>
        <v>0</v>
      </c>
      <c r="Q72" s="212"/>
      <c r="R72" s="731"/>
      <c r="S72" s="731"/>
      <c r="T72" s="731"/>
      <c r="U72" s="731"/>
      <c r="V72" s="211"/>
      <c r="W72" s="763"/>
      <c r="X72" s="763"/>
      <c r="Y72" s="763"/>
      <c r="Z72" s="738"/>
      <c r="AA72" s="210"/>
      <c r="AB72" s="731"/>
      <c r="AC72" s="731"/>
      <c r="AD72" s="731"/>
      <c r="AE72" s="731"/>
      <c r="AF72" s="211"/>
      <c r="AG72" s="731"/>
      <c r="AH72" s="731"/>
      <c r="AI72" s="731"/>
      <c r="AJ72" s="731"/>
      <c r="AK72" s="211"/>
      <c r="AL72" s="731"/>
      <c r="AM72" s="731"/>
      <c r="AN72" s="731"/>
      <c r="AO72" s="731"/>
      <c r="AP72" s="211"/>
      <c r="AQ72" s="731"/>
      <c r="AR72" s="731"/>
      <c r="AS72" s="731"/>
      <c r="AT72" s="731"/>
      <c r="AU72" s="211"/>
      <c r="AV72" s="731"/>
      <c r="AW72" s="731"/>
      <c r="AX72" s="731"/>
      <c r="AY72" s="731"/>
      <c r="AZ72" s="211"/>
      <c r="BA72" s="731"/>
      <c r="BB72" s="731"/>
      <c r="BC72" s="731"/>
      <c r="BD72" s="738"/>
      <c r="BE72" s="156"/>
      <c r="BF72" s="731"/>
      <c r="BG72" s="731"/>
      <c r="BH72" s="731"/>
      <c r="BI72" s="731"/>
      <c r="BJ72" s="50"/>
      <c r="BK72" s="731"/>
      <c r="BL72" s="731"/>
      <c r="BM72" s="731"/>
      <c r="BN72" s="731"/>
      <c r="BO72" s="210"/>
      <c r="BP72" s="731"/>
      <c r="BQ72" s="731"/>
      <c r="BR72" s="731"/>
      <c r="BS72" s="731"/>
      <c r="BT72" s="211"/>
      <c r="BU72" s="731"/>
      <c r="BV72" s="731"/>
      <c r="BW72" s="731"/>
      <c r="BX72" s="731"/>
      <c r="BY72" s="153"/>
      <c r="BZ72" s="731"/>
      <c r="CA72" s="731"/>
      <c r="CB72" s="731"/>
      <c r="CC72" s="731"/>
      <c r="CD72" s="616"/>
      <c r="CE72" s="731"/>
      <c r="CF72" s="731"/>
      <c r="CG72" s="731"/>
      <c r="CH72" s="731"/>
      <c r="CI72" s="210"/>
      <c r="CJ72" s="731"/>
      <c r="CK72" s="731"/>
      <c r="CL72" s="731"/>
      <c r="CM72" s="757"/>
      <c r="CN72" s="760"/>
      <c r="CO72" s="210"/>
      <c r="CP72" s="731"/>
      <c r="CQ72" s="731"/>
      <c r="CR72" s="731"/>
      <c r="CS72" s="757"/>
      <c r="CT72" s="760"/>
      <c r="CU72" s="210"/>
      <c r="CV72" s="731"/>
      <c r="CW72" s="731"/>
      <c r="CX72" s="731"/>
      <c r="CY72" s="757"/>
      <c r="CZ72" s="760"/>
      <c r="DA72" s="210"/>
      <c r="DB72" s="731"/>
      <c r="DC72" s="731"/>
      <c r="DD72" s="731"/>
      <c r="DE72" s="757"/>
      <c r="DF72" s="760"/>
      <c r="DG72" s="44"/>
      <c r="DH72" s="9" t="e">
        <f>SUMIFS('Краевые Сосновоборск'!$K$353:$K361,'Краевые Сосновоборск'!$C$349:$C465,$C72,'Краевые Сосновоборск'!$E$349:$E465,$E72,'Краевые Сосновоборск'!$F$349:$F465,$F72)</f>
        <v>#VALUE!</v>
      </c>
      <c r="DI72" s="28" t="e">
        <f>COUNTIFS('Краевые Сосновоборск'!$C$349:$C465,$C72,'Краевые Сосновоборск'!$E$349:$E465,$E72,'Краевые Сосновоборск'!$F$349:$F465,$F72,'Краевые Сосновоборск'!$K$353:$K361,"&gt;=0")</f>
        <v>#VALUE!</v>
      </c>
      <c r="DJ72" s="9" t="e">
        <f>COUNTIFS('Краевые Сосновоборск'!$C$349:$C465,$C72,'Краевые Сосновоборск'!$E$349:$E465,$E72,'Краевые Сосновоборск'!$F$349:$F465,$F72,'Краевые Сосновоборск'!$K$353:$K361,"лично")</f>
        <v>#VALUE!</v>
      </c>
    </row>
    <row r="73" spans="1:114" ht="12" customHeight="1" x14ac:dyDescent="0.3">
      <c r="A73" s="66">
        <f t="shared" si="10"/>
        <v>41</v>
      </c>
      <c r="B73" s="206" t="s">
        <v>34</v>
      </c>
      <c r="C73" s="204" t="s">
        <v>113</v>
      </c>
      <c r="D73" s="67"/>
      <c r="E73" s="205"/>
      <c r="F73" s="223" t="str">
        <f t="shared" si="0"/>
        <v>Сокращенное название</v>
      </c>
      <c r="G73" s="208" t="s">
        <v>251</v>
      </c>
      <c r="H73" s="317" t="str">
        <f t="shared" si="8"/>
        <v>Фамилия_1 Имя Отчество</v>
      </c>
      <c r="I73" s="209">
        <f t="shared" si="1"/>
        <v>0</v>
      </c>
      <c r="J73" s="732">
        <f t="shared" si="2"/>
        <v>0</v>
      </c>
      <c r="K73" s="209">
        <f t="shared" si="3"/>
        <v>0</v>
      </c>
      <c r="L73" s="732">
        <f t="shared" si="9"/>
        <v>0</v>
      </c>
      <c r="M73" s="736">
        <f t="shared" si="4"/>
        <v>0</v>
      </c>
      <c r="N73" s="159">
        <f t="shared" si="5"/>
        <v>0</v>
      </c>
      <c r="O73" s="734">
        <f t="shared" si="6"/>
        <v>0</v>
      </c>
      <c r="P73" s="159">
        <f t="shared" si="7"/>
        <v>0</v>
      </c>
      <c r="Q73" s="212"/>
      <c r="R73" s="731"/>
      <c r="S73" s="731"/>
      <c r="T73" s="731"/>
      <c r="U73" s="731"/>
      <c r="V73" s="211"/>
      <c r="W73" s="763"/>
      <c r="X73" s="763"/>
      <c r="Y73" s="763"/>
      <c r="Z73" s="738"/>
      <c r="AA73" s="210"/>
      <c r="AB73" s="731"/>
      <c r="AC73" s="731"/>
      <c r="AD73" s="731"/>
      <c r="AE73" s="731"/>
      <c r="AF73" s="211"/>
      <c r="AG73" s="731"/>
      <c r="AH73" s="731"/>
      <c r="AI73" s="731"/>
      <c r="AJ73" s="731"/>
      <c r="AK73" s="211"/>
      <c r="AL73" s="731"/>
      <c r="AM73" s="731"/>
      <c r="AN73" s="731"/>
      <c r="AO73" s="731"/>
      <c r="AP73" s="211"/>
      <c r="AQ73" s="731"/>
      <c r="AR73" s="731"/>
      <c r="AS73" s="731"/>
      <c r="AT73" s="731"/>
      <c r="AU73" s="211"/>
      <c r="AV73" s="731"/>
      <c r="AW73" s="731"/>
      <c r="AX73" s="731"/>
      <c r="AY73" s="731"/>
      <c r="AZ73" s="211"/>
      <c r="BA73" s="731"/>
      <c r="BB73" s="731"/>
      <c r="BC73" s="731"/>
      <c r="BD73" s="738"/>
      <c r="BE73" s="156"/>
      <c r="BF73" s="731"/>
      <c r="BG73" s="731"/>
      <c r="BH73" s="731"/>
      <c r="BI73" s="731"/>
      <c r="BJ73" s="50"/>
      <c r="BK73" s="731"/>
      <c r="BL73" s="731"/>
      <c r="BM73" s="731"/>
      <c r="BN73" s="731"/>
      <c r="BO73" s="210"/>
      <c r="BP73" s="731"/>
      <c r="BQ73" s="731"/>
      <c r="BR73" s="731"/>
      <c r="BS73" s="731"/>
      <c r="BT73" s="211"/>
      <c r="BU73" s="731"/>
      <c r="BV73" s="731"/>
      <c r="BW73" s="731"/>
      <c r="BX73" s="731"/>
      <c r="BY73" s="153"/>
      <c r="BZ73" s="731"/>
      <c r="CA73" s="731"/>
      <c r="CB73" s="731"/>
      <c r="CC73" s="731"/>
      <c r="CD73" s="616"/>
      <c r="CE73" s="731"/>
      <c r="CF73" s="731"/>
      <c r="CG73" s="731"/>
      <c r="CH73" s="731"/>
      <c r="CI73" s="210"/>
      <c r="CJ73" s="731"/>
      <c r="CK73" s="731"/>
      <c r="CL73" s="731"/>
      <c r="CM73" s="757"/>
      <c r="CN73" s="760"/>
      <c r="CO73" s="210"/>
      <c r="CP73" s="731"/>
      <c r="CQ73" s="731"/>
      <c r="CR73" s="731"/>
      <c r="CS73" s="757"/>
      <c r="CT73" s="760"/>
      <c r="CU73" s="210"/>
      <c r="CV73" s="731"/>
      <c r="CW73" s="731"/>
      <c r="CX73" s="731"/>
      <c r="CY73" s="757"/>
      <c r="CZ73" s="760"/>
      <c r="DA73" s="210"/>
      <c r="DB73" s="731"/>
      <c r="DC73" s="731"/>
      <c r="DD73" s="731"/>
      <c r="DE73" s="757"/>
      <c r="DF73" s="760"/>
      <c r="DG73" s="44"/>
      <c r="DH73" s="9" t="e">
        <f>SUMIFS('Краевые Сосновоборск'!$K$353:$K361,'Краевые Сосновоборск'!$C$349:$C465,$C73,'Краевые Сосновоборск'!$E$349:$E465,$E73,'Краевые Сосновоборск'!$F$349:$F465,$F73)</f>
        <v>#VALUE!</v>
      </c>
      <c r="DI73" s="28" t="e">
        <f>COUNTIFS('Краевые Сосновоборск'!$C$349:$C465,$C73,'Краевые Сосновоборск'!$E$349:$E465,$E73,'Краевые Сосновоборск'!$F$349:$F465,$F73,'Краевые Сосновоборск'!$K$353:$K361,"&gt;=0")</f>
        <v>#VALUE!</v>
      </c>
      <c r="DJ73" s="9" t="e">
        <f>COUNTIFS('Краевые Сосновоборск'!$C$349:$C465,$C73,'Краевые Сосновоборск'!$E$349:$E465,$E73,'Краевые Сосновоборск'!$F$349:$F465,$F73,'Краевые Сосновоборск'!$K$353:$K361,"лично")</f>
        <v>#VALUE!</v>
      </c>
    </row>
    <row r="74" spans="1:114" ht="12" customHeight="1" x14ac:dyDescent="0.3">
      <c r="A74" s="66">
        <f t="shared" si="10"/>
        <v>42</v>
      </c>
      <c r="B74" s="206" t="s">
        <v>34</v>
      </c>
      <c r="C74" s="204" t="s">
        <v>113</v>
      </c>
      <c r="D74" s="67"/>
      <c r="E74" s="205"/>
      <c r="F74" s="223" t="str">
        <f t="shared" si="0"/>
        <v>Сокращенное название</v>
      </c>
      <c r="G74" s="208" t="s">
        <v>251</v>
      </c>
      <c r="H74" s="317" t="str">
        <f t="shared" si="8"/>
        <v>Фамилия_1 Имя Отчество</v>
      </c>
      <c r="I74" s="209">
        <f t="shared" si="1"/>
        <v>0</v>
      </c>
      <c r="J74" s="732">
        <f t="shared" si="2"/>
        <v>0</v>
      </c>
      <c r="K74" s="209">
        <f t="shared" si="3"/>
        <v>0</v>
      </c>
      <c r="L74" s="732">
        <f t="shared" si="9"/>
        <v>0</v>
      </c>
      <c r="M74" s="736">
        <f t="shared" si="4"/>
        <v>0</v>
      </c>
      <c r="N74" s="159">
        <f t="shared" si="5"/>
        <v>0</v>
      </c>
      <c r="O74" s="734">
        <f t="shared" si="6"/>
        <v>0</v>
      </c>
      <c r="P74" s="159">
        <f t="shared" si="7"/>
        <v>0</v>
      </c>
      <c r="Q74" s="212"/>
      <c r="R74" s="731"/>
      <c r="S74" s="731"/>
      <c r="T74" s="731"/>
      <c r="U74" s="731"/>
      <c r="V74" s="211"/>
      <c r="W74" s="763"/>
      <c r="X74" s="763"/>
      <c r="Y74" s="763"/>
      <c r="Z74" s="738"/>
      <c r="AA74" s="210"/>
      <c r="AB74" s="731"/>
      <c r="AC74" s="731"/>
      <c r="AD74" s="731"/>
      <c r="AE74" s="731"/>
      <c r="AF74" s="211"/>
      <c r="AG74" s="731"/>
      <c r="AH74" s="731"/>
      <c r="AI74" s="731"/>
      <c r="AJ74" s="731"/>
      <c r="AK74" s="211"/>
      <c r="AL74" s="731"/>
      <c r="AM74" s="731"/>
      <c r="AN74" s="731"/>
      <c r="AO74" s="731"/>
      <c r="AP74" s="211"/>
      <c r="AQ74" s="731"/>
      <c r="AR74" s="731"/>
      <c r="AS74" s="731"/>
      <c r="AT74" s="731"/>
      <c r="AU74" s="211"/>
      <c r="AV74" s="731"/>
      <c r="AW74" s="731"/>
      <c r="AX74" s="731"/>
      <c r="AY74" s="731"/>
      <c r="AZ74" s="211"/>
      <c r="BA74" s="731"/>
      <c r="BB74" s="731"/>
      <c r="BC74" s="731"/>
      <c r="BD74" s="738"/>
      <c r="BE74" s="156"/>
      <c r="BF74" s="731"/>
      <c r="BG74" s="731"/>
      <c r="BH74" s="731"/>
      <c r="BI74" s="731"/>
      <c r="BJ74" s="50"/>
      <c r="BK74" s="731"/>
      <c r="BL74" s="731"/>
      <c r="BM74" s="731"/>
      <c r="BN74" s="731"/>
      <c r="BO74" s="210"/>
      <c r="BP74" s="731"/>
      <c r="BQ74" s="731"/>
      <c r="BR74" s="731"/>
      <c r="BS74" s="731"/>
      <c r="BT74" s="211"/>
      <c r="BU74" s="731"/>
      <c r="BV74" s="731"/>
      <c r="BW74" s="731"/>
      <c r="BX74" s="731"/>
      <c r="BY74" s="153"/>
      <c r="BZ74" s="731"/>
      <c r="CA74" s="731"/>
      <c r="CB74" s="731"/>
      <c r="CC74" s="731"/>
      <c r="CD74" s="616"/>
      <c r="CE74" s="731"/>
      <c r="CF74" s="731"/>
      <c r="CG74" s="731"/>
      <c r="CH74" s="731"/>
      <c r="CI74" s="210"/>
      <c r="CJ74" s="731"/>
      <c r="CK74" s="731"/>
      <c r="CL74" s="731"/>
      <c r="CM74" s="757"/>
      <c r="CN74" s="760"/>
      <c r="CO74" s="210"/>
      <c r="CP74" s="731"/>
      <c r="CQ74" s="731"/>
      <c r="CR74" s="731"/>
      <c r="CS74" s="757"/>
      <c r="CT74" s="760"/>
      <c r="CU74" s="210"/>
      <c r="CV74" s="731"/>
      <c r="CW74" s="731"/>
      <c r="CX74" s="731"/>
      <c r="CY74" s="757"/>
      <c r="CZ74" s="760"/>
      <c r="DA74" s="210"/>
      <c r="DB74" s="731"/>
      <c r="DC74" s="731"/>
      <c r="DD74" s="731"/>
      <c r="DE74" s="757"/>
      <c r="DF74" s="760"/>
      <c r="DG74" s="44"/>
      <c r="DH74" s="9" t="e">
        <f>SUMIFS('Краевые Сосновоборск'!$K$353:$K361,'Краевые Сосновоборск'!$C$349:$C465,$C74,'Краевые Сосновоборск'!$E$349:$E465,$E74,'Краевые Сосновоборск'!$F$349:$F465,$F74)</f>
        <v>#VALUE!</v>
      </c>
      <c r="DI74" s="28" t="e">
        <f>COUNTIFS('Краевые Сосновоборск'!$C$349:$C465,$C74,'Краевые Сосновоборск'!$E$349:$E465,$E74,'Краевые Сосновоборск'!$F$349:$F465,$F74,'Краевые Сосновоборск'!$K$353:$K361,"&gt;=0")</f>
        <v>#VALUE!</v>
      </c>
      <c r="DJ74" s="9" t="e">
        <f>COUNTIFS('Краевые Сосновоборск'!$C$349:$C465,$C74,'Краевые Сосновоборск'!$E$349:$E465,$E74,'Краевые Сосновоборск'!$F$349:$F465,$F74,'Краевые Сосновоборск'!$K$353:$K361,"лично")</f>
        <v>#VALUE!</v>
      </c>
    </row>
    <row r="75" spans="1:114" ht="12" customHeight="1" x14ac:dyDescent="0.3">
      <c r="A75" s="66">
        <f t="shared" si="10"/>
        <v>43</v>
      </c>
      <c r="B75" s="206" t="s">
        <v>34</v>
      </c>
      <c r="C75" s="204" t="s">
        <v>113</v>
      </c>
      <c r="D75" s="67"/>
      <c r="E75" s="205"/>
      <c r="F75" s="223" t="str">
        <f t="shared" si="0"/>
        <v>Сокращенное название</v>
      </c>
      <c r="G75" s="208" t="s">
        <v>251</v>
      </c>
      <c r="H75" s="317" t="str">
        <f t="shared" si="8"/>
        <v>Фамилия_1 Имя Отчество</v>
      </c>
      <c r="I75" s="209">
        <f t="shared" si="1"/>
        <v>0</v>
      </c>
      <c r="J75" s="732">
        <f t="shared" si="2"/>
        <v>0</v>
      </c>
      <c r="K75" s="209">
        <f t="shared" si="3"/>
        <v>0</v>
      </c>
      <c r="L75" s="732">
        <f t="shared" si="9"/>
        <v>0</v>
      </c>
      <c r="M75" s="736">
        <f t="shared" si="4"/>
        <v>0</v>
      </c>
      <c r="N75" s="159">
        <f t="shared" si="5"/>
        <v>0</v>
      </c>
      <c r="O75" s="734">
        <f t="shared" si="6"/>
        <v>0</v>
      </c>
      <c r="P75" s="159">
        <f t="shared" si="7"/>
        <v>0</v>
      </c>
      <c r="Q75" s="212"/>
      <c r="R75" s="731"/>
      <c r="S75" s="731"/>
      <c r="T75" s="731"/>
      <c r="U75" s="731"/>
      <c r="V75" s="211"/>
      <c r="W75" s="763"/>
      <c r="X75" s="763"/>
      <c r="Y75" s="763"/>
      <c r="Z75" s="738"/>
      <c r="AA75" s="210"/>
      <c r="AB75" s="731"/>
      <c r="AC75" s="731"/>
      <c r="AD75" s="731"/>
      <c r="AE75" s="731"/>
      <c r="AF75" s="211"/>
      <c r="AG75" s="731"/>
      <c r="AH75" s="731"/>
      <c r="AI75" s="731"/>
      <c r="AJ75" s="731"/>
      <c r="AK75" s="211"/>
      <c r="AL75" s="731"/>
      <c r="AM75" s="731"/>
      <c r="AN75" s="731"/>
      <c r="AO75" s="731"/>
      <c r="AP75" s="211"/>
      <c r="AQ75" s="731"/>
      <c r="AR75" s="731"/>
      <c r="AS75" s="731"/>
      <c r="AT75" s="731"/>
      <c r="AU75" s="211"/>
      <c r="AV75" s="731"/>
      <c r="AW75" s="731"/>
      <c r="AX75" s="731"/>
      <c r="AY75" s="731"/>
      <c r="AZ75" s="211"/>
      <c r="BA75" s="731"/>
      <c r="BB75" s="731"/>
      <c r="BC75" s="731"/>
      <c r="BD75" s="738"/>
      <c r="BE75" s="156"/>
      <c r="BF75" s="731"/>
      <c r="BG75" s="731"/>
      <c r="BH75" s="731"/>
      <c r="BI75" s="731"/>
      <c r="BJ75" s="50"/>
      <c r="BK75" s="731"/>
      <c r="BL75" s="731"/>
      <c r="BM75" s="731"/>
      <c r="BN75" s="731"/>
      <c r="BO75" s="210"/>
      <c r="BP75" s="731"/>
      <c r="BQ75" s="731"/>
      <c r="BR75" s="731"/>
      <c r="BS75" s="731"/>
      <c r="BT75" s="211"/>
      <c r="BU75" s="731"/>
      <c r="BV75" s="731"/>
      <c r="BW75" s="731"/>
      <c r="BX75" s="731"/>
      <c r="BY75" s="153"/>
      <c r="BZ75" s="731"/>
      <c r="CA75" s="731"/>
      <c r="CB75" s="731"/>
      <c r="CC75" s="731"/>
      <c r="CD75" s="616"/>
      <c r="CE75" s="731"/>
      <c r="CF75" s="731"/>
      <c r="CG75" s="731"/>
      <c r="CH75" s="731"/>
      <c r="CI75" s="210"/>
      <c r="CJ75" s="731"/>
      <c r="CK75" s="731"/>
      <c r="CL75" s="731"/>
      <c r="CM75" s="757"/>
      <c r="CN75" s="760"/>
      <c r="CO75" s="210"/>
      <c r="CP75" s="731"/>
      <c r="CQ75" s="731"/>
      <c r="CR75" s="731"/>
      <c r="CS75" s="757"/>
      <c r="CT75" s="760"/>
      <c r="CU75" s="210"/>
      <c r="CV75" s="731"/>
      <c r="CW75" s="731"/>
      <c r="CX75" s="731"/>
      <c r="CY75" s="757"/>
      <c r="CZ75" s="760"/>
      <c r="DA75" s="210"/>
      <c r="DB75" s="731"/>
      <c r="DC75" s="731"/>
      <c r="DD75" s="731"/>
      <c r="DE75" s="757"/>
      <c r="DF75" s="760"/>
      <c r="DG75" s="44"/>
      <c r="DH75" s="9" t="e">
        <f>SUMIFS('Краевые Сосновоборск'!$K$353:$K361,'Краевые Сосновоборск'!$C$349:$C466,$C75,'Краевые Сосновоборск'!$E$349:$E466,$E75,'Краевые Сосновоборск'!$F$349:$F466,$F75)</f>
        <v>#VALUE!</v>
      </c>
      <c r="DI75" s="28" t="e">
        <f>COUNTIFS('Краевые Сосновоборск'!$C$349:$C466,$C75,'Краевые Сосновоборск'!$E$349:$E466,$E75,'Краевые Сосновоборск'!$F$349:$F466,$F75,'Краевые Сосновоборск'!$K$353:$K361,"&gt;=0")</f>
        <v>#VALUE!</v>
      </c>
      <c r="DJ75" s="9" t="e">
        <f>COUNTIFS('Краевые Сосновоборск'!$C$349:$C466,$C75,'Краевые Сосновоборск'!$E$349:$E466,$E75,'Краевые Сосновоборск'!$F$349:$F466,$F75,'Краевые Сосновоборск'!$K$353:$K361,"лично")</f>
        <v>#VALUE!</v>
      </c>
    </row>
    <row r="76" spans="1:114" ht="12" customHeight="1" x14ac:dyDescent="0.3">
      <c r="A76" s="66">
        <f t="shared" si="10"/>
        <v>44</v>
      </c>
      <c r="B76" s="206" t="s">
        <v>34</v>
      </c>
      <c r="C76" s="204" t="s">
        <v>113</v>
      </c>
      <c r="D76" s="67"/>
      <c r="E76" s="205"/>
      <c r="F76" s="223" t="str">
        <f t="shared" si="0"/>
        <v>Сокращенное название</v>
      </c>
      <c r="G76" s="208" t="s">
        <v>251</v>
      </c>
      <c r="H76" s="317" t="str">
        <f t="shared" si="8"/>
        <v>Фамилия_1 Имя Отчество</v>
      </c>
      <c r="I76" s="209">
        <f t="shared" si="1"/>
        <v>0</v>
      </c>
      <c r="J76" s="732">
        <f t="shared" si="2"/>
        <v>0</v>
      </c>
      <c r="K76" s="209">
        <f t="shared" si="3"/>
        <v>0</v>
      </c>
      <c r="L76" s="732">
        <f t="shared" si="9"/>
        <v>0</v>
      </c>
      <c r="M76" s="736">
        <f t="shared" si="4"/>
        <v>0</v>
      </c>
      <c r="N76" s="159">
        <f t="shared" si="5"/>
        <v>0</v>
      </c>
      <c r="O76" s="734">
        <f t="shared" si="6"/>
        <v>0</v>
      </c>
      <c r="P76" s="159">
        <f t="shared" si="7"/>
        <v>0</v>
      </c>
      <c r="Q76" s="212"/>
      <c r="R76" s="731"/>
      <c r="S76" s="731"/>
      <c r="T76" s="731"/>
      <c r="U76" s="731"/>
      <c r="V76" s="211"/>
      <c r="W76" s="763"/>
      <c r="X76" s="763"/>
      <c r="Y76" s="763"/>
      <c r="Z76" s="738"/>
      <c r="AA76" s="210"/>
      <c r="AB76" s="731"/>
      <c r="AC76" s="731"/>
      <c r="AD76" s="731"/>
      <c r="AE76" s="731"/>
      <c r="AF76" s="211"/>
      <c r="AG76" s="731"/>
      <c r="AH76" s="731"/>
      <c r="AI76" s="731"/>
      <c r="AJ76" s="731"/>
      <c r="AK76" s="211"/>
      <c r="AL76" s="731"/>
      <c r="AM76" s="731"/>
      <c r="AN76" s="731"/>
      <c r="AO76" s="731"/>
      <c r="AP76" s="211"/>
      <c r="AQ76" s="731"/>
      <c r="AR76" s="731"/>
      <c r="AS76" s="731"/>
      <c r="AT76" s="731"/>
      <c r="AU76" s="211"/>
      <c r="AV76" s="731"/>
      <c r="AW76" s="731"/>
      <c r="AX76" s="731"/>
      <c r="AY76" s="731"/>
      <c r="AZ76" s="211"/>
      <c r="BA76" s="731"/>
      <c r="BB76" s="731"/>
      <c r="BC76" s="731"/>
      <c r="BD76" s="738"/>
      <c r="BE76" s="156"/>
      <c r="BF76" s="731"/>
      <c r="BG76" s="731"/>
      <c r="BH76" s="731"/>
      <c r="BI76" s="731"/>
      <c r="BJ76" s="50"/>
      <c r="BK76" s="731"/>
      <c r="BL76" s="731"/>
      <c r="BM76" s="731"/>
      <c r="BN76" s="731"/>
      <c r="BO76" s="210"/>
      <c r="BP76" s="731"/>
      <c r="BQ76" s="731"/>
      <c r="BR76" s="731"/>
      <c r="BS76" s="731"/>
      <c r="BT76" s="211"/>
      <c r="BU76" s="731"/>
      <c r="BV76" s="731"/>
      <c r="BW76" s="731"/>
      <c r="BX76" s="731"/>
      <c r="BY76" s="153"/>
      <c r="BZ76" s="731"/>
      <c r="CA76" s="731"/>
      <c r="CB76" s="731"/>
      <c r="CC76" s="731"/>
      <c r="CD76" s="616"/>
      <c r="CE76" s="731"/>
      <c r="CF76" s="731"/>
      <c r="CG76" s="731"/>
      <c r="CH76" s="731"/>
      <c r="CI76" s="210"/>
      <c r="CJ76" s="731"/>
      <c r="CK76" s="731"/>
      <c r="CL76" s="731"/>
      <c r="CM76" s="757"/>
      <c r="CN76" s="760"/>
      <c r="CO76" s="210"/>
      <c r="CP76" s="731"/>
      <c r="CQ76" s="731"/>
      <c r="CR76" s="731"/>
      <c r="CS76" s="757"/>
      <c r="CT76" s="760"/>
      <c r="CU76" s="210"/>
      <c r="CV76" s="731"/>
      <c r="CW76" s="731"/>
      <c r="CX76" s="731"/>
      <c r="CY76" s="757"/>
      <c r="CZ76" s="760"/>
      <c r="DA76" s="210"/>
      <c r="DB76" s="731"/>
      <c r="DC76" s="731"/>
      <c r="DD76" s="731"/>
      <c r="DE76" s="757"/>
      <c r="DF76" s="760"/>
      <c r="DG76" s="44"/>
      <c r="DH76" s="9" t="e">
        <f>SUMIFS('Краевые Сосновоборск'!$K$353:$K361,'Краевые Сосновоборск'!$C$349:$C467,$C76,'Краевые Сосновоборск'!$E$349:$E467,$E76,'Краевые Сосновоборск'!$F$349:$F467,$F76)</f>
        <v>#VALUE!</v>
      </c>
      <c r="DI76" s="28" t="e">
        <f>COUNTIFS('Краевые Сосновоборск'!$C$349:$C467,$C76,'Краевые Сосновоборск'!$E$349:$E467,$E76,'Краевые Сосновоборск'!$F$349:$F467,$F76,'Краевые Сосновоборск'!$K$353:$K361,"&gt;=0")</f>
        <v>#VALUE!</v>
      </c>
      <c r="DJ76" s="9" t="e">
        <f>COUNTIFS('Краевые Сосновоборск'!$C$349:$C467,$C76,'Краевые Сосновоборск'!$E$349:$E467,$E76,'Краевые Сосновоборск'!$F$349:$F467,$F76,'Краевые Сосновоборск'!$K$353:$K361,"лично")</f>
        <v>#VALUE!</v>
      </c>
    </row>
    <row r="77" spans="1:114" ht="12" customHeight="1" x14ac:dyDescent="0.3">
      <c r="A77" s="66">
        <f t="shared" si="10"/>
        <v>45</v>
      </c>
      <c r="B77" s="51" t="s">
        <v>20</v>
      </c>
      <c r="C77" s="204" t="s">
        <v>113</v>
      </c>
      <c r="D77" s="67"/>
      <c r="E77" s="205"/>
      <c r="F77" s="223" t="str">
        <f t="shared" si="0"/>
        <v>Сокращенное название</v>
      </c>
      <c r="G77" s="208" t="s">
        <v>251</v>
      </c>
      <c r="H77" s="317" t="str">
        <f t="shared" si="8"/>
        <v>Фамилия_1 Имя Отчество</v>
      </c>
      <c r="I77" s="209">
        <f t="shared" si="1"/>
        <v>0</v>
      </c>
      <c r="J77" s="732">
        <f t="shared" si="2"/>
        <v>0</v>
      </c>
      <c r="K77" s="209">
        <f t="shared" si="3"/>
        <v>0</v>
      </c>
      <c r="L77" s="732">
        <f t="shared" si="9"/>
        <v>0</v>
      </c>
      <c r="M77" s="736">
        <f t="shared" si="4"/>
        <v>0</v>
      </c>
      <c r="N77" s="159">
        <f t="shared" si="5"/>
        <v>0</v>
      </c>
      <c r="O77" s="734">
        <f t="shared" si="6"/>
        <v>0</v>
      </c>
      <c r="P77" s="159">
        <f t="shared" si="7"/>
        <v>0</v>
      </c>
      <c r="Q77" s="212"/>
      <c r="R77" s="731"/>
      <c r="S77" s="731"/>
      <c r="T77" s="731"/>
      <c r="U77" s="731"/>
      <c r="V77" s="211"/>
      <c r="W77" s="763"/>
      <c r="X77" s="763"/>
      <c r="Y77" s="763"/>
      <c r="Z77" s="738"/>
      <c r="AA77" s="210"/>
      <c r="AB77" s="731"/>
      <c r="AC77" s="731"/>
      <c r="AD77" s="731"/>
      <c r="AE77" s="731"/>
      <c r="AF77" s="211"/>
      <c r="AG77" s="731"/>
      <c r="AH77" s="731"/>
      <c r="AI77" s="731"/>
      <c r="AJ77" s="731"/>
      <c r="AK77" s="211"/>
      <c r="AL77" s="731"/>
      <c r="AM77" s="731"/>
      <c r="AN77" s="731"/>
      <c r="AO77" s="731"/>
      <c r="AP77" s="211"/>
      <c r="AQ77" s="731"/>
      <c r="AR77" s="731"/>
      <c r="AS77" s="731"/>
      <c r="AT77" s="731"/>
      <c r="AU77" s="211"/>
      <c r="AV77" s="731"/>
      <c r="AW77" s="731"/>
      <c r="AX77" s="731"/>
      <c r="AY77" s="731"/>
      <c r="AZ77" s="211"/>
      <c r="BA77" s="731"/>
      <c r="BB77" s="731"/>
      <c r="BC77" s="731"/>
      <c r="BD77" s="738"/>
      <c r="BE77" s="156"/>
      <c r="BF77" s="731"/>
      <c r="BG77" s="731"/>
      <c r="BH77" s="731"/>
      <c r="BI77" s="731"/>
      <c r="BJ77" s="50"/>
      <c r="BK77" s="731"/>
      <c r="BL77" s="731"/>
      <c r="BM77" s="731"/>
      <c r="BN77" s="731"/>
      <c r="BO77" s="210"/>
      <c r="BP77" s="731"/>
      <c r="BQ77" s="731"/>
      <c r="BR77" s="731"/>
      <c r="BS77" s="731"/>
      <c r="BT77" s="211"/>
      <c r="BU77" s="731"/>
      <c r="BV77" s="731"/>
      <c r="BW77" s="731"/>
      <c r="BX77" s="731"/>
      <c r="BY77" s="153"/>
      <c r="BZ77" s="731"/>
      <c r="CA77" s="731"/>
      <c r="CB77" s="731"/>
      <c r="CC77" s="731"/>
      <c r="CD77" s="616"/>
      <c r="CE77" s="731"/>
      <c r="CF77" s="731"/>
      <c r="CG77" s="731"/>
      <c r="CH77" s="731"/>
      <c r="CI77" s="210"/>
      <c r="CJ77" s="731"/>
      <c r="CK77" s="731"/>
      <c r="CL77" s="731"/>
      <c r="CM77" s="757"/>
      <c r="CN77" s="760"/>
      <c r="CO77" s="210"/>
      <c r="CP77" s="731"/>
      <c r="CQ77" s="731"/>
      <c r="CR77" s="731"/>
      <c r="CS77" s="757"/>
      <c r="CT77" s="760"/>
      <c r="CU77" s="210"/>
      <c r="CV77" s="731"/>
      <c r="CW77" s="731"/>
      <c r="CX77" s="731"/>
      <c r="CY77" s="757"/>
      <c r="CZ77" s="760"/>
      <c r="DA77" s="210"/>
      <c r="DB77" s="731"/>
      <c r="DC77" s="731"/>
      <c r="DD77" s="731"/>
      <c r="DE77" s="757"/>
      <c r="DF77" s="760"/>
      <c r="DG77" s="44"/>
      <c r="DH77" s="9" t="e">
        <f>SUMIFS('Краевые Сосновоборск'!$K$353:$K361,'Краевые Сосновоборск'!$C$349:$C468,$C77,'Краевые Сосновоборск'!$E$349:$E468,$E77,'Краевые Сосновоборск'!$F$349:$F468,$F77)</f>
        <v>#VALUE!</v>
      </c>
      <c r="DI77" s="28" t="e">
        <f>COUNTIFS('Краевые Сосновоборск'!$C$349:$C468,$C77,'Краевые Сосновоборск'!$E$349:$E468,$E77,'Краевые Сосновоборск'!$F$349:$F468,$F77,'Краевые Сосновоборск'!$K$353:$K361,"&gt;=0")</f>
        <v>#VALUE!</v>
      </c>
      <c r="DJ77" s="9" t="e">
        <f>COUNTIFS('Краевые Сосновоборск'!$C$349:$C468,$C77,'Краевые Сосновоборск'!$E$349:$E468,$E77,'Краевые Сосновоборск'!$F$349:$F468,$F77,'Краевые Сосновоборск'!$K$353:$K361,"лично")</f>
        <v>#VALUE!</v>
      </c>
    </row>
    <row r="78" spans="1:114" ht="12" customHeight="1" x14ac:dyDescent="0.3">
      <c r="A78" s="66">
        <f t="shared" si="10"/>
        <v>46</v>
      </c>
      <c r="B78" s="51" t="s">
        <v>21</v>
      </c>
      <c r="C78" s="204" t="s">
        <v>113</v>
      </c>
      <c r="D78" s="67"/>
      <c r="E78" s="205"/>
      <c r="F78" s="223" t="str">
        <f t="shared" si="0"/>
        <v>Сокращенное название</v>
      </c>
      <c r="G78" s="208" t="s">
        <v>251</v>
      </c>
      <c r="H78" s="317" t="str">
        <f t="shared" si="8"/>
        <v>Фамилия_1 Имя Отчество</v>
      </c>
      <c r="I78" s="209">
        <f t="shared" si="1"/>
        <v>0</v>
      </c>
      <c r="J78" s="732">
        <f t="shared" si="2"/>
        <v>0</v>
      </c>
      <c r="K78" s="209">
        <f t="shared" si="3"/>
        <v>0</v>
      </c>
      <c r="L78" s="732">
        <f t="shared" si="9"/>
        <v>0</v>
      </c>
      <c r="M78" s="736">
        <f t="shared" si="4"/>
        <v>0</v>
      </c>
      <c r="N78" s="159">
        <f t="shared" si="5"/>
        <v>0</v>
      </c>
      <c r="O78" s="734">
        <f t="shared" si="6"/>
        <v>0</v>
      </c>
      <c r="P78" s="159">
        <f t="shared" si="7"/>
        <v>0</v>
      </c>
      <c r="Q78" s="212"/>
      <c r="R78" s="731"/>
      <c r="S78" s="731"/>
      <c r="T78" s="731"/>
      <c r="U78" s="731"/>
      <c r="V78" s="211"/>
      <c r="W78" s="763"/>
      <c r="X78" s="763"/>
      <c r="Y78" s="763"/>
      <c r="Z78" s="738"/>
      <c r="AA78" s="210"/>
      <c r="AB78" s="731"/>
      <c r="AC78" s="731"/>
      <c r="AD78" s="731"/>
      <c r="AE78" s="731"/>
      <c r="AF78" s="211"/>
      <c r="AG78" s="731"/>
      <c r="AH78" s="731"/>
      <c r="AI78" s="731"/>
      <c r="AJ78" s="731"/>
      <c r="AK78" s="211"/>
      <c r="AL78" s="731"/>
      <c r="AM78" s="731"/>
      <c r="AN78" s="731"/>
      <c r="AO78" s="731"/>
      <c r="AP78" s="211"/>
      <c r="AQ78" s="731"/>
      <c r="AR78" s="731"/>
      <c r="AS78" s="731"/>
      <c r="AT78" s="731"/>
      <c r="AU78" s="211"/>
      <c r="AV78" s="731"/>
      <c r="AW78" s="731"/>
      <c r="AX78" s="731"/>
      <c r="AY78" s="731"/>
      <c r="AZ78" s="211"/>
      <c r="BA78" s="731"/>
      <c r="BB78" s="731"/>
      <c r="BC78" s="731"/>
      <c r="BD78" s="738"/>
      <c r="BE78" s="156"/>
      <c r="BF78" s="731"/>
      <c r="BG78" s="731"/>
      <c r="BH78" s="731"/>
      <c r="BI78" s="731"/>
      <c r="BJ78" s="50"/>
      <c r="BK78" s="731"/>
      <c r="BL78" s="731"/>
      <c r="BM78" s="731"/>
      <c r="BN78" s="731"/>
      <c r="BO78" s="210"/>
      <c r="BP78" s="731"/>
      <c r="BQ78" s="731"/>
      <c r="BR78" s="731"/>
      <c r="BS78" s="731"/>
      <c r="BT78" s="211"/>
      <c r="BU78" s="731"/>
      <c r="BV78" s="731"/>
      <c r="BW78" s="731"/>
      <c r="BX78" s="731"/>
      <c r="BY78" s="153"/>
      <c r="BZ78" s="731"/>
      <c r="CA78" s="731"/>
      <c r="CB78" s="731"/>
      <c r="CC78" s="731"/>
      <c r="CD78" s="616"/>
      <c r="CE78" s="731"/>
      <c r="CF78" s="731"/>
      <c r="CG78" s="731"/>
      <c r="CH78" s="731"/>
      <c r="CI78" s="210"/>
      <c r="CJ78" s="731"/>
      <c r="CK78" s="731"/>
      <c r="CL78" s="731"/>
      <c r="CM78" s="757"/>
      <c r="CN78" s="760"/>
      <c r="CO78" s="210"/>
      <c r="CP78" s="731"/>
      <c r="CQ78" s="731"/>
      <c r="CR78" s="731"/>
      <c r="CS78" s="757"/>
      <c r="CT78" s="760"/>
      <c r="CU78" s="210"/>
      <c r="CV78" s="731"/>
      <c r="CW78" s="731"/>
      <c r="CX78" s="731"/>
      <c r="CY78" s="757"/>
      <c r="CZ78" s="760"/>
      <c r="DA78" s="210"/>
      <c r="DB78" s="731"/>
      <c r="DC78" s="731"/>
      <c r="DD78" s="731"/>
      <c r="DE78" s="757"/>
      <c r="DF78" s="760"/>
      <c r="DG78" s="44"/>
      <c r="DH78" s="9" t="e">
        <f>SUMIFS('Краевые Сосновоборск'!$K$353:$K361,'Краевые Сосновоборск'!$C$349:$C469,$C78,'Краевые Сосновоборск'!$E$349:$E469,$E78,'Краевые Сосновоборск'!$F$349:$F469,$F78)</f>
        <v>#VALUE!</v>
      </c>
      <c r="DI78" s="28" t="e">
        <f>COUNTIFS('Краевые Сосновоборск'!$C$349:$C469,$C78,'Краевые Сосновоборск'!$E$349:$E469,$E78,'Краевые Сосновоборск'!$F$349:$F469,$F78,'Краевые Сосновоборск'!$K$353:$K361,"&gt;=0")</f>
        <v>#VALUE!</v>
      </c>
      <c r="DJ78" s="9" t="e">
        <f>COUNTIFS('Краевые Сосновоборск'!$C$349:$C469,$C78,'Краевые Сосновоборск'!$E$349:$E469,$E78,'Краевые Сосновоборск'!$F$349:$F469,$F78,'Краевые Сосновоборск'!$K$353:$K361,"лично")</f>
        <v>#VALUE!</v>
      </c>
    </row>
    <row r="79" spans="1:114" ht="12" customHeight="1" x14ac:dyDescent="0.3">
      <c r="A79" s="66">
        <f t="shared" si="10"/>
        <v>47</v>
      </c>
      <c r="B79" s="51" t="s">
        <v>35</v>
      </c>
      <c r="C79" s="204" t="s">
        <v>113</v>
      </c>
      <c r="D79" s="67"/>
      <c r="E79" s="205"/>
      <c r="F79" s="223" t="str">
        <f t="shared" si="0"/>
        <v>Сокращенное название</v>
      </c>
      <c r="G79" s="208" t="s">
        <v>251</v>
      </c>
      <c r="H79" s="317" t="str">
        <f t="shared" si="8"/>
        <v>Фамилия_1 Имя Отчество</v>
      </c>
      <c r="I79" s="209">
        <f t="shared" si="1"/>
        <v>0</v>
      </c>
      <c r="J79" s="732">
        <f t="shared" si="2"/>
        <v>0</v>
      </c>
      <c r="K79" s="209">
        <f t="shared" si="3"/>
        <v>0</v>
      </c>
      <c r="L79" s="732">
        <f t="shared" si="9"/>
        <v>0</v>
      </c>
      <c r="M79" s="736">
        <f t="shared" si="4"/>
        <v>0</v>
      </c>
      <c r="N79" s="159">
        <f t="shared" si="5"/>
        <v>0</v>
      </c>
      <c r="O79" s="734">
        <f t="shared" si="6"/>
        <v>0</v>
      </c>
      <c r="P79" s="159">
        <f t="shared" si="7"/>
        <v>0</v>
      </c>
      <c r="Q79" s="212"/>
      <c r="R79" s="731"/>
      <c r="S79" s="731"/>
      <c r="T79" s="731"/>
      <c r="U79" s="731"/>
      <c r="V79" s="211"/>
      <c r="W79" s="763"/>
      <c r="X79" s="763"/>
      <c r="Y79" s="763"/>
      <c r="Z79" s="738"/>
      <c r="AA79" s="210"/>
      <c r="AB79" s="731"/>
      <c r="AC79" s="731"/>
      <c r="AD79" s="731"/>
      <c r="AE79" s="731"/>
      <c r="AF79" s="211"/>
      <c r="AG79" s="731"/>
      <c r="AH79" s="731"/>
      <c r="AI79" s="731"/>
      <c r="AJ79" s="731"/>
      <c r="AK79" s="211"/>
      <c r="AL79" s="731"/>
      <c r="AM79" s="731"/>
      <c r="AN79" s="731"/>
      <c r="AO79" s="731"/>
      <c r="AP79" s="211"/>
      <c r="AQ79" s="731"/>
      <c r="AR79" s="731"/>
      <c r="AS79" s="731"/>
      <c r="AT79" s="731"/>
      <c r="AU79" s="211"/>
      <c r="AV79" s="731"/>
      <c r="AW79" s="731"/>
      <c r="AX79" s="731"/>
      <c r="AY79" s="731"/>
      <c r="AZ79" s="211"/>
      <c r="BA79" s="731"/>
      <c r="BB79" s="731"/>
      <c r="BC79" s="731"/>
      <c r="BD79" s="738"/>
      <c r="BE79" s="156"/>
      <c r="BF79" s="731"/>
      <c r="BG79" s="731"/>
      <c r="BH79" s="731"/>
      <c r="BI79" s="731"/>
      <c r="BJ79" s="50"/>
      <c r="BK79" s="731"/>
      <c r="BL79" s="731"/>
      <c r="BM79" s="731"/>
      <c r="BN79" s="731"/>
      <c r="BO79" s="210"/>
      <c r="BP79" s="731"/>
      <c r="BQ79" s="731"/>
      <c r="BR79" s="731"/>
      <c r="BS79" s="731"/>
      <c r="BT79" s="211"/>
      <c r="BU79" s="731"/>
      <c r="BV79" s="731"/>
      <c r="BW79" s="731"/>
      <c r="BX79" s="731"/>
      <c r="BY79" s="153"/>
      <c r="BZ79" s="731"/>
      <c r="CA79" s="731"/>
      <c r="CB79" s="731"/>
      <c r="CC79" s="731"/>
      <c r="CD79" s="616"/>
      <c r="CE79" s="731"/>
      <c r="CF79" s="731"/>
      <c r="CG79" s="731"/>
      <c r="CH79" s="731"/>
      <c r="CI79" s="210"/>
      <c r="CJ79" s="731"/>
      <c r="CK79" s="731"/>
      <c r="CL79" s="731"/>
      <c r="CM79" s="757"/>
      <c r="CN79" s="760"/>
      <c r="CO79" s="210"/>
      <c r="CP79" s="731"/>
      <c r="CQ79" s="731"/>
      <c r="CR79" s="731"/>
      <c r="CS79" s="757"/>
      <c r="CT79" s="760"/>
      <c r="CU79" s="210"/>
      <c r="CV79" s="731"/>
      <c r="CW79" s="731"/>
      <c r="CX79" s="731"/>
      <c r="CY79" s="757"/>
      <c r="CZ79" s="760"/>
      <c r="DA79" s="210"/>
      <c r="DB79" s="731"/>
      <c r="DC79" s="731"/>
      <c r="DD79" s="731"/>
      <c r="DE79" s="757"/>
      <c r="DF79" s="760"/>
      <c r="DG79" s="44"/>
      <c r="DH79" s="9" t="e">
        <f>SUMIFS('Краевые Сосновоборск'!$K$353:$K361,'Краевые Сосновоборск'!$C$349:$C470,$C79,'Краевые Сосновоборск'!$E$349:$E470,$E79,'Краевые Сосновоборск'!$F$349:$F470,$F79)</f>
        <v>#VALUE!</v>
      </c>
      <c r="DI79" s="28" t="e">
        <f>COUNTIFS('Краевые Сосновоборск'!$C$349:$C470,$C79,'Краевые Сосновоборск'!$E$349:$E470,$E79,'Краевые Сосновоборск'!$F$349:$F470,$F79,'Краевые Сосновоборск'!$K$353:$K361,"&gt;=0")</f>
        <v>#VALUE!</v>
      </c>
      <c r="DJ79" s="9" t="e">
        <f>COUNTIFS('Краевые Сосновоборск'!$C$349:$C470,$C79,'Краевые Сосновоборск'!$E$349:$E470,$E79,'Краевые Сосновоборск'!$F$349:$F470,$F79,'Краевые Сосновоборск'!$K$353:$K361,"лично")</f>
        <v>#VALUE!</v>
      </c>
    </row>
    <row r="80" spans="1:114" ht="12" customHeight="1" x14ac:dyDescent="0.3">
      <c r="A80" s="66">
        <f t="shared" si="10"/>
        <v>48</v>
      </c>
      <c r="B80" s="206" t="s">
        <v>24</v>
      </c>
      <c r="C80" s="204" t="s">
        <v>113</v>
      </c>
      <c r="D80" s="67"/>
      <c r="E80" s="205"/>
      <c r="F80" s="223" t="str">
        <f t="shared" si="0"/>
        <v>Сокращенное название</v>
      </c>
      <c r="G80" s="208" t="s">
        <v>251</v>
      </c>
      <c r="H80" s="317" t="str">
        <f t="shared" si="8"/>
        <v>Фамилия_1 Имя Отчество</v>
      </c>
      <c r="I80" s="209">
        <f t="shared" si="1"/>
        <v>0</v>
      </c>
      <c r="J80" s="732">
        <f t="shared" si="2"/>
        <v>0</v>
      </c>
      <c r="K80" s="209">
        <f t="shared" si="3"/>
        <v>0</v>
      </c>
      <c r="L80" s="732">
        <f t="shared" si="9"/>
        <v>0</v>
      </c>
      <c r="M80" s="736">
        <f t="shared" si="4"/>
        <v>0</v>
      </c>
      <c r="N80" s="159">
        <f t="shared" si="5"/>
        <v>0</v>
      </c>
      <c r="O80" s="734">
        <f t="shared" si="6"/>
        <v>0</v>
      </c>
      <c r="P80" s="159">
        <f t="shared" si="7"/>
        <v>0</v>
      </c>
      <c r="Q80" s="212"/>
      <c r="R80" s="731"/>
      <c r="S80" s="731"/>
      <c r="T80" s="731"/>
      <c r="U80" s="731"/>
      <c r="V80" s="211"/>
      <c r="W80" s="763"/>
      <c r="X80" s="763"/>
      <c r="Y80" s="763"/>
      <c r="Z80" s="738"/>
      <c r="AA80" s="210"/>
      <c r="AB80" s="731"/>
      <c r="AC80" s="731"/>
      <c r="AD80" s="731"/>
      <c r="AE80" s="731"/>
      <c r="AF80" s="211"/>
      <c r="AG80" s="731"/>
      <c r="AH80" s="731"/>
      <c r="AI80" s="731"/>
      <c r="AJ80" s="731"/>
      <c r="AK80" s="211"/>
      <c r="AL80" s="731"/>
      <c r="AM80" s="731"/>
      <c r="AN80" s="731"/>
      <c r="AO80" s="731"/>
      <c r="AP80" s="211"/>
      <c r="AQ80" s="731"/>
      <c r="AR80" s="731"/>
      <c r="AS80" s="731"/>
      <c r="AT80" s="731"/>
      <c r="AU80" s="211"/>
      <c r="AV80" s="731"/>
      <c r="AW80" s="731"/>
      <c r="AX80" s="731"/>
      <c r="AY80" s="731"/>
      <c r="AZ80" s="211"/>
      <c r="BA80" s="731"/>
      <c r="BB80" s="731"/>
      <c r="BC80" s="731"/>
      <c r="BD80" s="738"/>
      <c r="BE80" s="156"/>
      <c r="BF80" s="731"/>
      <c r="BG80" s="731"/>
      <c r="BH80" s="731"/>
      <c r="BI80" s="731"/>
      <c r="BJ80" s="50"/>
      <c r="BK80" s="731"/>
      <c r="BL80" s="731"/>
      <c r="BM80" s="731"/>
      <c r="BN80" s="731"/>
      <c r="BO80" s="210"/>
      <c r="BP80" s="731"/>
      <c r="BQ80" s="731"/>
      <c r="BR80" s="731"/>
      <c r="BS80" s="731"/>
      <c r="BT80" s="211"/>
      <c r="BU80" s="731"/>
      <c r="BV80" s="731"/>
      <c r="BW80" s="731"/>
      <c r="BX80" s="731"/>
      <c r="BY80" s="153"/>
      <c r="BZ80" s="731"/>
      <c r="CA80" s="731"/>
      <c r="CB80" s="731"/>
      <c r="CC80" s="731"/>
      <c r="CD80" s="616"/>
      <c r="CE80" s="731"/>
      <c r="CF80" s="731"/>
      <c r="CG80" s="731"/>
      <c r="CH80" s="731"/>
      <c r="CI80" s="210"/>
      <c r="CJ80" s="731"/>
      <c r="CK80" s="731"/>
      <c r="CL80" s="731"/>
      <c r="CM80" s="757"/>
      <c r="CN80" s="760"/>
      <c r="CO80" s="210"/>
      <c r="CP80" s="731"/>
      <c r="CQ80" s="731"/>
      <c r="CR80" s="731"/>
      <c r="CS80" s="757"/>
      <c r="CT80" s="760"/>
      <c r="CU80" s="210"/>
      <c r="CV80" s="731"/>
      <c r="CW80" s="731"/>
      <c r="CX80" s="731"/>
      <c r="CY80" s="757"/>
      <c r="CZ80" s="760"/>
      <c r="DA80" s="210"/>
      <c r="DB80" s="731"/>
      <c r="DC80" s="731"/>
      <c r="DD80" s="731"/>
      <c r="DE80" s="757"/>
      <c r="DF80" s="760"/>
      <c r="DG80" s="44"/>
      <c r="DH80" s="9" t="e">
        <f>SUMIFS('Краевые Сосновоборск'!$K$353:$K361,'Краевые Сосновоборск'!$C$349:$C471,$C80,'Краевые Сосновоборск'!$E$349:$E471,$E80,'Краевые Сосновоборск'!$F$349:$F471,$F80)</f>
        <v>#VALUE!</v>
      </c>
      <c r="DI80" s="28" t="e">
        <f>COUNTIFS('Краевые Сосновоборск'!$C$349:$C471,$C80,'Краевые Сосновоборск'!$E$349:$E471,$E80,'Краевые Сосновоборск'!$F$349:$F471,$F80,'Краевые Сосновоборск'!$K$353:$K361,"&gt;=0")</f>
        <v>#VALUE!</v>
      </c>
      <c r="DJ80" s="9" t="e">
        <f>COUNTIFS('Краевые Сосновоборск'!$C$349:$C471,$C80,'Краевые Сосновоборск'!$E$349:$E471,$E80,'Краевые Сосновоборск'!$F$349:$F471,$F80,'Краевые Сосновоборск'!$K$353:$K361,"лично")</f>
        <v>#VALUE!</v>
      </c>
    </row>
    <row r="81" spans="1:114" ht="12" customHeight="1" x14ac:dyDescent="0.3">
      <c r="A81" s="66">
        <f t="shared" si="10"/>
        <v>49</v>
      </c>
      <c r="B81" s="51" t="s">
        <v>35</v>
      </c>
      <c r="C81" s="204" t="s">
        <v>113</v>
      </c>
      <c r="D81" s="67"/>
      <c r="E81" s="205"/>
      <c r="F81" s="223" t="str">
        <f t="shared" si="0"/>
        <v>Сокращенное название</v>
      </c>
      <c r="G81" s="208" t="s">
        <v>251</v>
      </c>
      <c r="H81" s="317" t="str">
        <f t="shared" si="8"/>
        <v>Фамилия_1 Имя Отчество</v>
      </c>
      <c r="I81" s="209">
        <f t="shared" si="1"/>
        <v>0</v>
      </c>
      <c r="J81" s="732">
        <f t="shared" si="2"/>
        <v>0</v>
      </c>
      <c r="K81" s="209">
        <f t="shared" si="3"/>
        <v>0</v>
      </c>
      <c r="L81" s="732">
        <f t="shared" si="9"/>
        <v>0</v>
      </c>
      <c r="M81" s="736">
        <f t="shared" si="4"/>
        <v>0</v>
      </c>
      <c r="N81" s="159">
        <f t="shared" si="5"/>
        <v>0</v>
      </c>
      <c r="O81" s="734">
        <f t="shared" si="6"/>
        <v>0</v>
      </c>
      <c r="P81" s="159">
        <f t="shared" si="7"/>
        <v>0</v>
      </c>
      <c r="Q81" s="212"/>
      <c r="R81" s="731"/>
      <c r="S81" s="731"/>
      <c r="T81" s="731"/>
      <c r="U81" s="731"/>
      <c r="V81" s="211"/>
      <c r="W81" s="763"/>
      <c r="X81" s="763"/>
      <c r="Y81" s="763"/>
      <c r="Z81" s="738"/>
      <c r="AA81" s="210"/>
      <c r="AB81" s="731"/>
      <c r="AC81" s="731"/>
      <c r="AD81" s="731"/>
      <c r="AE81" s="731"/>
      <c r="AF81" s="211"/>
      <c r="AG81" s="731"/>
      <c r="AH81" s="731"/>
      <c r="AI81" s="731"/>
      <c r="AJ81" s="731"/>
      <c r="AK81" s="211"/>
      <c r="AL81" s="731"/>
      <c r="AM81" s="731"/>
      <c r="AN81" s="731"/>
      <c r="AO81" s="731"/>
      <c r="AP81" s="211"/>
      <c r="AQ81" s="731"/>
      <c r="AR81" s="731"/>
      <c r="AS81" s="731"/>
      <c r="AT81" s="731"/>
      <c r="AU81" s="211"/>
      <c r="AV81" s="731"/>
      <c r="AW81" s="731"/>
      <c r="AX81" s="731"/>
      <c r="AY81" s="731"/>
      <c r="AZ81" s="211"/>
      <c r="BA81" s="731"/>
      <c r="BB81" s="731"/>
      <c r="BC81" s="731"/>
      <c r="BD81" s="738"/>
      <c r="BE81" s="156"/>
      <c r="BF81" s="731"/>
      <c r="BG81" s="731"/>
      <c r="BH81" s="731"/>
      <c r="BI81" s="731"/>
      <c r="BJ81" s="50"/>
      <c r="BK81" s="731"/>
      <c r="BL81" s="731"/>
      <c r="BM81" s="731"/>
      <c r="BN81" s="731"/>
      <c r="BO81" s="210"/>
      <c r="BP81" s="731"/>
      <c r="BQ81" s="731"/>
      <c r="BR81" s="731"/>
      <c r="BS81" s="731"/>
      <c r="BT81" s="211"/>
      <c r="BU81" s="731"/>
      <c r="BV81" s="731"/>
      <c r="BW81" s="731"/>
      <c r="BX81" s="731"/>
      <c r="BY81" s="153"/>
      <c r="BZ81" s="731"/>
      <c r="CA81" s="731"/>
      <c r="CB81" s="731"/>
      <c r="CC81" s="731"/>
      <c r="CD81" s="616"/>
      <c r="CE81" s="731"/>
      <c r="CF81" s="731"/>
      <c r="CG81" s="731"/>
      <c r="CH81" s="731"/>
      <c r="CI81" s="210"/>
      <c r="CJ81" s="731"/>
      <c r="CK81" s="731"/>
      <c r="CL81" s="731"/>
      <c r="CM81" s="757"/>
      <c r="CN81" s="760"/>
      <c r="CO81" s="210"/>
      <c r="CP81" s="731"/>
      <c r="CQ81" s="731"/>
      <c r="CR81" s="731"/>
      <c r="CS81" s="757"/>
      <c r="CT81" s="760"/>
      <c r="CU81" s="210"/>
      <c r="CV81" s="731"/>
      <c r="CW81" s="731"/>
      <c r="CX81" s="731"/>
      <c r="CY81" s="757"/>
      <c r="CZ81" s="760"/>
      <c r="DA81" s="210"/>
      <c r="DB81" s="731"/>
      <c r="DC81" s="731"/>
      <c r="DD81" s="731"/>
      <c r="DE81" s="757"/>
      <c r="DF81" s="760"/>
      <c r="DG81" s="44"/>
      <c r="DH81" s="9" t="e">
        <f>SUMIFS('Краевые Сосновоборск'!$K$353:$K361,'Краевые Сосновоборск'!$C$349:$C471,$C81,'Краевые Сосновоборск'!$E$349:$E471,$E81,'Краевые Сосновоборск'!$F$349:$F471,$F81)</f>
        <v>#VALUE!</v>
      </c>
      <c r="DI81" s="28" t="e">
        <f>COUNTIFS('Краевые Сосновоборск'!$C$349:$C471,$C81,'Краевые Сосновоборск'!$E$349:$E471,$E81,'Краевые Сосновоборск'!$F$349:$F471,$F81,'Краевые Сосновоборск'!$K$353:$K361,"&gt;=0")</f>
        <v>#VALUE!</v>
      </c>
      <c r="DJ81" s="9" t="e">
        <f>COUNTIFS('Краевые Сосновоборск'!$C$349:$C471,$C81,'Краевые Сосновоборск'!$E$349:$E471,$E81,'Краевые Сосновоборск'!$F$349:$F471,$F81,'Краевые Сосновоборск'!$K$353:$K361,"лично")</f>
        <v>#VALUE!</v>
      </c>
    </row>
    <row r="82" spans="1:114" ht="12.75" customHeight="1" thickBot="1" x14ac:dyDescent="0.35">
      <c r="A82" s="68">
        <f t="shared" si="10"/>
        <v>50</v>
      </c>
      <c r="B82" s="71" t="s">
        <v>20</v>
      </c>
      <c r="C82" s="214" t="s">
        <v>113</v>
      </c>
      <c r="D82" s="69"/>
      <c r="E82" s="215"/>
      <c r="F82" s="224" t="str">
        <f t="shared" si="0"/>
        <v>Сокращенное название</v>
      </c>
      <c r="G82" s="217" t="s">
        <v>251</v>
      </c>
      <c r="H82" s="318" t="str">
        <f t="shared" si="8"/>
        <v>Фамилия_1 Имя Отчество</v>
      </c>
      <c r="I82" s="218">
        <f t="shared" si="1"/>
        <v>0</v>
      </c>
      <c r="J82" s="733">
        <f t="shared" si="2"/>
        <v>0</v>
      </c>
      <c r="K82" s="218">
        <f t="shared" si="3"/>
        <v>0</v>
      </c>
      <c r="L82" s="732">
        <f t="shared" si="9"/>
        <v>0</v>
      </c>
      <c r="M82" s="737">
        <f t="shared" si="4"/>
        <v>0</v>
      </c>
      <c r="N82" s="160">
        <f t="shared" si="5"/>
        <v>0</v>
      </c>
      <c r="O82" s="735">
        <f t="shared" si="6"/>
        <v>0</v>
      </c>
      <c r="P82" s="160">
        <f t="shared" si="7"/>
        <v>0</v>
      </c>
      <c r="Q82" s="221"/>
      <c r="R82" s="740"/>
      <c r="S82" s="740"/>
      <c r="T82" s="740"/>
      <c r="U82" s="740"/>
      <c r="V82" s="220"/>
      <c r="W82" s="764"/>
      <c r="X82" s="764"/>
      <c r="Y82" s="764"/>
      <c r="Z82" s="346"/>
      <c r="AA82" s="219"/>
      <c r="AB82" s="740"/>
      <c r="AC82" s="740"/>
      <c r="AD82" s="740"/>
      <c r="AE82" s="740"/>
      <c r="AF82" s="220"/>
      <c r="AG82" s="740"/>
      <c r="AH82" s="740"/>
      <c r="AI82" s="740"/>
      <c r="AJ82" s="740"/>
      <c r="AK82" s="220"/>
      <c r="AL82" s="740"/>
      <c r="AM82" s="740"/>
      <c r="AN82" s="740"/>
      <c r="AO82" s="740"/>
      <c r="AP82" s="220"/>
      <c r="AQ82" s="740"/>
      <c r="AR82" s="740"/>
      <c r="AS82" s="740"/>
      <c r="AT82" s="740"/>
      <c r="AU82" s="220"/>
      <c r="AV82" s="740"/>
      <c r="AW82" s="740"/>
      <c r="AX82" s="740"/>
      <c r="AY82" s="740"/>
      <c r="AZ82" s="220"/>
      <c r="BA82" s="740"/>
      <c r="BB82" s="740"/>
      <c r="BC82" s="740"/>
      <c r="BD82" s="346"/>
      <c r="BE82" s="157"/>
      <c r="BF82" s="740"/>
      <c r="BG82" s="740"/>
      <c r="BH82" s="740"/>
      <c r="BI82" s="740"/>
      <c r="BJ82" s="52"/>
      <c r="BK82" s="740"/>
      <c r="BL82" s="740"/>
      <c r="BM82" s="740"/>
      <c r="BN82" s="740"/>
      <c r="BO82" s="219"/>
      <c r="BP82" s="740"/>
      <c r="BQ82" s="740"/>
      <c r="BR82" s="740"/>
      <c r="BS82" s="740"/>
      <c r="BT82" s="220"/>
      <c r="BU82" s="740"/>
      <c r="BV82" s="740"/>
      <c r="BW82" s="740"/>
      <c r="BX82" s="740"/>
      <c r="BY82" s="154"/>
      <c r="BZ82" s="740"/>
      <c r="CA82" s="740"/>
      <c r="CB82" s="740"/>
      <c r="CC82" s="740"/>
      <c r="CD82" s="617"/>
      <c r="CE82" s="740"/>
      <c r="CF82" s="740"/>
      <c r="CG82" s="740"/>
      <c r="CH82" s="740"/>
      <c r="CI82" s="219"/>
      <c r="CJ82" s="740"/>
      <c r="CK82" s="740"/>
      <c r="CL82" s="740"/>
      <c r="CM82" s="758"/>
      <c r="CN82" s="761"/>
      <c r="CO82" s="219"/>
      <c r="CP82" s="740"/>
      <c r="CQ82" s="740"/>
      <c r="CR82" s="740"/>
      <c r="CS82" s="758"/>
      <c r="CT82" s="761"/>
      <c r="CU82" s="219"/>
      <c r="CV82" s="740"/>
      <c r="CW82" s="740"/>
      <c r="CX82" s="740"/>
      <c r="CY82" s="758"/>
      <c r="CZ82" s="761"/>
      <c r="DA82" s="219"/>
      <c r="DB82" s="740"/>
      <c r="DC82" s="740"/>
      <c r="DD82" s="740"/>
      <c r="DE82" s="758"/>
      <c r="DF82" s="761"/>
      <c r="DG82" s="44"/>
      <c r="DH82" s="9" t="e">
        <f>SUMIFS('Краевые Сосновоборск'!$K$353:$K361,'Краевые Сосновоборск'!$C$349:$C471,$C82,'Краевые Сосновоборск'!$E$349:$E471,$E82,'Краевые Сосновоборск'!$F$349:$F471,$F82)</f>
        <v>#VALUE!</v>
      </c>
      <c r="DI82" s="28" t="e">
        <f>COUNTIFS('Краевые Сосновоборск'!$C$349:$C471,$C82,'Краевые Сосновоборск'!$E$349:$E471,$E82,'Краевые Сосновоборск'!$F$349:$F471,$F82,'Краевые Сосновоборск'!$K$353:$K361,"&gt;=0")</f>
        <v>#VALUE!</v>
      </c>
      <c r="DJ82" s="9" t="e">
        <f>COUNTIFS('Краевые Сосновоборск'!$C$349:$C471,$C82,'Краевые Сосновоборск'!$E$349:$E471,$E82,'Краевые Сосновоборск'!$F$349:$F471,$F82,'Краевые Сосновоборск'!$K$353:$K361,"лично")</f>
        <v>#VALUE!</v>
      </c>
    </row>
    <row r="83" spans="1:114" ht="10.5" customHeight="1" x14ac:dyDescent="0.3">
      <c r="A83" s="1"/>
      <c r="B83" s="225"/>
      <c r="C83" s="18"/>
      <c r="D83" s="226"/>
      <c r="E83" s="226"/>
      <c r="F83" s="226"/>
      <c r="G83" s="73" t="s">
        <v>61</v>
      </c>
      <c r="H83" s="73" t="s">
        <v>69</v>
      </c>
      <c r="I83" s="98">
        <f>SUMIF(A33:A82,"Ж",I33:I82)</f>
        <v>0</v>
      </c>
      <c r="J83" s="98">
        <f>SUMIF(A33:A82,"Ж",J33:J82)</f>
        <v>0</v>
      </c>
      <c r="K83" s="98">
        <f>SUMIF(C33:C82,"Ж",K33:K82)</f>
        <v>0</v>
      </c>
      <c r="L83" s="98">
        <f>SUMIF(C33:C82,"Ж",L33:L82)</f>
        <v>0</v>
      </c>
      <c r="M83" s="98">
        <f>SUMIF(E33:E82,"Ж",M33:M82)</f>
        <v>0</v>
      </c>
      <c r="N83" s="98">
        <f>SUMIF(E33:E82,"Ж",N33:N82)</f>
        <v>0</v>
      </c>
      <c r="O83" s="98">
        <f>SUMIF(G33:G82,"Ж",O33:O82)</f>
        <v>0</v>
      </c>
      <c r="P83" s="98">
        <f>SUMIF(G33:G82,"Ж",P33:P82)</f>
        <v>1</v>
      </c>
      <c r="Q83" s="74"/>
      <c r="R83" s="74"/>
      <c r="S83" s="74"/>
      <c r="T83" s="74"/>
      <c r="U83" s="74"/>
      <c r="V83" s="74"/>
      <c r="W83" s="74"/>
      <c r="X83" s="74"/>
      <c r="Y83" s="74"/>
      <c r="Z83" s="74"/>
      <c r="AA83" s="75"/>
      <c r="AB83" s="74"/>
      <c r="AC83" s="74"/>
      <c r="AD83" s="74"/>
      <c r="AE83" s="75"/>
      <c r="AF83" s="75"/>
      <c r="AG83" s="74"/>
      <c r="AH83" s="74"/>
      <c r="AI83" s="74"/>
      <c r="AJ83" s="75"/>
      <c r="AK83" s="63"/>
      <c r="AL83" s="74"/>
      <c r="AM83" s="74"/>
      <c r="AN83" s="74"/>
      <c r="AO83" s="63"/>
      <c r="AP83" s="63"/>
      <c r="AQ83" s="74"/>
      <c r="AR83" s="74"/>
      <c r="AS83" s="74"/>
      <c r="AT83" s="63"/>
      <c r="AU83" s="74"/>
      <c r="AV83" s="74"/>
      <c r="AW83" s="74"/>
      <c r="AX83" s="74"/>
      <c r="AY83" s="74"/>
      <c r="AZ83" s="74"/>
      <c r="BA83" s="74"/>
      <c r="BB83" s="74"/>
      <c r="BC83" s="74"/>
      <c r="BD83" s="74"/>
      <c r="BE83" s="74"/>
      <c r="BF83" s="74"/>
      <c r="BG83" s="74"/>
      <c r="BH83" s="74"/>
      <c r="BI83" s="74"/>
      <c r="BJ83" s="227"/>
      <c r="BK83" s="74"/>
      <c r="BL83" s="74"/>
      <c r="BM83" s="74"/>
      <c r="BN83" s="227"/>
      <c r="BO83" s="74"/>
      <c r="BP83" s="74"/>
      <c r="BQ83" s="74"/>
      <c r="BR83" s="74"/>
      <c r="BS83" s="74"/>
      <c r="BT83" s="74"/>
      <c r="BU83" s="74"/>
      <c r="BV83" s="74"/>
      <c r="BW83" s="74"/>
      <c r="BX83" s="74"/>
      <c r="BY83" s="74"/>
      <c r="BZ83" s="74"/>
      <c r="CA83" s="74"/>
      <c r="CB83" s="74"/>
      <c r="CC83" s="74"/>
      <c r="CD83" s="74"/>
      <c r="CE83" s="74"/>
      <c r="CF83" s="74"/>
      <c r="CG83" s="74"/>
      <c r="CH83" s="74"/>
      <c r="CI83" s="63"/>
      <c r="CJ83" s="74"/>
      <c r="CK83" s="74"/>
      <c r="CL83" s="74"/>
      <c r="CM83" s="74"/>
      <c r="CN83" s="149"/>
      <c r="CO83" s="63"/>
      <c r="CP83" s="74"/>
      <c r="CQ83" s="74"/>
      <c r="CR83" s="74"/>
      <c r="CS83" s="74"/>
      <c r="CT83" s="149"/>
      <c r="CU83" s="63"/>
      <c r="CV83" s="74"/>
      <c r="CW83" s="74"/>
      <c r="CX83" s="74"/>
      <c r="CY83" s="74"/>
      <c r="DB83" s="74"/>
      <c r="DC83" s="74"/>
      <c r="DD83" s="74"/>
      <c r="DE83" s="74"/>
      <c r="DH83" s="4" t="e">
        <f>SUM(DH33:DH82)</f>
        <v>#VALUE!</v>
      </c>
      <c r="DI83" s="4" t="e">
        <f>SUM(DI33:DI82)</f>
        <v>#VALUE!</v>
      </c>
      <c r="DJ83" s="4" t="e">
        <f>SUM(DJ33:DJ82)</f>
        <v>#VALUE!</v>
      </c>
    </row>
    <row r="84" spans="1:114" ht="10.5" customHeight="1" x14ac:dyDescent="0.3">
      <c r="A84" s="1"/>
      <c r="B84" s="225"/>
      <c r="C84" s="18"/>
      <c r="D84" s="226"/>
      <c r="E84" s="226"/>
      <c r="F84" s="226"/>
      <c r="G84" s="73"/>
      <c r="H84" s="73" t="s">
        <v>68</v>
      </c>
      <c r="I84" s="98">
        <f>SUMIF(A33:A82,"М",I33:I82)</f>
        <v>0</v>
      </c>
      <c r="J84" s="98">
        <f>SUMIF(A33:A82,"М",J33:J82)</f>
        <v>0</v>
      </c>
      <c r="K84" s="98">
        <f>SUMIF(C33:C82,"М",K33:K82)</f>
        <v>0</v>
      </c>
      <c r="L84" s="98">
        <f>SUMIF(C33:C82,"М",L33:L82)</f>
        <v>0</v>
      </c>
      <c r="M84" s="98">
        <f>SUMIF(E33:E82,"М",M33:M82)</f>
        <v>0</v>
      </c>
      <c r="N84" s="98">
        <f>SUMIF(E33:E82,"М",N33:N82)</f>
        <v>0</v>
      </c>
      <c r="O84" s="98">
        <f>SUMIF(G33:G82,"М",O33:O82)</f>
        <v>0</v>
      </c>
      <c r="P84" s="98">
        <f>SUMIF(G33:G82,"М",P33:P82)</f>
        <v>0</v>
      </c>
      <c r="Q84" s="74"/>
      <c r="R84" s="74"/>
      <c r="S84" s="74"/>
      <c r="T84" s="74"/>
      <c r="U84" s="74"/>
      <c r="V84" s="74"/>
      <c r="W84" s="74"/>
      <c r="X84" s="74"/>
      <c r="Y84" s="74"/>
      <c r="Z84" s="74"/>
      <c r="AA84" s="75"/>
      <c r="AB84" s="74"/>
      <c r="AC84" s="74"/>
      <c r="AD84" s="74"/>
      <c r="AE84" s="75"/>
      <c r="AF84" s="75"/>
      <c r="AG84" s="74"/>
      <c r="AH84" s="74"/>
      <c r="AI84" s="74"/>
      <c r="AJ84" s="75"/>
      <c r="AK84" s="63"/>
      <c r="AL84" s="74"/>
      <c r="AM84" s="74"/>
      <c r="AN84" s="74"/>
      <c r="AO84" s="63"/>
      <c r="AP84" s="63"/>
      <c r="AQ84" s="74"/>
      <c r="AR84" s="74"/>
      <c r="AS84" s="74"/>
      <c r="AT84" s="63"/>
      <c r="AU84" s="74"/>
      <c r="AV84" s="74"/>
      <c r="AW84" s="74"/>
      <c r="AX84" s="74"/>
      <c r="AY84" s="74"/>
      <c r="AZ84" s="74"/>
      <c r="BA84" s="74"/>
      <c r="BB84" s="74"/>
      <c r="BC84" s="74"/>
      <c r="BD84" s="74"/>
      <c r="BE84" s="74"/>
      <c r="BF84" s="74"/>
      <c r="BG84" s="74"/>
      <c r="BH84" s="74"/>
      <c r="BI84" s="74"/>
      <c r="BJ84" s="227"/>
      <c r="BK84" s="74"/>
      <c r="BL84" s="74"/>
      <c r="BM84" s="74"/>
      <c r="BN84" s="227"/>
      <c r="BO84" s="74"/>
      <c r="BP84" s="74"/>
      <c r="BQ84" s="74"/>
      <c r="BR84" s="74"/>
      <c r="BS84" s="74"/>
      <c r="BT84" s="74"/>
      <c r="BU84" s="74"/>
      <c r="BV84" s="74"/>
      <c r="BW84" s="74"/>
      <c r="BX84" s="74"/>
      <c r="BY84" s="74"/>
      <c r="BZ84" s="74"/>
      <c r="CA84" s="74"/>
      <c r="CB84" s="74"/>
      <c r="CC84" s="74"/>
      <c r="CD84" s="74"/>
      <c r="CE84" s="74"/>
      <c r="CF84" s="74"/>
      <c r="CG84" s="74"/>
      <c r="CH84" s="74"/>
      <c r="CI84" s="63"/>
      <c r="CJ84" s="74"/>
      <c r="CK84" s="74"/>
      <c r="CL84" s="74"/>
      <c r="CM84" s="74"/>
      <c r="CN84" s="149"/>
      <c r="CO84" s="63"/>
      <c r="CP84" s="74"/>
      <c r="CQ84" s="74"/>
      <c r="CR84" s="74"/>
      <c r="CS84" s="74"/>
      <c r="CT84" s="149"/>
      <c r="CU84" s="63"/>
      <c r="CV84" s="74"/>
      <c r="CW84" s="74"/>
      <c r="CX84" s="74"/>
      <c r="CY84" s="74"/>
      <c r="DB84" s="74"/>
      <c r="DC84" s="74"/>
      <c r="DD84" s="74"/>
      <c r="DE84" s="74"/>
      <c r="DH84" s="4"/>
      <c r="DI84" s="4"/>
      <c r="DJ84" s="4"/>
    </row>
    <row r="85" spans="1:114" ht="12.75" customHeight="1" x14ac:dyDescent="0.3">
      <c r="A85" s="55"/>
      <c r="B85" s="25"/>
      <c r="C85" s="16"/>
      <c r="D85" s="26"/>
      <c r="E85" s="23"/>
      <c r="F85" s="228"/>
      <c r="G85" s="155"/>
      <c r="H85" s="73" t="s">
        <v>181</v>
      </c>
      <c r="I85" s="161">
        <f>COUNTIFS(I33:I82,"&gt;0",A33:A82,"Ж")</f>
        <v>0</v>
      </c>
      <c r="J85" s="9"/>
      <c r="K85" s="161">
        <f>COUNTIFS(K33:K82,"&gt;0",C33:C82,"Ж")</f>
        <v>0</v>
      </c>
      <c r="L85" s="9"/>
      <c r="M85" s="161">
        <f>COUNTIFS(M33:M82,"&gt;0",E33:E82,"Ж")</f>
        <v>0</v>
      </c>
      <c r="N85" s="9"/>
      <c r="O85" s="161">
        <f>COUNTIFS(O33:O82,"&gt;0",G33:G82,"Ж")</f>
        <v>0</v>
      </c>
      <c r="P85" s="9"/>
      <c r="Q85" s="229"/>
      <c r="R85" s="229"/>
      <c r="S85" s="229"/>
      <c r="T85" s="229"/>
      <c r="U85" s="229"/>
      <c r="V85" s="229"/>
      <c r="W85" s="229"/>
      <c r="X85" s="229"/>
      <c r="Y85" s="229"/>
      <c r="Z85" s="229"/>
      <c r="AA85" s="229"/>
      <c r="AB85" s="229"/>
      <c r="AC85" s="229"/>
      <c r="AD85" s="229"/>
      <c r="AE85" s="229"/>
      <c r="AF85" s="229"/>
      <c r="AG85" s="229"/>
      <c r="AH85" s="229"/>
      <c r="AI85" s="229"/>
      <c r="AJ85" s="229"/>
      <c r="AK85" s="229"/>
      <c r="AL85" s="229"/>
      <c r="AM85" s="229"/>
      <c r="AN85" s="229"/>
      <c r="AO85" s="229"/>
      <c r="AP85" s="229"/>
      <c r="AQ85" s="229"/>
      <c r="AR85" s="229"/>
      <c r="AS85" s="229"/>
      <c r="AT85" s="229"/>
      <c r="AU85" s="229"/>
      <c r="AV85" s="229"/>
      <c r="AW85" s="229"/>
      <c r="AX85" s="229"/>
      <c r="AY85" s="229"/>
      <c r="AZ85" s="229"/>
      <c r="BA85" s="229"/>
      <c r="BB85" s="229"/>
      <c r="BC85" s="229"/>
      <c r="BD85" s="229"/>
      <c r="BE85" s="42"/>
      <c r="BF85" s="229"/>
      <c r="BG85" s="229"/>
      <c r="BH85" s="229"/>
      <c r="BI85" s="42"/>
      <c r="BJ85" s="42"/>
      <c r="BK85" s="229"/>
      <c r="BL85" s="229"/>
      <c r="BM85" s="229"/>
      <c r="BN85" s="42"/>
      <c r="BO85" s="229"/>
      <c r="BP85" s="229"/>
      <c r="BQ85" s="229"/>
      <c r="BR85" s="229"/>
      <c r="BS85" s="229"/>
      <c r="BT85" s="229"/>
      <c r="BU85" s="229"/>
      <c r="BV85" s="229"/>
      <c r="BW85" s="229"/>
      <c r="BX85" s="229"/>
      <c r="BY85" s="229"/>
      <c r="BZ85" s="229"/>
      <c r="CA85" s="229"/>
      <c r="CB85" s="229"/>
      <c r="CC85" s="229"/>
      <c r="CD85" s="42"/>
      <c r="CE85" s="229"/>
      <c r="CF85" s="229"/>
      <c r="CG85" s="229"/>
      <c r="CH85" s="42"/>
      <c r="CI85" s="229"/>
      <c r="CJ85" s="229"/>
      <c r="CK85" s="229"/>
      <c r="CL85" s="229"/>
      <c r="CM85" s="42"/>
      <c r="CN85" s="43"/>
      <c r="CO85" s="44"/>
      <c r="CP85" s="229"/>
      <c r="CQ85" s="229"/>
      <c r="CR85" s="229"/>
      <c r="CS85" s="42"/>
      <c r="CT85" s="9"/>
      <c r="CU85" s="28"/>
      <c r="CV85" s="229"/>
      <c r="CW85" s="229"/>
      <c r="CX85" s="229"/>
      <c r="CY85" s="42"/>
      <c r="CZ85" s="9"/>
      <c r="DB85" s="229"/>
      <c r="DC85" s="229"/>
      <c r="DD85" s="229"/>
      <c r="DE85" s="42"/>
      <c r="DF85" s="16"/>
    </row>
    <row r="86" spans="1:114" ht="12.75" customHeight="1" x14ac:dyDescent="0.3">
      <c r="A86" s="55"/>
      <c r="B86" s="25"/>
      <c r="C86" s="16"/>
      <c r="D86" s="26"/>
      <c r="E86" s="23"/>
      <c r="F86" s="228"/>
      <c r="G86" s="155"/>
      <c r="H86" s="73" t="s">
        <v>182</v>
      </c>
      <c r="I86" s="161">
        <f>COUNTIFS(I33:I82,"&gt;0",A33:A82,"М")</f>
        <v>0</v>
      </c>
      <c r="J86" s="9"/>
      <c r="K86" s="161">
        <f>COUNTIFS(K33:K82,"&gt;0",C33:C82,"М")</f>
        <v>0</v>
      </c>
      <c r="L86" s="9"/>
      <c r="M86" s="161">
        <f>COUNTIFS(M33:M82,"&gt;0",E33:E82,"М")</f>
        <v>0</v>
      </c>
      <c r="N86" s="9"/>
      <c r="O86" s="161">
        <f>COUNTIFS(O33:O82,"&gt;0",G33:G82,"М")</f>
        <v>0</v>
      </c>
      <c r="P86" s="9"/>
      <c r="Q86" s="229"/>
      <c r="R86" s="229"/>
      <c r="S86" s="229"/>
      <c r="T86" s="229"/>
      <c r="U86" s="229"/>
      <c r="V86" s="229"/>
      <c r="W86" s="229"/>
      <c r="X86" s="229"/>
      <c r="Y86" s="229"/>
      <c r="Z86" s="229"/>
      <c r="AA86" s="229"/>
      <c r="AB86" s="229"/>
      <c r="AC86" s="229"/>
      <c r="AD86" s="229"/>
      <c r="AE86" s="229"/>
      <c r="AF86" s="229"/>
      <c r="AG86" s="229"/>
      <c r="AH86" s="229"/>
      <c r="AI86" s="229"/>
      <c r="AJ86" s="229"/>
      <c r="AK86" s="229"/>
      <c r="AL86" s="229"/>
      <c r="AM86" s="229"/>
      <c r="AN86" s="229"/>
      <c r="AO86" s="229"/>
      <c r="AP86" s="229"/>
      <c r="AQ86" s="229"/>
      <c r="AR86" s="229"/>
      <c r="AS86" s="229"/>
      <c r="AT86" s="229"/>
      <c r="AU86" s="229"/>
      <c r="AV86" s="229"/>
      <c r="AW86" s="229"/>
      <c r="AX86" s="229"/>
      <c r="AY86" s="229"/>
      <c r="AZ86" s="229"/>
      <c r="BA86" s="229"/>
      <c r="BB86" s="229"/>
      <c r="BC86" s="229"/>
      <c r="BD86" s="229"/>
      <c r="BE86" s="42"/>
      <c r="BF86" s="229"/>
      <c r="BG86" s="229"/>
      <c r="BH86" s="229"/>
      <c r="BI86" s="42"/>
      <c r="BJ86" s="42"/>
      <c r="BK86" s="229"/>
      <c r="BL86" s="229"/>
      <c r="BM86" s="229"/>
      <c r="BN86" s="42"/>
      <c r="BO86" s="229"/>
      <c r="BP86" s="229"/>
      <c r="BQ86" s="229"/>
      <c r="BR86" s="229"/>
      <c r="BS86" s="229"/>
      <c r="BT86" s="229"/>
      <c r="BU86" s="229"/>
      <c r="BV86" s="229"/>
      <c r="BW86" s="229"/>
      <c r="BX86" s="229"/>
      <c r="BY86" s="229"/>
      <c r="BZ86" s="229"/>
      <c r="CA86" s="229"/>
      <c r="CB86" s="229"/>
      <c r="CC86" s="229"/>
      <c r="CD86" s="42"/>
      <c r="CE86" s="229"/>
      <c r="CF86" s="229"/>
      <c r="CG86" s="229"/>
      <c r="CH86" s="42"/>
      <c r="CI86" s="229"/>
      <c r="CJ86" s="229"/>
      <c r="CK86" s="229"/>
      <c r="CL86" s="229"/>
      <c r="CM86" s="42"/>
      <c r="CN86" s="43"/>
      <c r="CO86" s="44"/>
      <c r="CP86" s="229"/>
      <c r="CQ86" s="229"/>
      <c r="CR86" s="229"/>
      <c r="CS86" s="42"/>
      <c r="CT86" s="9"/>
      <c r="CU86" s="28"/>
      <c r="CV86" s="229"/>
      <c r="CW86" s="229"/>
      <c r="CX86" s="229"/>
      <c r="CY86" s="42"/>
      <c r="CZ86" s="9"/>
      <c r="DB86" s="229"/>
      <c r="DC86" s="229"/>
      <c r="DD86" s="229"/>
      <c r="DE86" s="42"/>
      <c r="DF86" s="16"/>
    </row>
    <row r="87" spans="1:114" ht="10.5" customHeight="1" x14ac:dyDescent="0.3">
      <c r="A87" s="1"/>
      <c r="B87" s="225"/>
      <c r="C87" s="18"/>
      <c r="D87" s="226"/>
      <c r="E87" s="226"/>
      <c r="F87" s="226"/>
      <c r="G87" s="73"/>
      <c r="H87" s="73"/>
      <c r="I87" s="73"/>
      <c r="J87" s="99"/>
      <c r="K87" s="99"/>
      <c r="L87" s="99"/>
      <c r="M87" s="99"/>
      <c r="N87" s="99"/>
      <c r="O87" s="74"/>
      <c r="P87" s="74"/>
      <c r="Q87" s="99"/>
      <c r="R87" s="99"/>
      <c r="S87" s="99"/>
      <c r="T87" s="74"/>
      <c r="U87" s="74"/>
      <c r="V87" s="99"/>
      <c r="W87" s="99"/>
      <c r="X87" s="99"/>
      <c r="Y87" s="75"/>
      <c r="Z87" s="75"/>
      <c r="AA87" s="99"/>
      <c r="AB87" s="99"/>
      <c r="AC87" s="99"/>
      <c r="AD87" s="75"/>
      <c r="AE87" s="75"/>
      <c r="AF87" s="99"/>
      <c r="AG87" s="99"/>
      <c r="AH87" s="99"/>
      <c r="AI87" s="63"/>
      <c r="AJ87" s="63"/>
      <c r="AK87" s="99"/>
      <c r="AL87" s="99"/>
      <c r="AM87" s="99"/>
      <c r="AN87" s="63"/>
      <c r="AO87" s="63"/>
      <c r="AP87" s="99"/>
      <c r="AQ87" s="99"/>
      <c r="AR87" s="99"/>
      <c r="AS87" s="74"/>
      <c r="AT87" s="74"/>
      <c r="AU87" s="99"/>
      <c r="AV87" s="99"/>
      <c r="AW87" s="99"/>
      <c r="AX87" s="74"/>
      <c r="AY87" s="74"/>
      <c r="AZ87" s="99"/>
      <c r="BA87" s="99"/>
      <c r="BB87" s="99"/>
      <c r="BC87" s="74"/>
      <c r="BD87" s="74"/>
      <c r="BE87" s="99"/>
      <c r="BF87" s="99"/>
      <c r="BG87" s="99"/>
      <c r="BH87" s="227"/>
      <c r="BI87" s="227"/>
      <c r="BJ87" s="99"/>
      <c r="BK87" s="99"/>
      <c r="BL87" s="99"/>
      <c r="BM87" s="74"/>
      <c r="BN87" s="74"/>
      <c r="BO87" s="99"/>
      <c r="BP87" s="99"/>
      <c r="BQ87" s="99"/>
      <c r="BR87" s="74"/>
      <c r="BS87" s="74"/>
      <c r="BT87" s="99"/>
      <c r="BU87" s="99"/>
      <c r="BV87" s="99"/>
      <c r="BW87" s="74"/>
      <c r="BX87" s="74"/>
      <c r="BY87" s="99"/>
      <c r="BZ87" s="99"/>
      <c r="CA87" s="99"/>
      <c r="CB87" s="74"/>
      <c r="CC87" s="149"/>
      <c r="CD87" s="99"/>
      <c r="CE87" s="99"/>
      <c r="CF87" s="99"/>
      <c r="CG87" s="74"/>
      <c r="CH87" s="63"/>
      <c r="CI87" s="149"/>
      <c r="CJ87" s="99"/>
      <c r="CK87" s="99"/>
      <c r="CL87" s="99"/>
      <c r="CM87" s="74"/>
      <c r="CN87" s="63"/>
      <c r="CO87" s="149"/>
      <c r="CP87" s="99"/>
      <c r="CQ87" s="99"/>
      <c r="CR87" s="99"/>
      <c r="CS87" s="74"/>
      <c r="CT87" s="63"/>
      <c r="CU87" s="4"/>
      <c r="CV87" s="99"/>
      <c r="CW87" s="99"/>
      <c r="CX87" s="99"/>
      <c r="CY87" s="74"/>
      <c r="CZ87" s="4"/>
      <c r="DA87" s="4"/>
    </row>
    <row r="88" spans="1:114" ht="12.75" customHeight="1" x14ac:dyDescent="0.3">
      <c r="A88" s="347" t="s">
        <v>62</v>
      </c>
      <c r="B88" s="2"/>
      <c r="C88" s="2"/>
      <c r="E88" s="348" t="s">
        <v>172</v>
      </c>
      <c r="G88" s="2"/>
      <c r="H88" s="2"/>
      <c r="I88" s="2"/>
      <c r="J88" s="2"/>
      <c r="K88" s="2"/>
      <c r="L88" s="2"/>
      <c r="M88" s="2"/>
      <c r="N88" s="2"/>
      <c r="O88" s="97"/>
      <c r="P88" s="47"/>
      <c r="Q88" s="2"/>
      <c r="R88" s="2"/>
      <c r="S88" s="2"/>
      <c r="T88" s="47"/>
      <c r="U88" s="47"/>
      <c r="V88" s="2"/>
      <c r="W88" s="2"/>
      <c r="X88" s="2"/>
      <c r="Y88" s="45"/>
      <c r="Z88" s="45"/>
      <c r="AA88" s="2"/>
      <c r="AB88" s="2"/>
      <c r="AC88" s="2"/>
      <c r="AD88" s="45"/>
      <c r="AE88" s="45"/>
      <c r="AF88" s="2"/>
      <c r="AG88" s="2"/>
      <c r="AH88" s="2"/>
      <c r="AI88" s="46"/>
      <c r="AJ88" s="46"/>
      <c r="AK88" s="2"/>
      <c r="AL88" s="2"/>
      <c r="AM88" s="2"/>
      <c r="AN88" s="46"/>
      <c r="AO88" s="46"/>
      <c r="AP88" s="2"/>
      <c r="AQ88" s="2"/>
      <c r="AR88" s="2"/>
      <c r="AS88" s="47"/>
      <c r="AT88" s="47"/>
      <c r="AU88" s="2"/>
      <c r="AV88" s="2"/>
      <c r="AW88" s="2"/>
      <c r="AX88" s="47"/>
      <c r="AY88" s="47"/>
      <c r="AZ88" s="2"/>
      <c r="BA88" s="2"/>
      <c r="BB88" s="2"/>
      <c r="BC88" s="47"/>
      <c r="BD88" s="47"/>
      <c r="BE88" s="2"/>
      <c r="BF88" s="2"/>
      <c r="BG88" s="2"/>
      <c r="BH88" s="47"/>
      <c r="BI88" s="74"/>
      <c r="BJ88" s="2"/>
      <c r="BK88" s="2"/>
      <c r="BL88" s="2"/>
      <c r="BM88" s="74"/>
      <c r="BN88" s="74"/>
      <c r="BO88" s="2"/>
      <c r="BP88" s="2"/>
      <c r="BQ88" s="2"/>
      <c r="BR88" s="74"/>
      <c r="BS88" s="74"/>
      <c r="BT88" s="2"/>
      <c r="BU88" s="2"/>
      <c r="BV88" s="2"/>
      <c r="BW88" s="74"/>
      <c r="BX88" s="74"/>
      <c r="BY88" s="2"/>
      <c r="BZ88" s="2"/>
      <c r="CA88" s="2"/>
      <c r="CB88" s="74"/>
      <c r="CC88" s="149"/>
      <c r="CD88" s="2"/>
      <c r="CE88" s="2"/>
      <c r="CF88" s="2"/>
      <c r="CG88" s="74"/>
      <c r="CH88" s="63"/>
      <c r="CI88" s="149"/>
      <c r="CJ88" s="2"/>
      <c r="CK88" s="2"/>
      <c r="CL88" s="2"/>
      <c r="CM88" s="74"/>
      <c r="CN88" s="63"/>
      <c r="CO88" s="149"/>
      <c r="CP88" s="2"/>
      <c r="CQ88" s="2"/>
      <c r="CR88" s="2"/>
      <c r="CS88" s="74"/>
      <c r="CT88" s="46"/>
      <c r="CU88" s="3"/>
      <c r="CV88" s="2"/>
      <c r="CW88" s="2"/>
      <c r="CX88" s="2"/>
      <c r="CY88" s="74"/>
      <c r="CZ88" s="3"/>
      <c r="DA88" s="3"/>
    </row>
    <row r="89" spans="1:114" ht="12.75" customHeight="1" x14ac:dyDescent="0.3">
      <c r="A89" s="347" t="s">
        <v>62</v>
      </c>
      <c r="B89" s="2"/>
      <c r="C89" s="2"/>
      <c r="E89" s="348" t="s">
        <v>173</v>
      </c>
      <c r="G89" s="2"/>
      <c r="H89" s="2"/>
      <c r="I89" s="2"/>
      <c r="J89" s="2"/>
      <c r="K89" s="2"/>
      <c r="L89" s="2"/>
      <c r="M89" s="2"/>
      <c r="N89" s="2"/>
      <c r="O89" s="47"/>
      <c r="P89" s="47"/>
      <c r="Q89" s="2"/>
      <c r="R89" s="2"/>
      <c r="S89" s="2"/>
      <c r="T89" s="47"/>
      <c r="U89" s="47"/>
      <c r="V89" s="2"/>
      <c r="W89" s="2"/>
      <c r="X89" s="2"/>
      <c r="Y89" s="45"/>
      <c r="Z89" s="45"/>
      <c r="AA89" s="2"/>
      <c r="AB89" s="2"/>
      <c r="AC89" s="2"/>
      <c r="AD89" s="45"/>
      <c r="AE89" s="45"/>
      <c r="AF89" s="2"/>
      <c r="AG89" s="2"/>
      <c r="AH89" s="2"/>
      <c r="AI89" s="46"/>
      <c r="AJ89" s="46"/>
      <c r="AK89" s="2"/>
      <c r="AL89" s="2"/>
      <c r="AM89" s="2"/>
      <c r="AN89" s="46"/>
      <c r="AO89" s="46"/>
      <c r="AP89" s="2"/>
      <c r="AQ89" s="2"/>
      <c r="AR89" s="2"/>
      <c r="AS89" s="47"/>
      <c r="AT89" s="47"/>
      <c r="AU89" s="2"/>
      <c r="AV89" s="2"/>
      <c r="AW89" s="2"/>
      <c r="AX89" s="47"/>
      <c r="AY89" s="47"/>
      <c r="AZ89" s="2"/>
      <c r="BA89" s="2"/>
      <c r="BB89" s="2"/>
      <c r="BC89" s="47"/>
      <c r="BD89" s="47"/>
      <c r="BE89" s="2"/>
      <c r="BF89" s="2"/>
      <c r="BG89" s="2"/>
      <c r="BH89" s="47"/>
      <c r="BI89" s="74"/>
      <c r="BJ89" s="2"/>
      <c r="BK89" s="2"/>
      <c r="BL89" s="2"/>
      <c r="BM89" s="74"/>
      <c r="BN89" s="74"/>
      <c r="BO89" s="2"/>
      <c r="BP89" s="2"/>
      <c r="BQ89" s="2"/>
      <c r="BR89" s="74"/>
      <c r="BS89" s="74"/>
      <c r="BT89" s="2"/>
      <c r="BU89" s="2"/>
      <c r="BV89" s="2"/>
      <c r="BW89" s="74"/>
      <c r="BX89" s="74"/>
      <c r="BY89" s="2"/>
      <c r="BZ89" s="2"/>
      <c r="CA89" s="2"/>
      <c r="CB89" s="74"/>
      <c r="CC89" s="149"/>
      <c r="CD89" s="2"/>
      <c r="CE89" s="2"/>
      <c r="CF89" s="2"/>
      <c r="CG89" s="74"/>
      <c r="CH89" s="63"/>
      <c r="CI89" s="149"/>
      <c r="CJ89" s="2"/>
      <c r="CK89" s="2"/>
      <c r="CL89" s="2"/>
      <c r="CM89" s="74"/>
      <c r="CN89" s="63"/>
      <c r="CO89" s="149"/>
      <c r="CP89" s="2"/>
      <c r="CQ89" s="2"/>
      <c r="CR89" s="2"/>
      <c r="CS89" s="74"/>
      <c r="CT89" s="46"/>
      <c r="CU89" s="3"/>
      <c r="CV89" s="2"/>
      <c r="CW89" s="2"/>
      <c r="CX89" s="2"/>
      <c r="CY89" s="74"/>
      <c r="CZ89" s="3"/>
      <c r="DA89" s="3"/>
    </row>
    <row r="90" spans="1:114" ht="12.75" customHeight="1" x14ac:dyDescent="0.3">
      <c r="A90" s="347" t="s">
        <v>62</v>
      </c>
      <c r="B90" s="2"/>
      <c r="C90" s="2"/>
      <c r="E90" s="348" t="s">
        <v>174</v>
      </c>
      <c r="G90" s="2"/>
      <c r="H90" s="2"/>
      <c r="I90" s="2"/>
      <c r="J90" s="2"/>
      <c r="K90" s="2"/>
      <c r="L90" s="2"/>
      <c r="M90" s="2"/>
      <c r="N90" s="2"/>
      <c r="O90" s="47"/>
      <c r="P90" s="47"/>
      <c r="Q90" s="2"/>
      <c r="R90" s="2"/>
      <c r="S90" s="2"/>
      <c r="T90" s="47"/>
      <c r="U90" s="47"/>
      <c r="V90" s="2"/>
      <c r="W90" s="2"/>
      <c r="X90" s="2"/>
      <c r="Y90" s="45"/>
      <c r="Z90" s="45"/>
      <c r="AA90" s="2"/>
      <c r="AB90" s="2"/>
      <c r="AC90" s="2"/>
      <c r="AD90" s="45"/>
      <c r="AE90" s="45"/>
      <c r="AF90" s="2"/>
      <c r="AG90" s="2"/>
      <c r="AH90" s="2"/>
      <c r="AI90" s="46"/>
      <c r="AJ90" s="46"/>
      <c r="AK90" s="2"/>
      <c r="AL90" s="2"/>
      <c r="AM90" s="2"/>
      <c r="AN90" s="46"/>
      <c r="AO90" s="46"/>
      <c r="AP90" s="2"/>
      <c r="AQ90" s="2"/>
      <c r="AR90" s="2"/>
      <c r="AS90" s="47"/>
      <c r="AT90" s="47"/>
      <c r="AU90" s="2"/>
      <c r="AV90" s="2"/>
      <c r="AW90" s="2"/>
      <c r="AX90" s="47"/>
      <c r="AY90" s="47"/>
      <c r="AZ90" s="2"/>
      <c r="BA90" s="2"/>
      <c r="BB90" s="2"/>
      <c r="BC90" s="47"/>
      <c r="BD90" s="47"/>
      <c r="BE90" s="2"/>
      <c r="BF90" s="2"/>
      <c r="BG90" s="2"/>
      <c r="BH90" s="47"/>
      <c r="BI90" s="74"/>
      <c r="BJ90" s="2"/>
      <c r="BK90" s="2"/>
      <c r="BL90" s="2"/>
      <c r="BM90" s="74"/>
      <c r="BN90" s="74"/>
      <c r="BO90" s="2"/>
      <c r="BP90" s="2"/>
      <c r="BQ90" s="2"/>
      <c r="BR90" s="74"/>
      <c r="BS90" s="74"/>
      <c r="BT90" s="2"/>
      <c r="BU90" s="2"/>
      <c r="BV90" s="2"/>
      <c r="BW90" s="74"/>
      <c r="BX90" s="74"/>
      <c r="BY90" s="2"/>
      <c r="BZ90" s="2"/>
      <c r="CA90" s="2"/>
      <c r="CB90" s="74"/>
      <c r="CC90" s="149"/>
      <c r="CD90" s="2"/>
      <c r="CE90" s="2"/>
      <c r="CF90" s="2"/>
      <c r="CG90" s="74"/>
      <c r="CH90" s="63"/>
      <c r="CI90" s="149"/>
      <c r="CJ90" s="2"/>
      <c r="CK90" s="2"/>
      <c r="CL90" s="2"/>
      <c r="CM90" s="74"/>
      <c r="CN90" s="63"/>
      <c r="CO90" s="149"/>
      <c r="CP90" s="2"/>
      <c r="CQ90" s="2"/>
      <c r="CR90" s="2"/>
      <c r="CS90" s="74"/>
      <c r="CT90" s="46"/>
      <c r="CU90" s="3"/>
      <c r="CV90" s="2"/>
      <c r="CW90" s="2"/>
      <c r="CX90" s="2"/>
      <c r="CY90" s="74"/>
      <c r="CZ90" s="3"/>
      <c r="DA90" s="3"/>
    </row>
    <row r="91" spans="1:114" ht="12.75" customHeight="1" x14ac:dyDescent="0.3">
      <c r="A91" s="17"/>
      <c r="B91" s="2"/>
      <c r="C91" s="2"/>
      <c r="D91" s="76"/>
      <c r="E91" s="4"/>
      <c r="F91" s="4"/>
      <c r="G91" s="2"/>
      <c r="H91" s="2"/>
      <c r="I91" s="2"/>
      <c r="J91" s="2"/>
      <c r="K91" s="2"/>
      <c r="L91" s="2"/>
      <c r="M91" s="2"/>
      <c r="N91" s="2"/>
      <c r="O91" s="47"/>
      <c r="P91" s="47"/>
      <c r="Q91" s="2"/>
      <c r="R91" s="2"/>
      <c r="S91" s="2"/>
      <c r="T91" s="47"/>
      <c r="U91" s="47"/>
      <c r="V91" s="2"/>
      <c r="W91" s="2"/>
      <c r="X91" s="2"/>
      <c r="Y91" s="45"/>
      <c r="Z91" s="45"/>
      <c r="AA91" s="2"/>
      <c r="AB91" s="2"/>
      <c r="AC91" s="2"/>
      <c r="AD91" s="45"/>
      <c r="AE91" s="45"/>
      <c r="AF91" s="2"/>
      <c r="AG91" s="2"/>
      <c r="AH91" s="2"/>
      <c r="AI91" s="46"/>
      <c r="AJ91" s="46"/>
      <c r="AK91" s="2"/>
      <c r="AL91" s="2"/>
      <c r="AM91" s="2"/>
      <c r="AN91" s="46"/>
      <c r="AO91" s="46"/>
      <c r="AP91" s="2"/>
      <c r="AQ91" s="2"/>
      <c r="AR91" s="2"/>
      <c r="AS91" s="47"/>
      <c r="AT91" s="47"/>
      <c r="AU91" s="2"/>
      <c r="AV91" s="2"/>
      <c r="AW91" s="2"/>
      <c r="AX91" s="47"/>
      <c r="AY91" s="47"/>
      <c r="AZ91" s="2"/>
      <c r="BA91" s="2"/>
      <c r="BB91" s="2"/>
      <c r="BC91" s="47"/>
      <c r="BD91" s="47"/>
      <c r="BE91" s="2"/>
      <c r="BF91" s="2"/>
      <c r="BG91" s="2"/>
      <c r="BH91" s="47"/>
      <c r="BI91" s="74"/>
      <c r="BJ91" s="2"/>
      <c r="BK91" s="2"/>
      <c r="BL91" s="2"/>
      <c r="BM91" s="74"/>
      <c r="BN91" s="74"/>
      <c r="BO91" s="2"/>
      <c r="BP91" s="2"/>
      <c r="BQ91" s="2"/>
      <c r="BR91" s="74"/>
      <c r="BS91" s="74"/>
      <c r="BT91" s="2"/>
      <c r="BU91" s="2"/>
      <c r="BV91" s="2"/>
      <c r="BW91" s="74"/>
      <c r="BX91" s="74"/>
      <c r="BY91" s="2"/>
      <c r="BZ91" s="2"/>
      <c r="CA91" s="2"/>
      <c r="CB91" s="74"/>
      <c r="CC91" s="149"/>
      <c r="CD91" s="2"/>
      <c r="CE91" s="2"/>
      <c r="CF91" s="2"/>
      <c r="CG91" s="74"/>
      <c r="CH91" s="63"/>
      <c r="CI91" s="149"/>
      <c r="CJ91" s="2"/>
      <c r="CK91" s="2"/>
      <c r="CL91" s="2"/>
      <c r="CM91" s="74"/>
      <c r="CN91" s="63"/>
      <c r="CO91" s="149"/>
      <c r="CP91" s="2"/>
      <c r="CQ91" s="2"/>
      <c r="CR91" s="2"/>
      <c r="CS91" s="74"/>
      <c r="CT91" s="46"/>
      <c r="CU91" s="3"/>
      <c r="CV91" s="2"/>
      <c r="CW91" s="2"/>
      <c r="CX91" s="2"/>
      <c r="CY91" s="74"/>
      <c r="CZ91" s="3"/>
      <c r="DA91" s="3"/>
    </row>
    <row r="92" spans="1:114" ht="12.75" customHeight="1" x14ac:dyDescent="0.3">
      <c r="A92" s="17"/>
      <c r="B92" s="2"/>
      <c r="C92" s="2"/>
      <c r="D92" s="76"/>
      <c r="E92" s="4"/>
      <c r="F92" s="4"/>
      <c r="G92" s="2"/>
      <c r="H92" s="2"/>
      <c r="I92" s="2"/>
      <c r="J92" s="2"/>
      <c r="K92" s="2"/>
      <c r="L92" s="2"/>
      <c r="M92" s="2"/>
      <c r="N92" s="2"/>
      <c r="O92" s="47"/>
      <c r="P92" s="47"/>
      <c r="Q92" s="2"/>
      <c r="R92" s="2"/>
      <c r="S92" s="2"/>
      <c r="T92" s="47"/>
      <c r="U92" s="47"/>
      <c r="V92" s="2"/>
      <c r="W92" s="2"/>
      <c r="X92" s="2"/>
      <c r="Y92" s="45"/>
      <c r="Z92" s="45"/>
      <c r="AA92" s="2"/>
      <c r="AB92" s="2"/>
      <c r="AC92" s="2"/>
      <c r="AD92" s="45"/>
      <c r="AE92" s="45"/>
      <c r="AF92" s="2"/>
      <c r="AG92" s="2"/>
      <c r="AH92" s="2"/>
      <c r="AI92" s="46"/>
      <c r="AJ92" s="46"/>
      <c r="AK92" s="2"/>
      <c r="AL92" s="2"/>
      <c r="AM92" s="2"/>
      <c r="AN92" s="46"/>
      <c r="AO92" s="46"/>
      <c r="AP92" s="2"/>
      <c r="AQ92" s="2"/>
      <c r="AR92" s="2"/>
      <c r="AS92" s="47"/>
      <c r="AT92" s="47"/>
      <c r="AU92" s="2"/>
      <c r="AV92" s="2"/>
      <c r="AW92" s="2"/>
      <c r="AX92" s="47"/>
      <c r="AY92" s="47"/>
      <c r="AZ92" s="2"/>
      <c r="BA92" s="2"/>
      <c r="BB92" s="2"/>
      <c r="BC92" s="47"/>
      <c r="BD92" s="47"/>
      <c r="BE92" s="2"/>
      <c r="BF92" s="2"/>
      <c r="BG92" s="2"/>
      <c r="BH92" s="47"/>
      <c r="BI92" s="74"/>
      <c r="BJ92" s="2"/>
      <c r="BK92" s="2"/>
      <c r="BL92" s="2"/>
      <c r="BM92" s="74"/>
      <c r="BN92" s="74"/>
      <c r="BO92" s="2"/>
      <c r="BP92" s="2"/>
      <c r="BQ92" s="2"/>
      <c r="BR92" s="74"/>
      <c r="BS92" s="74"/>
      <c r="BT92" s="2"/>
      <c r="BU92" s="2"/>
      <c r="BV92" s="2"/>
      <c r="BW92" s="74"/>
      <c r="BX92" s="74"/>
      <c r="BY92" s="2"/>
      <c r="BZ92" s="2"/>
      <c r="CA92" s="2"/>
      <c r="CB92" s="74"/>
      <c r="CC92" s="149"/>
      <c r="CD92" s="2"/>
      <c r="CE92" s="2"/>
      <c r="CF92" s="2"/>
      <c r="CG92" s="74"/>
      <c r="CH92" s="63"/>
      <c r="CI92" s="149"/>
      <c r="CJ92" s="2"/>
      <c r="CK92" s="2"/>
      <c r="CL92" s="2"/>
      <c r="CM92" s="74"/>
      <c r="CN92" s="63"/>
      <c r="CO92" s="149"/>
      <c r="CP92" s="2"/>
      <c r="CQ92" s="2"/>
      <c r="CR92" s="2"/>
      <c r="CS92" s="74"/>
      <c r="CT92" s="46"/>
      <c r="CU92" s="3"/>
      <c r="CV92" s="2"/>
      <c r="CW92" s="2"/>
      <c r="CX92" s="2"/>
      <c r="CY92" s="74"/>
      <c r="CZ92" s="3"/>
      <c r="DA92" s="3"/>
    </row>
    <row r="93" spans="1:114" ht="15.75" customHeight="1" x14ac:dyDescent="0.3">
      <c r="A93" s="77"/>
      <c r="B93" s="325" t="s">
        <v>63</v>
      </c>
      <c r="C93" s="31"/>
      <c r="D93" s="78"/>
      <c r="E93" s="135"/>
      <c r="F93" s="135"/>
      <c r="G93" s="31"/>
      <c r="H93" s="31"/>
      <c r="I93" s="31"/>
      <c r="J93" s="31"/>
      <c r="K93" s="31"/>
      <c r="L93" s="31"/>
      <c r="M93" s="31"/>
      <c r="N93" s="31"/>
      <c r="O93" s="79"/>
      <c r="P93" s="79"/>
      <c r="Q93" s="31"/>
      <c r="R93" s="31"/>
      <c r="S93" s="31"/>
      <c r="T93" s="79"/>
      <c r="U93" s="79"/>
      <c r="V93" s="31"/>
      <c r="W93" s="31"/>
      <c r="X93" s="31"/>
      <c r="Y93" s="80"/>
      <c r="Z93" s="80"/>
      <c r="AA93" s="31"/>
      <c r="AB93" s="31"/>
      <c r="AC93" s="31"/>
      <c r="AD93" s="80"/>
      <c r="AE93" s="80"/>
      <c r="AF93" s="31"/>
      <c r="AG93" s="31"/>
      <c r="AH93" s="31"/>
      <c r="AI93" s="81"/>
      <c r="AJ93" s="81"/>
      <c r="AK93" s="31"/>
      <c r="AL93" s="31"/>
      <c r="AM93" s="31"/>
      <c r="AN93" s="81"/>
      <c r="AO93" s="81"/>
      <c r="AP93" s="31"/>
      <c r="AQ93" s="31"/>
      <c r="AR93" s="31"/>
      <c r="AS93" s="79"/>
      <c r="AT93" s="79"/>
      <c r="AU93" s="31"/>
      <c r="AV93" s="31"/>
      <c r="AW93" s="31"/>
      <c r="AX93" s="79"/>
      <c r="AY93" s="79"/>
      <c r="AZ93" s="31"/>
      <c r="BA93" s="31"/>
      <c r="BB93" s="31"/>
      <c r="BC93" s="79"/>
      <c r="BD93" s="79"/>
      <c r="BE93" s="31"/>
      <c r="BF93" s="31"/>
      <c r="BG93" s="31"/>
      <c r="BH93" s="79"/>
      <c r="BI93" s="150"/>
      <c r="BJ93" s="31"/>
      <c r="BK93" s="31"/>
      <c r="BL93" s="31"/>
      <c r="BM93" s="150"/>
      <c r="BN93" s="150"/>
      <c r="BO93" s="31"/>
      <c r="BP93" s="31"/>
      <c r="BQ93" s="31"/>
      <c r="BR93" s="150"/>
      <c r="BS93" s="150"/>
      <c r="BT93" s="31"/>
      <c r="BU93" s="31"/>
      <c r="BV93" s="31"/>
      <c r="BW93" s="150"/>
      <c r="BX93" s="150"/>
      <c r="BY93" s="31"/>
      <c r="BZ93" s="31"/>
      <c r="CA93" s="31"/>
      <c r="CB93" s="150"/>
      <c r="CC93" s="149"/>
      <c r="CD93" s="31"/>
      <c r="CE93" s="31"/>
      <c r="CF93" s="31"/>
      <c r="CG93" s="150"/>
      <c r="CH93" s="151"/>
      <c r="CI93" s="149"/>
      <c r="CJ93" s="31"/>
      <c r="CK93" s="31"/>
      <c r="CL93" s="31"/>
      <c r="CM93" s="150"/>
      <c r="CN93" s="151"/>
      <c r="CO93" s="149"/>
      <c r="CP93" s="31"/>
      <c r="CQ93" s="31"/>
      <c r="CR93" s="31"/>
      <c r="CS93" s="150"/>
      <c r="CT93" s="32"/>
      <c r="CV93" s="31"/>
      <c r="CW93" s="31"/>
      <c r="CX93" s="31"/>
      <c r="CY93" s="150"/>
    </row>
    <row r="94" spans="1:114" ht="17.399999999999999" x14ac:dyDescent="0.3">
      <c r="A94" s="77"/>
      <c r="B94" s="142" t="s">
        <v>183</v>
      </c>
      <c r="C94" s="31"/>
      <c r="D94" s="78"/>
      <c r="E94" s="135"/>
      <c r="F94" s="135"/>
      <c r="G94" s="31"/>
      <c r="H94" s="31"/>
      <c r="I94" s="31"/>
      <c r="J94" s="31"/>
      <c r="K94" s="31"/>
      <c r="L94" s="31"/>
      <c r="M94" s="31"/>
      <c r="N94" s="31"/>
      <c r="O94" s="79"/>
      <c r="P94" s="80"/>
      <c r="Q94" s="31"/>
      <c r="R94" s="31"/>
      <c r="S94" s="31"/>
      <c r="T94" s="80"/>
      <c r="U94" s="81"/>
      <c r="V94" s="31"/>
      <c r="W94" s="31"/>
      <c r="X94" s="31"/>
      <c r="Y94" s="81"/>
      <c r="Z94" s="150"/>
      <c r="AA94" s="31"/>
      <c r="AB94" s="31"/>
      <c r="AC94" s="31"/>
      <c r="AD94" s="150"/>
      <c r="AE94" s="150"/>
      <c r="AF94" s="31"/>
      <c r="AG94" s="31"/>
      <c r="AH94" s="31"/>
      <c r="AI94" s="151"/>
      <c r="AJ94" s="149"/>
      <c r="AK94" s="31"/>
      <c r="AL94" s="31"/>
      <c r="AM94" s="31"/>
      <c r="AN94" s="81"/>
      <c r="AO94" s="32"/>
      <c r="AP94" s="31"/>
      <c r="AQ94" s="31"/>
      <c r="AR94" s="31"/>
      <c r="AS94" s="32"/>
      <c r="AT94" s="32"/>
      <c r="AU94" s="31"/>
      <c r="AV94" s="31"/>
      <c r="AW94" s="31"/>
      <c r="AZ94" s="31"/>
      <c r="BA94" s="31"/>
      <c r="BB94" s="31"/>
      <c r="BE94" s="31"/>
      <c r="BF94" s="31"/>
      <c r="BG94" s="31"/>
      <c r="BJ94" s="31"/>
      <c r="BK94" s="31"/>
      <c r="BL94" s="31"/>
      <c r="BO94" s="31"/>
      <c r="BP94" s="31"/>
      <c r="BQ94" s="31"/>
      <c r="BT94" s="31"/>
      <c r="BU94" s="31"/>
      <c r="BV94" s="31"/>
      <c r="BY94" s="31"/>
      <c r="BZ94" s="31"/>
      <c r="CA94" s="31"/>
      <c r="CD94" s="31"/>
      <c r="CE94" s="31"/>
      <c r="CF94" s="31"/>
      <c r="CJ94" s="31"/>
      <c r="CK94" s="31"/>
      <c r="CL94" s="31"/>
      <c r="CP94" s="31"/>
      <c r="CQ94" s="31"/>
      <c r="CR94" s="31"/>
      <c r="CV94" s="31"/>
      <c r="CW94" s="31"/>
      <c r="CX94" s="31"/>
    </row>
    <row r="95" spans="1:114" s="230" customFormat="1" ht="18" x14ac:dyDescent="0.3">
      <c r="A95" s="331"/>
      <c r="B95" s="329" t="s">
        <v>200</v>
      </c>
      <c r="C95" s="329"/>
      <c r="D95" s="328"/>
      <c r="E95" s="332"/>
      <c r="F95" s="332"/>
      <c r="G95" s="329"/>
      <c r="H95" s="329"/>
      <c r="I95" s="329"/>
      <c r="J95" s="329"/>
      <c r="K95" s="329"/>
      <c r="L95" s="329"/>
      <c r="M95" s="329"/>
      <c r="N95" s="329"/>
      <c r="O95" s="333"/>
      <c r="P95" s="333"/>
      <c r="Q95" s="329"/>
      <c r="R95" s="329"/>
      <c r="S95" s="329"/>
      <c r="T95" s="333"/>
      <c r="U95" s="333"/>
      <c r="V95" s="329"/>
      <c r="W95" s="329"/>
      <c r="X95" s="329"/>
      <c r="Y95" s="334"/>
      <c r="Z95" s="334"/>
      <c r="AA95" s="329"/>
      <c r="AB95" s="329"/>
      <c r="AC95" s="329"/>
      <c r="AD95" s="334"/>
      <c r="AE95" s="334"/>
      <c r="AF95" s="329"/>
      <c r="AG95" s="329"/>
      <c r="AH95" s="329"/>
      <c r="AI95" s="335"/>
      <c r="AJ95" s="335"/>
      <c r="AK95" s="329"/>
      <c r="AL95" s="329"/>
      <c r="AM95" s="329"/>
      <c r="AN95" s="335"/>
      <c r="AO95" s="335"/>
      <c r="AP95" s="329"/>
      <c r="AQ95" s="329"/>
      <c r="AR95" s="329"/>
      <c r="AS95" s="333"/>
      <c r="AT95" s="333"/>
      <c r="AU95" s="329"/>
      <c r="AV95" s="329"/>
      <c r="AW95" s="329"/>
      <c r="AX95" s="333"/>
      <c r="AY95" s="333"/>
      <c r="AZ95" s="329"/>
      <c r="BA95" s="329"/>
      <c r="BB95" s="329"/>
      <c r="BC95" s="333"/>
      <c r="BD95" s="333"/>
      <c r="BE95" s="329"/>
      <c r="BF95" s="329"/>
      <c r="BG95" s="329"/>
      <c r="BH95" s="333"/>
      <c r="BI95" s="333"/>
      <c r="BJ95" s="329"/>
      <c r="BK95" s="329"/>
      <c r="BL95" s="329"/>
      <c r="BM95" s="336"/>
      <c r="BN95" s="336"/>
      <c r="BO95" s="329"/>
      <c r="BP95" s="329"/>
      <c r="BQ95" s="329"/>
      <c r="BR95" s="336"/>
      <c r="BS95" s="336"/>
      <c r="BT95" s="329"/>
      <c r="BU95" s="329"/>
      <c r="BV95" s="329"/>
      <c r="BW95" s="336"/>
      <c r="BX95" s="336"/>
      <c r="BY95" s="329"/>
      <c r="BZ95" s="329"/>
      <c r="CA95" s="329"/>
      <c r="CB95" s="336"/>
      <c r="CC95" s="337"/>
      <c r="CD95" s="329"/>
      <c r="CE95" s="329"/>
      <c r="CF95" s="329"/>
      <c r="CG95" s="336"/>
      <c r="CH95" s="338"/>
      <c r="CI95" s="337"/>
      <c r="CJ95" s="329"/>
      <c r="CK95" s="329"/>
      <c r="CL95" s="329"/>
      <c r="CM95" s="336"/>
      <c r="CN95" s="338"/>
      <c r="CO95" s="335"/>
      <c r="CP95" s="329"/>
      <c r="CQ95" s="329"/>
      <c r="CR95" s="329"/>
      <c r="CS95" s="336"/>
      <c r="CT95" s="339"/>
      <c r="CU95" s="339"/>
      <c r="CV95" s="329"/>
      <c r="CW95" s="329"/>
      <c r="CX95" s="329"/>
      <c r="CY95" s="336"/>
      <c r="CZ95" s="339"/>
    </row>
    <row r="96" spans="1:114" ht="18" x14ac:dyDescent="0.3">
      <c r="A96" s="17"/>
      <c r="B96" s="326" t="s">
        <v>64</v>
      </c>
      <c r="C96" s="2"/>
      <c r="D96" s="76"/>
      <c r="E96" s="4"/>
      <c r="F96" s="4"/>
      <c r="G96" s="2"/>
      <c r="H96" s="2"/>
      <c r="I96" s="2"/>
      <c r="J96" s="2"/>
      <c r="K96" s="2"/>
      <c r="L96" s="2"/>
      <c r="M96" s="2"/>
      <c r="N96" s="2"/>
      <c r="O96" s="47"/>
      <c r="P96" s="45"/>
      <c r="Q96" s="2"/>
      <c r="R96" s="2"/>
      <c r="S96" s="2"/>
      <c r="T96" s="45"/>
      <c r="U96" s="46"/>
      <c r="V96" s="2"/>
      <c r="W96" s="2"/>
      <c r="X96" s="2"/>
      <c r="Y96" s="46"/>
      <c r="Z96" s="47"/>
      <c r="AA96" s="2"/>
      <c r="AB96" s="2"/>
      <c r="AC96" s="2"/>
      <c r="AD96" s="47"/>
      <c r="AE96" s="47"/>
      <c r="AF96" s="2"/>
      <c r="AG96" s="2"/>
      <c r="AH96" s="2"/>
      <c r="AI96" s="46"/>
      <c r="AJ96" s="99"/>
      <c r="AK96" s="2"/>
      <c r="AL96" s="2"/>
      <c r="AM96" s="2"/>
      <c r="AN96" s="46"/>
      <c r="AO96" s="3"/>
      <c r="AP96" s="2"/>
      <c r="AQ96" s="2"/>
      <c r="AR96" s="2"/>
      <c r="AS96" s="3"/>
      <c r="AT96" s="3"/>
      <c r="AU96" s="2"/>
      <c r="AV96" s="2"/>
      <c r="AW96" s="2"/>
      <c r="AZ96" s="2"/>
      <c r="BA96" s="2"/>
      <c r="BB96" s="2"/>
      <c r="BE96" s="2"/>
      <c r="BF96" s="2"/>
      <c r="BG96" s="2"/>
      <c r="BJ96" s="2"/>
      <c r="BK96" s="2"/>
      <c r="BL96" s="2"/>
      <c r="BO96" s="2"/>
      <c r="BP96" s="2"/>
      <c r="BQ96" s="2"/>
      <c r="BT96" s="2"/>
      <c r="BU96" s="2"/>
      <c r="BV96" s="2"/>
      <c r="BY96" s="2"/>
      <c r="BZ96" s="2"/>
      <c r="CA96" s="2"/>
      <c r="CD96" s="2"/>
      <c r="CE96" s="2"/>
      <c r="CF96" s="2"/>
      <c r="CJ96" s="2"/>
      <c r="CK96" s="2"/>
      <c r="CL96" s="2"/>
      <c r="CP96" s="2"/>
      <c r="CQ96" s="2"/>
      <c r="CR96" s="2"/>
      <c r="CV96" s="2"/>
      <c r="CW96" s="2"/>
      <c r="CX96" s="2"/>
    </row>
    <row r="97" spans="1:125" ht="17.399999999999999" x14ac:dyDescent="0.3">
      <c r="A97" s="17"/>
      <c r="B97" s="327" t="s">
        <v>184</v>
      </c>
      <c r="C97" s="2"/>
      <c r="D97" s="76"/>
      <c r="E97" s="4"/>
      <c r="F97" s="4"/>
      <c r="G97" s="2"/>
      <c r="H97" s="2"/>
      <c r="I97" s="2"/>
      <c r="J97" s="2"/>
      <c r="K97" s="2"/>
      <c r="L97" s="2"/>
      <c r="M97" s="2"/>
      <c r="N97" s="2"/>
      <c r="O97" s="47"/>
      <c r="P97" s="45"/>
      <c r="Q97" s="2"/>
      <c r="R97" s="2"/>
      <c r="S97" s="2"/>
      <c r="T97" s="45"/>
      <c r="U97" s="46"/>
      <c r="V97" s="2"/>
      <c r="W97" s="2"/>
      <c r="X97" s="2"/>
      <c r="Y97" s="46"/>
      <c r="Z97" s="47"/>
      <c r="AA97" s="2"/>
      <c r="AB97" s="2"/>
      <c r="AC97" s="2"/>
      <c r="AD97" s="47"/>
      <c r="AE97" s="47"/>
      <c r="AF97" s="2"/>
      <c r="AG97" s="2"/>
      <c r="AH97" s="2"/>
      <c r="AI97" s="46"/>
      <c r="AJ97" s="97"/>
      <c r="AK97" s="2"/>
      <c r="AL97" s="2"/>
      <c r="AM97" s="2"/>
      <c r="AN97" s="46"/>
      <c r="AO97" s="3"/>
      <c r="AP97" s="2"/>
      <c r="AQ97" s="2"/>
      <c r="AR97" s="2"/>
      <c r="AS97" s="3"/>
      <c r="AT97" s="3"/>
      <c r="AU97" s="2"/>
      <c r="AV97" s="2"/>
      <c r="AW97" s="2"/>
      <c r="AZ97" s="2"/>
      <c r="BA97" s="2"/>
      <c r="BB97" s="2"/>
      <c r="BE97" s="2"/>
      <c r="BF97" s="2"/>
      <c r="BG97" s="2"/>
      <c r="BJ97" s="2"/>
      <c r="BK97" s="2"/>
      <c r="BL97" s="2"/>
      <c r="BO97" s="2"/>
      <c r="BP97" s="2"/>
      <c r="BQ97" s="2"/>
      <c r="BT97" s="2"/>
      <c r="BU97" s="2"/>
      <c r="BV97" s="2"/>
      <c r="BY97" s="2"/>
      <c r="BZ97" s="2"/>
      <c r="CA97" s="2"/>
      <c r="CD97" s="2"/>
      <c r="CE97" s="2"/>
      <c r="CF97" s="2"/>
      <c r="CJ97" s="2"/>
      <c r="CK97" s="2"/>
      <c r="CL97" s="2"/>
      <c r="CP97" s="2"/>
      <c r="CQ97" s="2"/>
      <c r="CR97" s="2"/>
      <c r="CV97" s="2"/>
      <c r="CW97" s="2"/>
      <c r="CX97" s="2"/>
    </row>
    <row r="98" spans="1:125" s="230" customFormat="1" ht="26.25" customHeight="1" x14ac:dyDescent="0.3">
      <c r="A98" s="143"/>
      <c r="B98" s="162" t="s">
        <v>274</v>
      </c>
      <c r="C98" s="143"/>
      <c r="D98" s="163"/>
      <c r="E98" s="144"/>
      <c r="F98" s="144"/>
      <c r="G98" s="143"/>
      <c r="H98" s="143"/>
      <c r="I98" s="143"/>
      <c r="J98" s="143"/>
      <c r="K98" s="143"/>
      <c r="L98" s="143"/>
      <c r="M98" s="143"/>
      <c r="N98" s="143"/>
      <c r="O98" s="164"/>
      <c r="P98" s="165"/>
      <c r="Q98" s="143"/>
      <c r="R98" s="143"/>
      <c r="S98" s="143"/>
      <c r="T98" s="165"/>
      <c r="U98" s="166"/>
      <c r="V98" s="143"/>
      <c r="W98" s="143"/>
      <c r="X98" s="143"/>
      <c r="Y98" s="166"/>
      <c r="Z98" s="164"/>
      <c r="AA98" s="143"/>
      <c r="AB98" s="143"/>
      <c r="AC98" s="143"/>
      <c r="AD98" s="164"/>
      <c r="AE98" s="164"/>
      <c r="AF98" s="143"/>
      <c r="AG98" s="143"/>
      <c r="AH98" s="143"/>
      <c r="AI98" s="166"/>
      <c r="AJ98" s="167"/>
      <c r="AK98" s="143"/>
      <c r="AL98" s="143"/>
      <c r="AM98" s="143"/>
      <c r="AN98" s="166"/>
      <c r="AO98" s="163"/>
      <c r="AP98" s="143"/>
      <c r="AQ98" s="143"/>
      <c r="AR98" s="143"/>
      <c r="AS98" s="163"/>
      <c r="AT98" s="163"/>
      <c r="AU98" s="143"/>
      <c r="AV98" s="143"/>
      <c r="AW98" s="143"/>
      <c r="AZ98" s="143"/>
      <c r="BA98" s="143"/>
      <c r="BB98" s="143"/>
      <c r="BE98" s="143"/>
      <c r="BF98" s="143"/>
      <c r="BG98" s="143"/>
      <c r="BJ98" s="143"/>
      <c r="BK98" s="143"/>
      <c r="BL98" s="143"/>
      <c r="BO98" s="143"/>
      <c r="BP98" s="143"/>
      <c r="BQ98" s="143"/>
      <c r="BT98" s="143"/>
      <c r="BU98" s="143"/>
      <c r="BV98" s="143"/>
      <c r="BY98" s="143"/>
      <c r="BZ98" s="143"/>
      <c r="CA98" s="143"/>
      <c r="CD98" s="143"/>
      <c r="CE98" s="143"/>
      <c r="CF98" s="143"/>
      <c r="CJ98" s="143"/>
      <c r="CK98" s="143"/>
      <c r="CL98" s="143"/>
      <c r="CP98" s="143"/>
      <c r="CQ98" s="143"/>
      <c r="CR98" s="143"/>
      <c r="CV98" s="143"/>
      <c r="CW98" s="143"/>
      <c r="CX98" s="143"/>
    </row>
    <row r="99" spans="1:125" s="230" customFormat="1" ht="64.5" customHeight="1" x14ac:dyDescent="0.3">
      <c r="A99" s="143"/>
      <c r="B99" s="1435" t="s">
        <v>65</v>
      </c>
      <c r="C99" s="1435"/>
      <c r="D99" s="1435"/>
      <c r="E99" s="1435"/>
      <c r="F99" s="1435"/>
      <c r="G99" s="1435"/>
      <c r="H99" s="1435"/>
      <c r="I99" s="1435"/>
      <c r="J99" s="1435"/>
      <c r="K99" s="1435"/>
      <c r="L99" s="1435"/>
      <c r="M99" s="1435"/>
      <c r="N99" s="1435"/>
      <c r="O99" s="1435"/>
      <c r="P99" s="1435"/>
      <c r="Q99" s="1435"/>
      <c r="R99" s="1435"/>
      <c r="S99" s="1435"/>
      <c r="T99" s="1435"/>
      <c r="U99" s="1435"/>
      <c r="V99" s="1435"/>
      <c r="W99" s="1435"/>
      <c r="X99" s="1435"/>
      <c r="Y99" s="1435"/>
      <c r="Z99" s="1435"/>
      <c r="AA99" s="1435"/>
      <c r="AB99" s="1435"/>
      <c r="AC99" s="1435"/>
      <c r="AD99" s="1435"/>
      <c r="AE99" s="1435"/>
      <c r="AF99" s="1435"/>
      <c r="AG99" s="1435"/>
      <c r="AH99" s="1435"/>
      <c r="AI99" s="1435"/>
      <c r="AJ99" s="1435"/>
      <c r="AK99" s="1435"/>
      <c r="AL99" s="1435"/>
      <c r="AM99" s="1435"/>
      <c r="AN99" s="1435"/>
      <c r="AO99" s="1435"/>
      <c r="AP99" s="1435"/>
      <c r="AQ99" s="1435"/>
      <c r="AR99" s="1435"/>
      <c r="AS99" s="1435"/>
      <c r="AT99" s="1435"/>
      <c r="AU99" s="1435"/>
      <c r="AV99" s="1435"/>
      <c r="AW99" s="1435"/>
      <c r="AX99" s="1435"/>
      <c r="AY99" s="1435"/>
      <c r="AZ99" s="1435"/>
      <c r="BA99" s="1435"/>
      <c r="BB99" s="1435"/>
      <c r="BC99" s="1435"/>
      <c r="BD99" s="1435"/>
      <c r="BE99" s="1435"/>
      <c r="BF99" s="1435"/>
      <c r="BG99" s="1435"/>
      <c r="BH99" s="1435"/>
      <c r="BI99" s="1435"/>
      <c r="BJ99" s="1435"/>
      <c r="BK99" s="1435"/>
      <c r="BL99" s="1435"/>
      <c r="BM99" s="1435"/>
      <c r="BN99" s="1435"/>
      <c r="BO99" s="1435"/>
      <c r="BP99" s="1435"/>
      <c r="BQ99" s="1435"/>
      <c r="BR99" s="1435"/>
      <c r="BS99" s="1435"/>
      <c r="BT99" s="1435"/>
      <c r="BU99" s="1435"/>
      <c r="BV99" s="1435"/>
      <c r="BW99" s="1435"/>
      <c r="BX99" s="1435"/>
      <c r="BY99" s="1435"/>
      <c r="BZ99" s="1435"/>
      <c r="CA99" s="1435"/>
      <c r="CB99" s="1435"/>
      <c r="CC99" s="1435"/>
      <c r="CD99" s="1435"/>
      <c r="CE99" s="1435"/>
      <c r="CF99" s="1435"/>
      <c r="CG99" s="1435"/>
      <c r="CH99" s="1435"/>
    </row>
    <row r="100" spans="1:125" s="230" customFormat="1" ht="18" x14ac:dyDescent="0.3">
      <c r="A100" s="143"/>
      <c r="B100" s="1435" t="s">
        <v>66</v>
      </c>
      <c r="C100" s="1435"/>
      <c r="D100" s="1435"/>
      <c r="E100" s="1435"/>
      <c r="F100" s="1435"/>
      <c r="G100" s="1435"/>
      <c r="H100" s="1435"/>
      <c r="I100" s="1435"/>
      <c r="J100" s="1435"/>
      <c r="K100" s="1435"/>
      <c r="L100" s="1435"/>
      <c r="M100" s="1435"/>
      <c r="N100" s="1435"/>
      <c r="O100" s="1435"/>
      <c r="P100" s="1435"/>
      <c r="Q100" s="1435"/>
      <c r="R100" s="1435"/>
      <c r="S100" s="1435"/>
      <c r="T100" s="1435"/>
      <c r="U100" s="1435"/>
      <c r="V100" s="1435"/>
      <c r="W100" s="1435"/>
      <c r="X100" s="1435"/>
      <c r="Y100" s="1435"/>
      <c r="Z100" s="1435"/>
      <c r="AA100" s="1435"/>
      <c r="AB100" s="1435"/>
      <c r="AC100" s="1435"/>
      <c r="AD100" s="1435"/>
      <c r="AE100" s="1435"/>
      <c r="AF100" s="1435"/>
      <c r="AG100" s="1435"/>
      <c r="AH100" s="1435"/>
      <c r="AI100" s="1435"/>
      <c r="AJ100" s="1435"/>
      <c r="AK100" s="713"/>
      <c r="AL100" s="713"/>
      <c r="AM100" s="713"/>
      <c r="AN100" s="713"/>
      <c r="AO100" s="163"/>
      <c r="AP100" s="713"/>
      <c r="AQ100" s="713"/>
      <c r="AR100" s="713"/>
      <c r="AS100" s="163"/>
      <c r="AT100" s="163"/>
      <c r="AU100" s="713"/>
      <c r="AV100" s="713"/>
      <c r="AW100" s="713"/>
      <c r="AZ100" s="713"/>
      <c r="BA100" s="713"/>
      <c r="BB100" s="713"/>
      <c r="BE100" s="713"/>
      <c r="BF100" s="713"/>
      <c r="BG100" s="713"/>
      <c r="BJ100" s="713"/>
      <c r="BK100" s="713"/>
      <c r="BL100" s="713"/>
      <c r="BO100" s="713"/>
      <c r="BP100" s="713"/>
      <c r="BQ100" s="713"/>
      <c r="BT100" s="713"/>
      <c r="BU100" s="713"/>
      <c r="BV100" s="713"/>
      <c r="BY100" s="713"/>
      <c r="BZ100" s="713"/>
      <c r="CA100" s="713"/>
      <c r="CD100" s="713"/>
      <c r="CE100" s="713"/>
      <c r="CF100" s="713"/>
      <c r="CJ100" s="713"/>
      <c r="CK100" s="713"/>
      <c r="CL100" s="713"/>
      <c r="CP100" s="713"/>
      <c r="CQ100" s="713"/>
      <c r="CR100" s="713"/>
      <c r="CV100" s="713"/>
      <c r="CW100" s="713"/>
      <c r="CX100" s="713"/>
    </row>
    <row r="101" spans="1:125" s="230" customFormat="1" ht="18" x14ac:dyDescent="0.3">
      <c r="A101" s="143"/>
      <c r="B101" s="162" t="s">
        <v>67</v>
      </c>
      <c r="C101" s="713"/>
      <c r="D101" s="713"/>
      <c r="E101" s="713"/>
      <c r="F101" s="713"/>
      <c r="G101" s="713"/>
      <c r="H101" s="713"/>
      <c r="I101" s="713"/>
      <c r="J101" s="713"/>
      <c r="K101" s="713"/>
      <c r="L101" s="713"/>
      <c r="M101" s="713"/>
      <c r="N101" s="713"/>
      <c r="O101" s="168"/>
      <c r="P101" s="168"/>
      <c r="Q101" s="713"/>
      <c r="R101" s="713"/>
      <c r="S101" s="713"/>
      <c r="T101" s="168"/>
      <c r="U101" s="168"/>
      <c r="V101" s="713"/>
      <c r="W101" s="713"/>
      <c r="X101" s="713"/>
      <c r="Y101" s="168"/>
      <c r="Z101" s="168"/>
      <c r="AA101" s="713"/>
      <c r="AB101" s="713"/>
      <c r="AC101" s="713"/>
      <c r="AD101" s="168"/>
      <c r="AE101" s="168"/>
      <c r="AF101" s="713"/>
      <c r="AG101" s="713"/>
      <c r="AH101" s="713"/>
      <c r="AI101" s="168"/>
      <c r="AJ101" s="169"/>
      <c r="AK101" s="713"/>
      <c r="AL101" s="713"/>
      <c r="AM101" s="713"/>
      <c r="AN101" s="168"/>
      <c r="AO101" s="170"/>
      <c r="AP101" s="713"/>
      <c r="AQ101" s="713"/>
      <c r="AR101" s="713"/>
      <c r="AS101" s="170"/>
      <c r="AT101" s="170"/>
      <c r="AU101" s="713"/>
      <c r="AV101" s="713"/>
      <c r="AW101" s="713"/>
      <c r="AZ101" s="713"/>
      <c r="BA101" s="713"/>
      <c r="BB101" s="713"/>
      <c r="BE101" s="713"/>
      <c r="BF101" s="713"/>
      <c r="BG101" s="713"/>
      <c r="BJ101" s="713"/>
      <c r="BK101" s="713"/>
      <c r="BL101" s="713"/>
      <c r="BO101" s="713"/>
      <c r="BP101" s="713"/>
      <c r="BQ101" s="713"/>
      <c r="BT101" s="713"/>
      <c r="BU101" s="713"/>
      <c r="BV101" s="713"/>
      <c r="BY101" s="713"/>
      <c r="BZ101" s="713"/>
      <c r="CA101" s="713"/>
      <c r="CD101" s="713"/>
      <c r="CE101" s="713"/>
      <c r="CF101" s="713"/>
      <c r="CJ101" s="713"/>
      <c r="CK101" s="713"/>
      <c r="CL101" s="713"/>
      <c r="CP101" s="713"/>
      <c r="CQ101" s="713"/>
      <c r="CR101" s="713"/>
      <c r="CV101" s="713"/>
      <c r="CW101" s="713"/>
      <c r="CX101" s="713"/>
    </row>
    <row r="102" spans="1:125" s="230" customFormat="1" ht="42" customHeight="1" x14ac:dyDescent="0.3">
      <c r="A102" s="169"/>
      <c r="B102" s="1435" t="s">
        <v>185</v>
      </c>
      <c r="C102" s="1435"/>
      <c r="D102" s="1435"/>
      <c r="E102" s="1435"/>
      <c r="F102" s="1435"/>
      <c r="G102" s="1435"/>
      <c r="H102" s="1435"/>
      <c r="I102" s="1435"/>
      <c r="J102" s="1435"/>
      <c r="K102" s="1435"/>
      <c r="L102" s="1435"/>
      <c r="M102" s="1435"/>
      <c r="N102" s="1435"/>
      <c r="O102" s="1435"/>
      <c r="P102" s="1435"/>
      <c r="Q102" s="1435"/>
      <c r="R102" s="1435"/>
      <c r="S102" s="1435"/>
      <c r="T102" s="1435"/>
      <c r="U102" s="1435"/>
      <c r="V102" s="1435"/>
      <c r="W102" s="1435"/>
      <c r="X102" s="1435"/>
      <c r="Y102" s="1435"/>
      <c r="Z102" s="1435"/>
      <c r="AA102" s="1435"/>
      <c r="AB102" s="1435"/>
      <c r="AC102" s="1435"/>
      <c r="AD102" s="1435"/>
      <c r="AE102" s="1435"/>
      <c r="AF102" s="1435"/>
      <c r="AG102" s="1435"/>
      <c r="AH102" s="1435"/>
      <c r="AI102" s="1435"/>
      <c r="AJ102" s="1435"/>
      <c r="AK102" s="1435"/>
      <c r="AL102" s="1435"/>
      <c r="AM102" s="1435"/>
      <c r="AN102" s="1435"/>
      <c r="AO102" s="1435"/>
      <c r="AP102" s="1435"/>
      <c r="AQ102" s="1435"/>
      <c r="AR102" s="1435"/>
      <c r="AS102" s="1435"/>
      <c r="AT102" s="1435"/>
      <c r="AU102" s="1435"/>
      <c r="AV102" s="1435"/>
      <c r="AW102" s="1435"/>
      <c r="AX102" s="1435"/>
      <c r="AY102" s="1435"/>
      <c r="AZ102" s="1435"/>
      <c r="BA102" s="1435"/>
      <c r="BB102" s="1435"/>
      <c r="BC102" s="1435"/>
      <c r="BD102" s="1435"/>
      <c r="BE102" s="1435"/>
      <c r="BF102" s="1435"/>
      <c r="BG102" s="1435"/>
      <c r="BH102" s="1435"/>
      <c r="BI102" s="1435"/>
      <c r="BJ102" s="1435"/>
      <c r="BK102" s="1435"/>
      <c r="BL102" s="1435"/>
      <c r="BM102" s="1435"/>
      <c r="BN102" s="1435"/>
      <c r="BO102" s="1435"/>
      <c r="BP102" s="1435"/>
      <c r="BQ102" s="1435"/>
      <c r="BR102" s="1435"/>
      <c r="BS102" s="1435"/>
      <c r="BT102" s="1435"/>
      <c r="BU102" s="1435"/>
      <c r="BV102" s="1435"/>
      <c r="BW102" s="1435"/>
      <c r="BX102" s="1435"/>
      <c r="BY102" s="1435"/>
      <c r="BZ102" s="1435"/>
      <c r="CA102" s="1435"/>
      <c r="CB102" s="1435"/>
      <c r="CC102" s="1435"/>
      <c r="CD102" s="1435"/>
      <c r="CE102" s="1435"/>
      <c r="CF102" s="1435"/>
      <c r="CG102" s="1435"/>
      <c r="CH102" s="1435"/>
      <c r="CI102" s="1435"/>
      <c r="CJ102" s="713"/>
      <c r="CK102" s="713"/>
      <c r="CL102" s="713"/>
      <c r="CM102" s="713"/>
      <c r="CZ102" s="231"/>
      <c r="DA102" s="231"/>
      <c r="DB102" s="231"/>
      <c r="DC102" s="232"/>
      <c r="DD102" s="232"/>
      <c r="DE102" s="86"/>
      <c r="DF102" s="172"/>
      <c r="DG102" s="172"/>
      <c r="DH102" s="173"/>
      <c r="DI102" s="174"/>
      <c r="DJ102" s="89"/>
      <c r="DK102" s="89"/>
      <c r="DL102" s="89"/>
      <c r="DM102" s="174"/>
      <c r="DN102" s="233"/>
      <c r="DO102" s="233"/>
      <c r="DP102" s="233"/>
      <c r="DQ102" s="233"/>
      <c r="DR102" s="233"/>
      <c r="DS102" s="233"/>
      <c r="DT102" s="188"/>
      <c r="DU102" s="188"/>
    </row>
    <row r="103" spans="1:125" s="230" customFormat="1" ht="49.5" customHeight="1" x14ac:dyDescent="0.3">
      <c r="A103" s="169"/>
      <c r="B103" s="1435" t="s">
        <v>275</v>
      </c>
      <c r="C103" s="1435"/>
      <c r="D103" s="1435"/>
      <c r="E103" s="1435"/>
      <c r="F103" s="1435"/>
      <c r="G103" s="1435"/>
      <c r="H103" s="1435"/>
      <c r="I103" s="1435"/>
      <c r="J103" s="1435"/>
      <c r="K103" s="1435"/>
      <c r="L103" s="1435"/>
      <c r="M103" s="1435"/>
      <c r="N103" s="1435"/>
      <c r="O103" s="1435"/>
      <c r="P103" s="1435"/>
      <c r="Q103" s="1435"/>
      <c r="R103" s="1435"/>
      <c r="S103" s="1435"/>
      <c r="T103" s="1435"/>
      <c r="U103" s="1435"/>
      <c r="V103" s="1435"/>
      <c r="W103" s="1435"/>
      <c r="X103" s="1435"/>
      <c r="Y103" s="1435"/>
      <c r="Z103" s="1435"/>
      <c r="AA103" s="1435"/>
      <c r="AB103" s="1435"/>
      <c r="AC103" s="1435"/>
      <c r="AD103" s="1435"/>
      <c r="AE103" s="1435"/>
      <c r="AF103" s="1435"/>
      <c r="AG103" s="1435"/>
      <c r="AH103" s="1435"/>
      <c r="AI103" s="1435"/>
      <c r="AJ103" s="1435"/>
      <c r="AK103" s="1435"/>
      <c r="AL103" s="1435"/>
      <c r="AM103" s="1435"/>
      <c r="AN103" s="1435"/>
      <c r="AO103" s="1435"/>
      <c r="AP103" s="1435"/>
      <c r="AQ103" s="1435"/>
      <c r="AR103" s="1435"/>
      <c r="AS103" s="1435"/>
      <c r="AT103" s="1435"/>
      <c r="AU103" s="1435"/>
      <c r="AV103" s="1435"/>
      <c r="AW103" s="1435"/>
      <c r="AX103" s="1435"/>
      <c r="AY103" s="1435"/>
      <c r="AZ103" s="1435"/>
      <c r="BA103" s="1435"/>
      <c r="BB103" s="1435"/>
      <c r="BC103" s="1435"/>
      <c r="BD103" s="1435"/>
      <c r="BE103" s="1435"/>
      <c r="BF103" s="1435"/>
      <c r="BG103" s="1435"/>
      <c r="BH103" s="1435"/>
      <c r="BI103" s="1435"/>
      <c r="BJ103" s="1435"/>
      <c r="BK103" s="1435"/>
      <c r="BL103" s="1435"/>
      <c r="BM103" s="1435"/>
      <c r="BN103" s="1435"/>
      <c r="BO103" s="1435"/>
      <c r="BP103" s="1435"/>
      <c r="BQ103" s="1435"/>
      <c r="BR103" s="1435"/>
      <c r="BS103" s="1435"/>
      <c r="BT103" s="1435"/>
      <c r="BU103" s="1435"/>
      <c r="BV103" s="1435"/>
      <c r="BW103" s="1435"/>
      <c r="BX103" s="1435"/>
      <c r="BY103" s="1435"/>
      <c r="BZ103" s="1435"/>
      <c r="CA103" s="1435"/>
      <c r="CB103" s="1435"/>
      <c r="CC103" s="1435"/>
      <c r="CD103" s="1435"/>
      <c r="CE103" s="1435"/>
      <c r="CF103" s="1435"/>
      <c r="CG103" s="1435"/>
      <c r="CH103" s="1435"/>
      <c r="CI103" s="171"/>
      <c r="CJ103" s="171"/>
      <c r="CK103" s="171"/>
      <c r="CL103" s="171"/>
      <c r="CM103" s="171"/>
    </row>
    <row r="104" spans="1:125" s="230" customFormat="1" ht="42.75" customHeight="1" x14ac:dyDescent="0.3">
      <c r="A104" s="143"/>
      <c r="B104" s="1435" t="s">
        <v>276</v>
      </c>
      <c r="C104" s="1435"/>
      <c r="D104" s="1435"/>
      <c r="E104" s="1435"/>
      <c r="F104" s="1435"/>
      <c r="G104" s="1435"/>
      <c r="H104" s="1435"/>
      <c r="I104" s="1435"/>
      <c r="J104" s="1435"/>
      <c r="K104" s="1435"/>
      <c r="L104" s="1435"/>
      <c r="M104" s="1435"/>
      <c r="N104" s="1435"/>
      <c r="O104" s="1435"/>
      <c r="P104" s="1435"/>
      <c r="Q104" s="1435"/>
      <c r="R104" s="1435"/>
      <c r="S104" s="1435"/>
      <c r="T104" s="1435"/>
      <c r="U104" s="1435"/>
      <c r="V104" s="1435"/>
      <c r="W104" s="1435"/>
      <c r="X104" s="1435"/>
      <c r="Y104" s="1435"/>
      <c r="Z104" s="1435"/>
      <c r="AA104" s="1435"/>
      <c r="AB104" s="1435"/>
      <c r="AC104" s="1435"/>
      <c r="AD104" s="1435"/>
      <c r="AE104" s="1435"/>
      <c r="AF104" s="1435"/>
      <c r="AG104" s="1435"/>
      <c r="AH104" s="1435"/>
      <c r="AI104" s="1435"/>
      <c r="AJ104" s="1435"/>
      <c r="AK104" s="1435"/>
      <c r="AL104" s="1435"/>
      <c r="AM104" s="1435"/>
      <c r="AN104" s="1435"/>
      <c r="AO104" s="1435"/>
      <c r="AP104" s="1435"/>
      <c r="AQ104" s="1435"/>
      <c r="AR104" s="1435"/>
      <c r="AS104" s="1435"/>
      <c r="AT104" s="1435"/>
      <c r="AU104" s="1435"/>
      <c r="AV104" s="1435"/>
      <c r="AW104" s="1435"/>
      <c r="AX104" s="1435"/>
      <c r="AY104" s="1435"/>
      <c r="AZ104" s="1435"/>
      <c r="BA104" s="1435"/>
      <c r="BB104" s="1435"/>
      <c r="BC104" s="1435"/>
      <c r="BD104" s="1435"/>
      <c r="BE104" s="1435"/>
      <c r="BF104" s="1435"/>
      <c r="BG104" s="1435"/>
      <c r="BH104" s="1435"/>
      <c r="BI104" s="1435"/>
      <c r="BJ104" s="1435"/>
      <c r="BK104" s="1435"/>
      <c r="BL104" s="1435"/>
      <c r="BM104" s="1435"/>
      <c r="BN104" s="1435"/>
      <c r="BO104" s="1435"/>
      <c r="BP104" s="1435"/>
      <c r="BQ104" s="1435"/>
      <c r="BR104" s="1435"/>
      <c r="BS104" s="1435"/>
      <c r="BT104" s="1435"/>
      <c r="BU104" s="1435"/>
      <c r="BV104" s="1435"/>
      <c r="BW104" s="1435"/>
      <c r="BX104" s="1435"/>
      <c r="BY104" s="1435"/>
      <c r="BZ104" s="1435"/>
      <c r="CA104" s="1435"/>
      <c r="CB104" s="1435"/>
      <c r="CC104" s="1435"/>
      <c r="CD104" s="1435"/>
      <c r="CE104" s="1435"/>
      <c r="CF104" s="1435"/>
      <c r="CG104" s="1435"/>
      <c r="CH104" s="1435"/>
    </row>
    <row r="105" spans="1:125" s="230" customFormat="1" ht="39" customHeight="1" x14ac:dyDescent="0.3">
      <c r="A105" s="143"/>
      <c r="B105" s="1435" t="s">
        <v>277</v>
      </c>
      <c r="C105" s="1435"/>
      <c r="D105" s="1435"/>
      <c r="E105" s="1435"/>
      <c r="F105" s="1435"/>
      <c r="G105" s="1435"/>
      <c r="H105" s="1435"/>
      <c r="I105" s="1435"/>
      <c r="J105" s="1435"/>
      <c r="K105" s="1435"/>
      <c r="L105" s="1435"/>
      <c r="M105" s="1435"/>
      <c r="N105" s="1435"/>
      <c r="O105" s="1435"/>
      <c r="P105" s="1435"/>
      <c r="Q105" s="1435"/>
      <c r="R105" s="1435"/>
      <c r="S105" s="1435"/>
      <c r="T105" s="1435"/>
      <c r="U105" s="1435"/>
      <c r="V105" s="1435"/>
      <c r="W105" s="1435"/>
      <c r="X105" s="1435"/>
      <c r="Y105" s="1435"/>
      <c r="Z105" s="1435"/>
      <c r="AA105" s="1435"/>
      <c r="AB105" s="1435"/>
      <c r="AC105" s="1435"/>
      <c r="AD105" s="1435"/>
      <c r="AE105" s="1435"/>
      <c r="AF105" s="1435"/>
      <c r="AG105" s="1435"/>
      <c r="AH105" s="1435"/>
      <c r="AI105" s="1435"/>
      <c r="AJ105" s="1435"/>
      <c r="AK105" s="1435"/>
      <c r="AL105" s="1435"/>
      <c r="AM105" s="1435"/>
      <c r="AN105" s="1435"/>
      <c r="AO105" s="1435"/>
      <c r="AP105" s="1435"/>
      <c r="AQ105" s="1435"/>
      <c r="AR105" s="1435"/>
      <c r="AS105" s="1435"/>
      <c r="AT105" s="1435"/>
      <c r="AU105" s="1435"/>
      <c r="AV105" s="1435"/>
      <c r="AW105" s="1435"/>
      <c r="AX105" s="1435"/>
      <c r="AY105" s="1435"/>
      <c r="AZ105" s="1435"/>
      <c r="BA105" s="1435"/>
      <c r="BB105" s="1435"/>
      <c r="BC105" s="1435"/>
      <c r="BD105" s="1435"/>
      <c r="BE105" s="1435"/>
      <c r="BF105" s="1435"/>
      <c r="BG105" s="1435"/>
      <c r="BH105" s="1435"/>
      <c r="BI105" s="1435"/>
      <c r="BJ105" s="1435"/>
      <c r="BK105" s="1435"/>
      <c r="BL105" s="1435"/>
      <c r="BM105" s="1435"/>
      <c r="BN105" s="1435"/>
      <c r="BO105" s="1435"/>
      <c r="BP105" s="1435"/>
      <c r="BQ105" s="1435"/>
      <c r="BR105" s="1435"/>
      <c r="BS105" s="1435"/>
      <c r="BT105" s="1435"/>
      <c r="BU105" s="1435"/>
      <c r="BV105" s="1435"/>
      <c r="BW105" s="1435"/>
      <c r="BX105" s="1435"/>
      <c r="BY105" s="1435"/>
      <c r="BZ105" s="1435"/>
      <c r="CA105" s="1435"/>
      <c r="CB105" s="1435"/>
      <c r="CC105" s="1435"/>
      <c r="CD105" s="1435"/>
      <c r="CE105" s="1435"/>
      <c r="CF105" s="1435"/>
      <c r="CG105" s="1435"/>
      <c r="CH105" s="1435"/>
    </row>
    <row r="106" spans="1:125" ht="18.75" customHeight="1" x14ac:dyDescent="0.3">
      <c r="A106" s="82"/>
      <c r="B106" s="328" t="s">
        <v>278</v>
      </c>
      <c r="C106" s="83"/>
      <c r="D106" s="84"/>
      <c r="E106" s="85"/>
      <c r="F106" s="85"/>
      <c r="G106" s="83"/>
      <c r="H106" s="83"/>
      <c r="I106" s="83"/>
      <c r="J106" s="83"/>
      <c r="K106" s="83"/>
      <c r="L106" s="83"/>
      <c r="M106" s="83"/>
      <c r="N106" s="83"/>
      <c r="O106" s="86"/>
      <c r="P106" s="87"/>
      <c r="Q106" s="83"/>
      <c r="R106" s="83"/>
      <c r="S106" s="83"/>
      <c r="T106" s="87"/>
      <c r="U106" s="88"/>
      <c r="V106" s="83"/>
      <c r="W106" s="83"/>
      <c r="X106" s="83"/>
      <c r="Y106" s="88"/>
      <c r="Z106" s="86"/>
      <c r="AA106" s="83"/>
      <c r="AB106" s="83"/>
      <c r="AC106" s="83"/>
      <c r="AD106" s="86"/>
      <c r="AE106" s="86"/>
      <c r="AF106" s="83"/>
      <c r="AG106" s="83"/>
      <c r="AH106" s="83"/>
      <c r="AI106" s="88"/>
      <c r="AJ106" s="97"/>
      <c r="AK106" s="83"/>
      <c r="AL106" s="83"/>
      <c r="AM106" s="83"/>
      <c r="AN106" s="88"/>
      <c r="AO106" s="89"/>
      <c r="AP106" s="83"/>
      <c r="AQ106" s="83"/>
      <c r="AR106" s="83"/>
      <c r="AS106" s="89"/>
      <c r="AT106" s="89"/>
      <c r="AU106" s="83"/>
      <c r="AV106" s="83"/>
      <c r="AW106" s="83"/>
      <c r="AZ106" s="83"/>
      <c r="BA106" s="83"/>
      <c r="BB106" s="83"/>
      <c r="BE106" s="83"/>
      <c r="BF106" s="83"/>
      <c r="BG106" s="83"/>
      <c r="BJ106" s="83"/>
      <c r="BK106" s="83"/>
      <c r="BL106" s="83"/>
      <c r="BO106" s="83"/>
      <c r="BP106" s="83"/>
      <c r="BQ106" s="83"/>
      <c r="BT106" s="83"/>
      <c r="BU106" s="83"/>
      <c r="BV106" s="83"/>
      <c r="BY106" s="83"/>
      <c r="BZ106" s="83"/>
      <c r="CA106" s="83"/>
      <c r="CD106" s="83"/>
      <c r="CE106" s="83"/>
      <c r="CF106" s="83"/>
      <c r="CJ106" s="83"/>
      <c r="CK106" s="83"/>
      <c r="CL106" s="83"/>
      <c r="CP106" s="83"/>
      <c r="CQ106" s="83"/>
      <c r="CR106" s="83"/>
      <c r="CV106" s="83"/>
      <c r="CW106" s="83"/>
      <c r="CX106" s="83"/>
    </row>
    <row r="107" spans="1:125" ht="18.75" customHeight="1" x14ac:dyDescent="0.3">
      <c r="A107" s="82"/>
      <c r="B107" s="329" t="s">
        <v>279</v>
      </c>
      <c r="C107" s="83"/>
      <c r="D107" s="84"/>
      <c r="E107" s="85"/>
      <c r="F107" s="85"/>
      <c r="G107" s="83"/>
      <c r="H107" s="83"/>
      <c r="I107" s="83"/>
      <c r="J107" s="83"/>
      <c r="K107" s="83"/>
      <c r="L107" s="83"/>
      <c r="M107" s="83"/>
      <c r="N107" s="83"/>
      <c r="O107" s="86"/>
      <c r="P107" s="87"/>
      <c r="Q107" s="83"/>
      <c r="R107" s="83"/>
      <c r="S107" s="83"/>
      <c r="T107" s="87"/>
      <c r="U107" s="88"/>
      <c r="V107" s="83"/>
      <c r="W107" s="83"/>
      <c r="X107" s="83"/>
      <c r="Y107" s="88"/>
      <c r="Z107" s="86"/>
      <c r="AA107" s="83"/>
      <c r="AB107" s="83"/>
      <c r="AC107" s="83"/>
      <c r="AD107" s="86"/>
      <c r="AE107" s="86"/>
      <c r="AF107" s="83"/>
      <c r="AG107" s="83"/>
      <c r="AH107" s="83"/>
      <c r="AI107" s="88"/>
      <c r="AJ107" s="31"/>
      <c r="AK107" s="83"/>
      <c r="AL107" s="83"/>
      <c r="AM107" s="83"/>
      <c r="AN107" s="88"/>
      <c r="AO107" s="89"/>
      <c r="AP107" s="83"/>
      <c r="AQ107" s="83"/>
      <c r="AR107" s="83"/>
      <c r="AS107" s="89"/>
      <c r="AT107" s="89"/>
      <c r="AU107" s="83"/>
      <c r="AV107" s="83"/>
      <c r="AW107" s="83"/>
      <c r="AZ107" s="83"/>
      <c r="BA107" s="83"/>
      <c r="BB107" s="83"/>
      <c r="BE107" s="83"/>
      <c r="BF107" s="83"/>
      <c r="BG107" s="83"/>
      <c r="BJ107" s="83"/>
      <c r="BK107" s="83"/>
      <c r="BL107" s="83"/>
      <c r="BO107" s="83"/>
      <c r="BP107" s="83"/>
      <c r="BQ107" s="83"/>
      <c r="BT107" s="83"/>
      <c r="BU107" s="83"/>
      <c r="BV107" s="83"/>
      <c r="BY107" s="83"/>
      <c r="BZ107" s="83"/>
      <c r="CA107" s="83"/>
      <c r="CD107" s="83"/>
      <c r="CE107" s="83"/>
      <c r="CF107" s="83"/>
      <c r="CJ107" s="83"/>
      <c r="CK107" s="83"/>
      <c r="CL107" s="83"/>
      <c r="CP107" s="83"/>
      <c r="CQ107" s="83"/>
      <c r="CR107" s="83"/>
      <c r="CV107" s="83"/>
      <c r="CW107" s="83"/>
      <c r="CX107" s="83"/>
    </row>
    <row r="108" spans="1:125" ht="18.75" customHeight="1" x14ac:dyDescent="0.3">
      <c r="A108" s="82"/>
      <c r="B108" s="328" t="s">
        <v>186</v>
      </c>
      <c r="C108" s="83"/>
      <c r="D108" s="84"/>
      <c r="E108" s="85"/>
      <c r="F108" s="85"/>
      <c r="G108" s="83"/>
      <c r="H108" s="83"/>
      <c r="I108" s="83"/>
      <c r="J108" s="83"/>
      <c r="K108" s="83"/>
      <c r="L108" s="83"/>
      <c r="M108" s="83"/>
      <c r="N108" s="83"/>
      <c r="O108" s="86"/>
      <c r="P108" s="87"/>
      <c r="Q108" s="83"/>
      <c r="R108" s="83"/>
      <c r="S108" s="83"/>
      <c r="T108" s="87"/>
      <c r="U108" s="88"/>
      <c r="V108" s="83"/>
      <c r="W108" s="83"/>
      <c r="X108" s="83"/>
      <c r="Y108" s="88"/>
      <c r="Z108" s="86"/>
      <c r="AA108" s="83"/>
      <c r="AB108" s="83"/>
      <c r="AC108" s="83"/>
      <c r="AD108" s="86"/>
      <c r="AE108" s="86"/>
      <c r="AF108" s="83"/>
      <c r="AG108" s="83"/>
      <c r="AH108" s="83"/>
      <c r="AI108" s="88"/>
      <c r="AJ108" s="2"/>
      <c r="AK108" s="83"/>
      <c r="AL108" s="83"/>
      <c r="AM108" s="83"/>
      <c r="AN108" s="88"/>
      <c r="AO108" s="89"/>
      <c r="AP108" s="83"/>
      <c r="AQ108" s="83"/>
      <c r="AR108" s="83"/>
      <c r="AS108" s="89"/>
      <c r="AT108" s="89"/>
      <c r="AU108" s="83"/>
      <c r="AV108" s="83"/>
      <c r="AW108" s="83"/>
      <c r="AZ108" s="83"/>
      <c r="BA108" s="83"/>
      <c r="BB108" s="83"/>
      <c r="BE108" s="83"/>
      <c r="BF108" s="83"/>
      <c r="BG108" s="83"/>
      <c r="BJ108" s="83"/>
      <c r="BK108" s="83"/>
      <c r="BL108" s="83"/>
      <c r="BO108" s="83"/>
      <c r="BP108" s="83"/>
      <c r="BQ108" s="83"/>
      <c r="BT108" s="83"/>
      <c r="BU108" s="83"/>
      <c r="BV108" s="83"/>
      <c r="BY108" s="83"/>
      <c r="BZ108" s="83"/>
      <c r="CA108" s="83"/>
      <c r="CD108" s="83"/>
      <c r="CE108" s="83"/>
      <c r="CF108" s="83"/>
      <c r="CJ108" s="83"/>
      <c r="CK108" s="83"/>
      <c r="CL108" s="83"/>
      <c r="CP108" s="83"/>
      <c r="CQ108" s="83"/>
      <c r="CR108" s="83"/>
      <c r="CV108" s="83"/>
      <c r="CW108" s="83"/>
      <c r="CX108" s="83"/>
    </row>
    <row r="109" spans="1:125" ht="24.75" customHeight="1" x14ac:dyDescent="0.3">
      <c r="A109" s="90">
        <v>4</v>
      </c>
      <c r="B109" s="328" t="s">
        <v>187</v>
      </c>
      <c r="C109" s="91"/>
      <c r="D109" s="90"/>
      <c r="E109" s="92"/>
      <c r="F109" s="92"/>
      <c r="G109" s="91"/>
      <c r="H109" s="91"/>
      <c r="I109" s="91"/>
      <c r="J109" s="91"/>
      <c r="K109" s="91"/>
      <c r="L109" s="91"/>
      <c r="M109" s="91"/>
      <c r="N109" s="91"/>
      <c r="O109" s="93"/>
      <c r="P109" s="94"/>
      <c r="Q109" s="91"/>
      <c r="R109" s="91"/>
      <c r="S109" s="91"/>
      <c r="T109" s="94"/>
      <c r="U109" s="95"/>
      <c r="V109" s="91"/>
      <c r="W109" s="91"/>
      <c r="X109" s="91"/>
      <c r="Y109" s="95"/>
      <c r="Z109" s="93"/>
      <c r="AA109" s="91"/>
      <c r="AB109" s="91"/>
      <c r="AC109" s="91"/>
      <c r="AD109" s="93"/>
      <c r="AE109" s="93"/>
      <c r="AF109" s="91"/>
      <c r="AG109" s="91"/>
      <c r="AH109" s="91"/>
      <c r="AI109" s="95"/>
      <c r="AJ109" s="31"/>
      <c r="AK109" s="91"/>
      <c r="AL109" s="91"/>
      <c r="AM109" s="91"/>
      <c r="AN109" s="95"/>
      <c r="AO109" s="90"/>
      <c r="AP109" s="91"/>
      <c r="AQ109" s="91"/>
      <c r="AR109" s="91"/>
      <c r="AS109" s="90"/>
      <c r="AT109" s="90"/>
      <c r="AU109" s="91"/>
      <c r="AV109" s="91"/>
      <c r="AW109" s="91"/>
      <c r="AZ109" s="91"/>
      <c r="BA109" s="91"/>
      <c r="BB109" s="91"/>
      <c r="BE109" s="91"/>
      <c r="BF109" s="91"/>
      <c r="BG109" s="91"/>
      <c r="BJ109" s="91"/>
      <c r="BK109" s="91"/>
      <c r="BL109" s="91"/>
      <c r="BO109" s="91"/>
      <c r="BP109" s="91"/>
      <c r="BQ109" s="91"/>
      <c r="BT109" s="91"/>
      <c r="BU109" s="91"/>
      <c r="BV109" s="91"/>
      <c r="BY109" s="91"/>
      <c r="BZ109" s="91"/>
      <c r="CA109" s="91"/>
      <c r="CD109" s="91"/>
      <c r="CE109" s="91"/>
      <c r="CF109" s="91"/>
      <c r="CJ109" s="91"/>
      <c r="CK109" s="91"/>
      <c r="CL109" s="91"/>
      <c r="CP109" s="91"/>
      <c r="CQ109" s="91"/>
      <c r="CR109" s="91"/>
      <c r="CV109" s="91"/>
      <c r="CW109" s="91"/>
      <c r="CX109" s="91"/>
    </row>
    <row r="110" spans="1:125" ht="12.75" customHeight="1" x14ac:dyDescent="0.3">
      <c r="A110" s="17"/>
      <c r="B110" s="330" t="s">
        <v>188</v>
      </c>
      <c r="C110" s="83"/>
      <c r="D110" s="84"/>
      <c r="E110" s="85"/>
      <c r="F110" s="85"/>
      <c r="G110" s="83"/>
      <c r="H110" s="83"/>
      <c r="I110" s="83"/>
      <c r="J110" s="83"/>
      <c r="K110" s="83"/>
      <c r="L110" s="83"/>
      <c r="M110" s="83"/>
      <c r="N110" s="83"/>
      <c r="O110" s="86"/>
      <c r="P110" s="231"/>
      <c r="Q110" s="83"/>
      <c r="R110" s="83"/>
      <c r="S110" s="83"/>
      <c r="T110" s="231"/>
      <c r="U110" s="231"/>
      <c r="V110" s="83"/>
      <c r="W110" s="83"/>
      <c r="X110" s="83"/>
      <c r="Y110" s="232"/>
      <c r="Z110" s="232"/>
      <c r="AA110" s="83"/>
      <c r="AB110" s="83"/>
      <c r="AC110" s="83"/>
      <c r="AD110" s="86"/>
      <c r="AE110" s="172"/>
      <c r="AF110" s="83"/>
      <c r="AG110" s="83"/>
      <c r="AH110" s="83"/>
      <c r="AI110" s="172"/>
      <c r="AJ110" s="173"/>
      <c r="AK110" s="83"/>
      <c r="AL110" s="83"/>
      <c r="AM110" s="83"/>
      <c r="AN110" s="174"/>
      <c r="AO110" s="89"/>
      <c r="AP110" s="83"/>
      <c r="AQ110" s="83"/>
      <c r="AR110" s="83"/>
      <c r="AS110" s="89"/>
      <c r="AT110" s="89"/>
      <c r="AU110" s="83"/>
      <c r="AV110" s="83"/>
      <c r="AW110" s="83"/>
      <c r="AX110" s="174"/>
      <c r="AY110" s="233"/>
      <c r="AZ110" s="83"/>
      <c r="BA110" s="83"/>
      <c r="BB110" s="83"/>
      <c r="BC110" s="233"/>
      <c r="BD110" s="233"/>
      <c r="BE110" s="83"/>
      <c r="BF110" s="83"/>
      <c r="BG110" s="83"/>
      <c r="BH110" s="233"/>
      <c r="BI110" s="233"/>
      <c r="BJ110" s="83"/>
      <c r="BK110" s="83"/>
      <c r="BL110" s="83"/>
      <c r="BM110" s="233"/>
      <c r="BO110" s="83"/>
      <c r="BP110" s="83"/>
      <c r="BQ110" s="83"/>
      <c r="BT110" s="83"/>
      <c r="BU110" s="83"/>
      <c r="BV110" s="83"/>
      <c r="BY110" s="83"/>
      <c r="BZ110" s="83"/>
      <c r="CA110" s="83"/>
      <c r="CD110" s="83"/>
      <c r="CE110" s="83"/>
      <c r="CF110" s="83"/>
      <c r="CJ110" s="83"/>
      <c r="CK110" s="83"/>
      <c r="CL110" s="83"/>
      <c r="CP110" s="83"/>
      <c r="CQ110" s="83"/>
      <c r="CR110" s="83"/>
      <c r="CV110" s="83"/>
      <c r="CW110" s="83"/>
      <c r="CX110" s="83"/>
    </row>
    <row r="111" spans="1:125" ht="12.75" customHeight="1" x14ac:dyDescent="0.3">
      <c r="A111" s="2"/>
      <c r="B111" s="324"/>
      <c r="C111" s="324"/>
      <c r="D111" s="324"/>
      <c r="E111" s="324"/>
      <c r="F111" s="324"/>
      <c r="G111" s="324"/>
      <c r="H111" s="324"/>
      <c r="I111" s="324"/>
      <c r="J111" s="324"/>
      <c r="K111" s="324"/>
      <c r="L111" s="324"/>
      <c r="M111" s="324"/>
      <c r="N111" s="324"/>
      <c r="O111" s="175"/>
      <c r="P111" s="175"/>
      <c r="Q111" s="324"/>
      <c r="R111" s="324"/>
      <c r="S111" s="324"/>
      <c r="T111" s="175"/>
      <c r="U111" s="175"/>
      <c r="V111" s="324"/>
      <c r="W111" s="324"/>
      <c r="X111" s="324"/>
      <c r="Y111" s="175"/>
      <c r="Z111" s="175"/>
      <c r="AA111" s="324"/>
      <c r="AB111" s="324"/>
      <c r="AC111" s="324"/>
      <c r="AD111" s="175"/>
      <c r="AE111" s="175"/>
      <c r="AF111" s="324"/>
      <c r="AG111" s="324"/>
      <c r="AH111" s="324"/>
      <c r="AI111" s="175"/>
      <c r="AJ111" s="176"/>
      <c r="AK111" s="324"/>
      <c r="AL111" s="324"/>
      <c r="AM111" s="324"/>
      <c r="AN111" s="175"/>
      <c r="AO111" s="89"/>
      <c r="AP111" s="324"/>
      <c r="AQ111" s="324"/>
      <c r="AR111" s="324"/>
      <c r="AS111" s="89"/>
      <c r="AT111" s="89"/>
      <c r="AU111" s="324"/>
      <c r="AV111" s="324"/>
      <c r="AW111" s="324"/>
      <c r="AX111" s="233"/>
      <c r="AY111" s="233"/>
      <c r="AZ111" s="324"/>
      <c r="BA111" s="324"/>
      <c r="BB111" s="324"/>
      <c r="BC111" s="233"/>
      <c r="BD111" s="233"/>
      <c r="BE111" s="324"/>
      <c r="BF111" s="324"/>
      <c r="BG111" s="324"/>
      <c r="BH111" s="233"/>
      <c r="BI111" s="233"/>
      <c r="BJ111" s="324"/>
      <c r="BK111" s="324"/>
      <c r="BL111" s="324"/>
      <c r="BM111" s="233"/>
      <c r="BO111" s="324"/>
      <c r="BP111" s="324"/>
      <c r="BQ111" s="324"/>
      <c r="BT111" s="324"/>
      <c r="BU111" s="324"/>
      <c r="BV111" s="324"/>
      <c r="BY111" s="324"/>
      <c r="BZ111" s="324"/>
      <c r="CA111" s="324"/>
      <c r="CD111" s="324"/>
      <c r="CE111" s="324"/>
      <c r="CF111" s="324"/>
      <c r="CJ111" s="324"/>
      <c r="CK111" s="324"/>
      <c r="CL111" s="324"/>
      <c r="CP111" s="324"/>
      <c r="CQ111" s="324"/>
      <c r="CR111" s="324"/>
      <c r="CV111" s="324"/>
      <c r="CW111" s="324"/>
      <c r="CX111" s="324"/>
    </row>
    <row r="112" spans="1:125" ht="46.5" customHeight="1" x14ac:dyDescent="0.3">
      <c r="A112" s="2"/>
      <c r="B112" s="1435" t="s">
        <v>189</v>
      </c>
      <c r="C112" s="1435"/>
      <c r="D112" s="1435"/>
      <c r="E112" s="1435"/>
      <c r="F112" s="1435"/>
      <c r="G112" s="1435"/>
      <c r="H112" s="1435"/>
      <c r="I112" s="1435"/>
      <c r="J112" s="1435"/>
      <c r="K112" s="1435"/>
      <c r="L112" s="1435"/>
      <c r="M112" s="1435"/>
      <c r="N112" s="1435"/>
      <c r="O112" s="1435"/>
      <c r="P112" s="1435"/>
      <c r="Q112" s="1435"/>
      <c r="R112" s="1435"/>
      <c r="S112" s="1435"/>
      <c r="T112" s="1435"/>
      <c r="U112" s="1435"/>
      <c r="V112" s="1435"/>
      <c r="W112" s="1435"/>
      <c r="X112" s="1435"/>
      <c r="Y112" s="1435"/>
      <c r="Z112" s="1435"/>
      <c r="AA112" s="1435"/>
      <c r="AB112" s="1435"/>
      <c r="AC112" s="1435"/>
      <c r="AD112" s="1435"/>
      <c r="AE112" s="1435"/>
      <c r="AF112" s="1435"/>
      <c r="AG112" s="1435"/>
      <c r="AH112" s="1435"/>
      <c r="AI112" s="1435"/>
      <c r="AJ112" s="1435"/>
      <c r="AK112" s="1435"/>
      <c r="AL112" s="1435"/>
      <c r="AM112" s="1435"/>
      <c r="AN112" s="1435"/>
      <c r="AO112" s="1435"/>
      <c r="AP112" s="1435"/>
      <c r="AQ112" s="1435"/>
      <c r="AR112" s="1435"/>
      <c r="AS112" s="1435"/>
      <c r="AT112" s="1435"/>
      <c r="AU112" s="1435"/>
      <c r="AV112" s="1435"/>
      <c r="AW112" s="1435"/>
      <c r="AX112" s="1435"/>
      <c r="AY112" s="1435"/>
      <c r="AZ112" s="1435"/>
      <c r="BA112" s="1435"/>
      <c r="BB112" s="1435"/>
      <c r="BC112" s="1435"/>
      <c r="BD112" s="1435"/>
      <c r="BE112" s="1435"/>
      <c r="BF112" s="1435"/>
      <c r="BG112" s="1435"/>
      <c r="BH112" s="1435"/>
      <c r="BI112" s="1435"/>
      <c r="BJ112" s="1435"/>
      <c r="BK112" s="1435"/>
      <c r="BL112" s="1435"/>
      <c r="BM112" s="1435"/>
      <c r="BN112" s="96"/>
      <c r="BO112" s="96"/>
      <c r="BP112" s="96"/>
      <c r="BQ112" s="96"/>
      <c r="BR112" s="96"/>
      <c r="BS112" s="96"/>
      <c r="BT112" s="96"/>
      <c r="BU112" s="96"/>
      <c r="BV112" s="96"/>
      <c r="BW112" s="96"/>
      <c r="BX112" s="96"/>
      <c r="BY112" s="96"/>
      <c r="BZ112" s="96"/>
      <c r="CA112" s="96"/>
      <c r="CB112" s="96"/>
      <c r="CC112" s="91"/>
      <c r="CD112" s="96"/>
      <c r="CE112" s="96"/>
      <c r="CF112" s="96"/>
      <c r="CG112" s="96"/>
      <c r="CH112" s="96"/>
      <c r="CI112" s="91"/>
      <c r="CJ112" s="96"/>
      <c r="CK112" s="96"/>
      <c r="CL112" s="96"/>
      <c r="CM112" s="96"/>
      <c r="CN112" s="96"/>
      <c r="CO112" s="3"/>
      <c r="CP112" s="96"/>
      <c r="CQ112" s="96"/>
      <c r="CR112" s="96"/>
      <c r="CS112" s="96"/>
      <c r="CV112" s="96"/>
      <c r="CW112" s="96"/>
      <c r="CX112" s="96"/>
      <c r="CY112" s="96"/>
    </row>
    <row r="113" spans="81:93" x14ac:dyDescent="0.3">
      <c r="CC113" s="2"/>
      <c r="CI113" s="2"/>
      <c r="CO113" s="2"/>
    </row>
    <row r="114" spans="81:93" x14ac:dyDescent="0.3">
      <c r="CC114" s="2"/>
      <c r="CI114" s="2"/>
      <c r="CO114" s="2"/>
    </row>
    <row r="115" spans="81:93" x14ac:dyDescent="0.3">
      <c r="CC115" s="2"/>
      <c r="CI115" s="2"/>
      <c r="CO115" s="2"/>
    </row>
    <row r="116" spans="81:93" x14ac:dyDescent="0.3">
      <c r="CC116" s="2"/>
      <c r="CI116" s="2"/>
      <c r="CO116" s="2"/>
    </row>
    <row r="117" spans="81:93" x14ac:dyDescent="0.3">
      <c r="CC117" s="2"/>
      <c r="CI117" s="2"/>
      <c r="CO117" s="2"/>
    </row>
    <row r="118" spans="81:93" x14ac:dyDescent="0.3">
      <c r="CC118" s="97"/>
      <c r="CI118" s="97"/>
      <c r="CO118" s="97"/>
    </row>
    <row r="119" spans="81:93" x14ac:dyDescent="0.3">
      <c r="CC119" s="97"/>
      <c r="CI119" s="97"/>
      <c r="CO119" s="97"/>
    </row>
  </sheetData>
  <mergeCells count="86">
    <mergeCell ref="BH22:CN25"/>
    <mergeCell ref="I23:K23"/>
    <mergeCell ref="O23:P23"/>
    <mergeCell ref="T23:U23"/>
    <mergeCell ref="I24:K24"/>
    <mergeCell ref="H22:U22"/>
    <mergeCell ref="Y22:AI23"/>
    <mergeCell ref="AJ22:BD23"/>
    <mergeCell ref="O24:P24"/>
    <mergeCell ref="T24:U24"/>
    <mergeCell ref="Y24:AI25"/>
    <mergeCell ref="AJ24:BD25"/>
    <mergeCell ref="I25:K25"/>
    <mergeCell ref="O25:P25"/>
    <mergeCell ref="T25:U25"/>
    <mergeCell ref="BH18:CN21"/>
    <mergeCell ref="I19:K19"/>
    <mergeCell ref="O19:P19"/>
    <mergeCell ref="T19:U19"/>
    <mergeCell ref="I20:K20"/>
    <mergeCell ref="O20:P20"/>
    <mergeCell ref="T20:U20"/>
    <mergeCell ref="Y20:AI21"/>
    <mergeCell ref="AJ20:BD21"/>
    <mergeCell ref="I21:K21"/>
    <mergeCell ref="H18:U18"/>
    <mergeCell ref="Y18:AI19"/>
    <mergeCell ref="AJ18:BD19"/>
    <mergeCell ref="O21:P21"/>
    <mergeCell ref="T21:U21"/>
    <mergeCell ref="H14:U14"/>
    <mergeCell ref="Y14:AI15"/>
    <mergeCell ref="AJ14:BD15"/>
    <mergeCell ref="BH14:CN17"/>
    <mergeCell ref="I15:K15"/>
    <mergeCell ref="O15:P15"/>
    <mergeCell ref="T15:U15"/>
    <mergeCell ref="I16:K16"/>
    <mergeCell ref="O16:P16"/>
    <mergeCell ref="T16:U16"/>
    <mergeCell ref="Y16:AI17"/>
    <mergeCell ref="AJ16:BD17"/>
    <mergeCell ref="I17:K17"/>
    <mergeCell ref="O17:P17"/>
    <mergeCell ref="T17:U17"/>
    <mergeCell ref="B112:BM112"/>
    <mergeCell ref="B99:CH99"/>
    <mergeCell ref="AA31:BD31"/>
    <mergeCell ref="BE31:BN31"/>
    <mergeCell ref="BO31:CH31"/>
    <mergeCell ref="B100:AJ100"/>
    <mergeCell ref="B102:CI102"/>
    <mergeCell ref="B103:CH103"/>
    <mergeCell ref="B104:CH104"/>
    <mergeCell ref="B105:CH105"/>
    <mergeCell ref="O31:P31"/>
    <mergeCell ref="Q31:Z31"/>
    <mergeCell ref="I31:J31"/>
    <mergeCell ref="K31:L31"/>
    <mergeCell ref="M31:N31"/>
    <mergeCell ref="CI31:DF31"/>
    <mergeCell ref="A26:CN26"/>
    <mergeCell ref="A31:A32"/>
    <mergeCell ref="B31:B32"/>
    <mergeCell ref="C31:D32"/>
    <mergeCell ref="E31:E32"/>
    <mergeCell ref="F31:F32"/>
    <mergeCell ref="G31:G32"/>
    <mergeCell ref="H31:H32"/>
    <mergeCell ref="B4:BD5"/>
    <mergeCell ref="B7:BD8"/>
    <mergeCell ref="H10:U10"/>
    <mergeCell ref="Y10:AI11"/>
    <mergeCell ref="AJ10:BD11"/>
    <mergeCell ref="BH10:CN13"/>
    <mergeCell ref="I11:K11"/>
    <mergeCell ref="O11:P11"/>
    <mergeCell ref="T11:U11"/>
    <mergeCell ref="I12:K12"/>
    <mergeCell ref="O12:P12"/>
    <mergeCell ref="T12:U12"/>
    <mergeCell ref="Y12:AI13"/>
    <mergeCell ref="AJ12:BD13"/>
    <mergeCell ref="I13:K13"/>
    <mergeCell ref="O13:P13"/>
    <mergeCell ref="T13:U13"/>
  </mergeCells>
  <conditionalFormatting sqref="CI33:CI82 CO33:CO82 BT33:BT82 BO33:BO82 CD33:CD82 V33:V82 AA33:AA82 AF33:AF82 AK33:AK82 AP33:AP82 AU33:AU82 BE33:BE82 BJ33:BJ82 AZ33:AZ82 CU33:CU82 DA33:DA82 Q33:Q82">
    <cfRule type="expression" dxfId="102" priority="162">
      <formula>IF(NOT(ISBLANK(Q33)),IF(ISNUMBER(Q33),IF(INT(Q33/10000)&gt;23,TRUE,IF(INT(MOD(Q33,10000)/100)&gt;59.99,TRUE,IF(MOD(Q33,100)&gt;59.99,TRUE,FALSE))),TRUE))</formula>
    </cfRule>
  </conditionalFormatting>
  <conditionalFormatting sqref="BS85:BS86 BX85:BY86 CH85:CH86 U85:U86 Z85:Z86 AJ85:AJ86 AE85:AE86 AO85:AO86 AT85:AT86 AY85:AY86 BD85:BD86 BI85:BI86 BN85:BN86 CC85:CC86 R33:U33 Z33:Z82">
    <cfRule type="expression" dxfId="101" priority="154">
      <formula>IF(R33="л","ЛОЖЬ",IF(R33="в","ЛОЖЬ",IF(ISBLANK(R33),"ЛОЖЬ",TRUE)))</formula>
    </cfRule>
    <cfRule type="expression" dxfId="100" priority="160">
      <formula>IF(R33="в",TRUE,)</formula>
    </cfRule>
    <cfRule type="expression" dxfId="99" priority="161">
      <formula>IF(R33="л",TRUE,)</formula>
    </cfRule>
  </conditionalFormatting>
  <conditionalFormatting sqref="V33:V82">
    <cfRule type="expression" dxfId="98" priority="159">
      <formula>IF(ISNUMBER(V33),IF(((YEAR(TODAY()))-14)&gt;=E33,FALSE,TRUE))</formula>
    </cfRule>
  </conditionalFormatting>
  <conditionalFormatting sqref="Q33:Q82">
    <cfRule type="expression" dxfId="97" priority="158">
      <formula>IF(ISNUMBER(Q33),IF(((YEAR(TODAY()))-12)&gt;=E33,FALSE,TRUE))</formula>
    </cfRule>
  </conditionalFormatting>
  <conditionalFormatting sqref="AZ33:AZ82">
    <cfRule type="expression" dxfId="96" priority="157">
      <formula>IF(ISNUMBER(AZ33),IF(((YEAR(TODAY()))-12)&gt;=E33,FALSE,TRUE))</formula>
    </cfRule>
  </conditionalFormatting>
  <conditionalFormatting sqref="BE33:BE82">
    <cfRule type="expression" dxfId="95" priority="156">
      <formula>IF(ISNUMBER(BE33),IF(((YEAR(TODAY()))-12)&gt;=E33,FALSE,TRUE))</formula>
    </cfRule>
  </conditionalFormatting>
  <conditionalFormatting sqref="BJ33:BJ82">
    <cfRule type="expression" dxfId="94" priority="155">
      <formula>IF(ISNUMBER(BJ33),IF(((YEAR(TODAY()))-12)&gt;=E33,FALSE,TRUE))</formula>
    </cfRule>
  </conditionalFormatting>
  <conditionalFormatting sqref="CO33:CO82 CI33:CI82 DA33:DA82 CU33:CU82">
    <cfRule type="expression" dxfId="93" priority="153">
      <formula>IF(ISBLANK(CI33),FALSE,IF($O33=0,TRUE))</formula>
    </cfRule>
  </conditionalFormatting>
  <conditionalFormatting sqref="M33:P82">
    <cfRule type="expression" dxfId="92" priority="164">
      <formula>IF(M33&gt;($G$11+$G$12-L33),IF((M33+L33)&gt;($G$11+$G$12),TRUE,))</formula>
    </cfRule>
  </conditionalFormatting>
  <conditionalFormatting sqref="O86">
    <cfRule type="expression" dxfId="91" priority="165">
      <formula>IF($O$86&gt;$E$12,TRUE)</formula>
    </cfRule>
  </conditionalFormatting>
  <conditionalFormatting sqref="O85">
    <cfRule type="expression" dxfId="90" priority="166">
      <formula>IF($O$85&gt;$E$11,TRUE)</formula>
    </cfRule>
  </conditionalFormatting>
  <conditionalFormatting sqref="G33:G82">
    <cfRule type="expression" dxfId="89" priority="152">
      <formula>IF(G33="м",FALSE,IF(G33="ж",FALSE,TRUE))</formula>
    </cfRule>
  </conditionalFormatting>
  <conditionalFormatting sqref="DF33:DF82">
    <cfRule type="expression" dxfId="88" priority="151">
      <formula>IF(ISBLANK(DA33),IF(ISBLANK(DF33),FALSE,TRUE),IF(ISNUMBER(DF33),FALSE,TRUE))</formula>
    </cfRule>
  </conditionalFormatting>
  <conditionalFormatting sqref="B33:B82">
    <cfRule type="expression" dxfId="87" priority="167">
      <formula>IF($B33&lt;&gt;$H$11,IF($B33&lt;&gt;$H$12,IF($B33&lt;&gt;$H$13,IF($B33&lt;&gt;$I$11,IF(B33&lt;&gt;$I$12,IF($B33&lt;&gt;$I$13,IF($B33&lt;&gt;$O$11,IF($B33&lt;&gt;$O$12,IF($B33&lt;&gt;$O$13,IF($B33&lt;&gt;$T$11,IF($B33&lt;&gt;$T$12,TRUE)))))))))))</formula>
    </cfRule>
  </conditionalFormatting>
  <conditionalFormatting sqref="BY33:BY82">
    <cfRule type="expression" dxfId="86" priority="150">
      <formula>IF(NOT(ISBLANK(BY33)),IF(ISNUMBER(BY33),IF(INT(BY33/10000)&gt;23,TRUE,IF(INT(MOD(BY33,10000)/100)&gt;59.99,TRUE,IF(MOD(BY33,100)&gt;59.99,TRUE,FALSE))),TRUE))</formula>
    </cfRule>
  </conditionalFormatting>
  <conditionalFormatting sqref="E33:E82">
    <cfRule type="expression" dxfId="85" priority="168">
      <formula>IF(ISBLANK(E33),FALSE,IF(IF(ISNUMBER($G$13),IF(YEAR(TODAY())-$G$13&lt;=E33,FALSE,TRUE),FALSE),TRUE,IF(ISNUMBER($E$13),IF(YEAR(TODAY())-$E$13&lt;E33,TRUE,FALSE),FALSE)))</formula>
    </cfRule>
  </conditionalFormatting>
  <conditionalFormatting sqref="DK33">
    <cfRule type="expression" dxfId="84" priority="169">
      <formula>IF(#REF!&lt;&gt;$H$11,IF(#REF!&lt;&gt;$H$12,IF(#REF!&lt;&gt;$H$13,IF(#REF!&lt;&gt;$I$11,IF(#REF!&lt;&gt;$I$12,IF(#REF!&lt;&gt;$I$13,IF(#REF!&lt;&gt;$O$11,IF(#REF!&lt;&gt;$O$12,IF(#REF!&lt;&gt;$O$13,IF(#REF!&lt;&gt;$T$90,IF(#REF!&lt;&gt;$T$91,TRUE)))))))))))</formula>
    </cfRule>
  </conditionalFormatting>
  <conditionalFormatting sqref="W33:W82">
    <cfRule type="expression" dxfId="83" priority="143">
      <formula>IF(ISNUMBER(W33),IF(((YEAR(TODAY()))-12)&gt;=Q33,FALSE,TRUE))</formula>
    </cfRule>
  </conditionalFormatting>
  <conditionalFormatting sqref="W33:Y82">
    <cfRule type="expression" dxfId="82" priority="144">
      <formula>IF(NOT(ISBLANK(W33)),IF(ISNUMBER(W33),IF(INT(W33/10000)&gt;23,TRUE,IF(INT(MOD(W33,10000)/100)&gt;59.99,TRUE,IF(MOD(W33,100)&gt;59.99,TRUE,FALSE))),TRUE))</formula>
    </cfRule>
  </conditionalFormatting>
  <conditionalFormatting sqref="Y33:Y82">
    <cfRule type="expression" dxfId="81" priority="145">
      <formula>IF(ISNUMBER(Y33),IF(((YEAR(TODAY()))-12)&gt;=Q33,FALSE,TRUE))</formula>
    </cfRule>
  </conditionalFormatting>
  <conditionalFormatting sqref="X33:X82">
    <cfRule type="expression" dxfId="80" priority="146">
      <formula>IF(ISNUMBER(X33),IF(((YEAR(TODAY()))-12)&gt;=Q33,FALSE,TRUE))</formula>
    </cfRule>
  </conditionalFormatting>
  <conditionalFormatting sqref="CN33:CN82 CT33:CT82 CZ33:CZ82">
    <cfRule type="expression" dxfId="79" priority="815">
      <formula>IF(ISBLANK(CI33),IF(ISBLANK(CN33),FALSE,TRUE),IF(ISNUMBER(CN33),FALSE,TRUE))</formula>
    </cfRule>
  </conditionalFormatting>
  <conditionalFormatting sqref="CM85:CM86">
    <cfRule type="expression" dxfId="78" priority="92">
      <formula>IF(CM85="л","ЛОЖЬ",IF(CM85="в","ЛОЖЬ",IF(ISBLANK(CM85),"ЛОЖЬ",TRUE)))</formula>
    </cfRule>
    <cfRule type="expression" dxfId="77" priority="93">
      <formula>IF(CM85="в",TRUE,)</formula>
    </cfRule>
    <cfRule type="expression" dxfId="76" priority="94">
      <formula>IF(CM85="л",TRUE,)</formula>
    </cfRule>
  </conditionalFormatting>
  <conditionalFormatting sqref="CS85:CS86">
    <cfRule type="expression" dxfId="75" priority="85">
      <formula>IF(CS85="л","ЛОЖЬ",IF(CS85="в","ЛОЖЬ",IF(ISBLANK(CS85),"ЛОЖЬ",TRUE)))</formula>
    </cfRule>
    <cfRule type="expression" dxfId="74" priority="86">
      <formula>IF(CS85="в",TRUE,)</formula>
    </cfRule>
    <cfRule type="expression" dxfId="73" priority="87">
      <formula>IF(CS85="л",TRUE,)</formula>
    </cfRule>
  </conditionalFormatting>
  <conditionalFormatting sqref="CY85:CY86">
    <cfRule type="expression" dxfId="72" priority="78">
      <formula>IF(CY85="л","ЛОЖЬ",IF(CY85="в","ЛОЖЬ",IF(ISBLANK(CY85),"ЛОЖЬ",TRUE)))</formula>
    </cfRule>
    <cfRule type="expression" dxfId="71" priority="79">
      <formula>IF(CY85="в",TRUE,)</formula>
    </cfRule>
    <cfRule type="expression" dxfId="70" priority="80">
      <formula>IF(CY85="л",TRUE,)</formula>
    </cfRule>
  </conditionalFormatting>
  <conditionalFormatting sqref="DE85:DE86">
    <cfRule type="expression" dxfId="69" priority="71">
      <formula>IF(DE85="л","ЛОЖЬ",IF(DE85="в","ЛОЖЬ",IF(ISBLANK(DE85),"ЛОЖЬ",TRUE)))</formula>
    </cfRule>
    <cfRule type="expression" dxfId="68" priority="72">
      <formula>IF(DE85="в",TRUE,)</formula>
    </cfRule>
    <cfRule type="expression" dxfId="67" priority="73">
      <formula>IF(DE85="л",TRUE,)</formula>
    </cfRule>
  </conditionalFormatting>
  <conditionalFormatting sqref="DK34:DK43">
    <cfRule type="expression" dxfId="66" priority="818">
      <formula>IF($B33&lt;&gt;$H$11,IF($B33&lt;&gt;$H$12,IF($B33&lt;&gt;$H$13,IF($B33&lt;&gt;$I$11,IF($B33&lt;&gt;$I$12,IF($B33&lt;&gt;$I$13,IF($B33&lt;&gt;$O$11,IF($B33&lt;&gt;$O$12,IF($B33&lt;&gt;$O$13,IF($B33&lt;&gt;$T$90,IF($B33&lt;&gt;$T$91,TRUE)))))))))))</formula>
    </cfRule>
  </conditionalFormatting>
  <conditionalFormatting sqref="M86">
    <cfRule type="expression" dxfId="65" priority="65">
      <formula>IF($O$86&gt;$E$12,TRUE)</formula>
    </cfRule>
  </conditionalFormatting>
  <conditionalFormatting sqref="M85">
    <cfRule type="expression" dxfId="64" priority="66">
      <formula>IF($O$85&gt;$E$11,TRUE)</formula>
    </cfRule>
  </conditionalFormatting>
  <conditionalFormatting sqref="I33:L82">
    <cfRule type="expression" dxfId="63" priority="59">
      <formula>IF(I33&gt;$G$11,TRUE)</formula>
    </cfRule>
  </conditionalFormatting>
  <conditionalFormatting sqref="K86">
    <cfRule type="expression" dxfId="62" priority="61">
      <formula>IF($O$86&gt;$E$12,TRUE)</formula>
    </cfRule>
  </conditionalFormatting>
  <conditionalFormatting sqref="K85">
    <cfRule type="expression" dxfId="61" priority="62">
      <formula>IF($O$85&gt;$E$11,TRUE)</formula>
    </cfRule>
  </conditionalFormatting>
  <conditionalFormatting sqref="I86">
    <cfRule type="expression" dxfId="60" priority="57">
      <formula>IF($O$86&gt;$E$12,TRUE)</formula>
    </cfRule>
  </conditionalFormatting>
  <conditionalFormatting sqref="I85">
    <cfRule type="expression" dxfId="59" priority="58">
      <formula>IF($O$85&gt;$E$11,TRUE)</formula>
    </cfRule>
  </conditionalFormatting>
  <conditionalFormatting sqref="R34:U82">
    <cfRule type="expression" dxfId="58" priority="49">
      <formula>IF(R34="л","ЛОЖЬ",IF(R34="в","ЛОЖЬ",IF(ISBLANK(R34),"ЛОЖЬ",TRUE)))</formula>
    </cfRule>
    <cfRule type="expression" dxfId="57" priority="50">
      <formula>IF(R34="в",TRUE,)</formula>
    </cfRule>
    <cfRule type="expression" dxfId="56" priority="51">
      <formula>IF(R34="л",TRUE,)</formula>
    </cfRule>
  </conditionalFormatting>
  <conditionalFormatting sqref="AB33:AE82">
    <cfRule type="expression" dxfId="55" priority="46">
      <formula>IF(AB33="л","ЛОЖЬ",IF(AB33="в","ЛОЖЬ",IF(ISBLANK(AB33),"ЛОЖЬ",TRUE)))</formula>
    </cfRule>
    <cfRule type="expression" dxfId="54" priority="47">
      <formula>IF(AB33="в",TRUE,)</formula>
    </cfRule>
    <cfRule type="expression" dxfId="53" priority="48">
      <formula>IF(AB33="л",TRUE,)</formula>
    </cfRule>
  </conditionalFormatting>
  <conditionalFormatting sqref="AG33:AJ82">
    <cfRule type="expression" dxfId="52" priority="43">
      <formula>IF(AG33="л","ЛОЖЬ",IF(AG33="в","ЛОЖЬ",IF(ISBLANK(AG33),"ЛОЖЬ",TRUE)))</formula>
    </cfRule>
    <cfRule type="expression" dxfId="51" priority="44">
      <formula>IF(AG33="в",TRUE,)</formula>
    </cfRule>
    <cfRule type="expression" dxfId="50" priority="45">
      <formula>IF(AG33="л",TRUE,)</formula>
    </cfRule>
  </conditionalFormatting>
  <conditionalFormatting sqref="AL33:AO82">
    <cfRule type="expression" dxfId="49" priority="40">
      <formula>IF(AL33="л","ЛОЖЬ",IF(AL33="в","ЛОЖЬ",IF(ISBLANK(AL33),"ЛОЖЬ",TRUE)))</formula>
    </cfRule>
    <cfRule type="expression" dxfId="48" priority="41">
      <formula>IF(AL33="в",TRUE,)</formula>
    </cfRule>
    <cfRule type="expression" dxfId="47" priority="42">
      <formula>IF(AL33="л",TRUE,)</formula>
    </cfRule>
  </conditionalFormatting>
  <conditionalFormatting sqref="AQ33:AT82">
    <cfRule type="expression" dxfId="46" priority="37">
      <formula>IF(AQ33="л","ЛОЖЬ",IF(AQ33="в","ЛОЖЬ",IF(ISBLANK(AQ33),"ЛОЖЬ",TRUE)))</formula>
    </cfRule>
    <cfRule type="expression" dxfId="45" priority="38">
      <formula>IF(AQ33="в",TRUE,)</formula>
    </cfRule>
    <cfRule type="expression" dxfId="44" priority="39">
      <formula>IF(AQ33="л",TRUE,)</formula>
    </cfRule>
  </conditionalFormatting>
  <conditionalFormatting sqref="AV33:AY82">
    <cfRule type="expression" dxfId="43" priority="34">
      <formula>IF(AV33="л","ЛОЖЬ",IF(AV33="в","ЛОЖЬ",IF(ISBLANK(AV33),"ЛОЖЬ",TRUE)))</formula>
    </cfRule>
    <cfRule type="expression" dxfId="42" priority="35">
      <formula>IF(AV33="в",TRUE,)</formula>
    </cfRule>
    <cfRule type="expression" dxfId="41" priority="36">
      <formula>IF(AV33="л",TRUE,)</formula>
    </cfRule>
  </conditionalFormatting>
  <conditionalFormatting sqref="BA33:BD82">
    <cfRule type="expression" dxfId="40" priority="31">
      <formula>IF(BA33="л","ЛОЖЬ",IF(BA33="в","ЛОЖЬ",IF(ISBLANK(BA33),"ЛОЖЬ",TRUE)))</formula>
    </cfRule>
    <cfRule type="expression" dxfId="39" priority="32">
      <formula>IF(BA33="в",TRUE,)</formula>
    </cfRule>
    <cfRule type="expression" dxfId="38" priority="33">
      <formula>IF(BA33="л",TRUE,)</formula>
    </cfRule>
  </conditionalFormatting>
  <conditionalFormatting sqref="BF33:BI82">
    <cfRule type="expression" dxfId="37" priority="28">
      <formula>IF(BF33="л","ЛОЖЬ",IF(BF33="в","ЛОЖЬ",IF(ISBLANK(BF33),"ЛОЖЬ",TRUE)))</formula>
    </cfRule>
    <cfRule type="expression" dxfId="36" priority="29">
      <formula>IF(BF33="в",TRUE,)</formula>
    </cfRule>
    <cfRule type="expression" dxfId="35" priority="30">
      <formula>IF(BF33="л",TRUE,)</formula>
    </cfRule>
  </conditionalFormatting>
  <conditionalFormatting sqref="BK33:BN82">
    <cfRule type="expression" dxfId="34" priority="25">
      <formula>IF(BK33="л","ЛОЖЬ",IF(BK33="в","ЛОЖЬ",IF(ISBLANK(BK33),"ЛОЖЬ",TRUE)))</formula>
    </cfRule>
    <cfRule type="expression" dxfId="33" priority="26">
      <formula>IF(BK33="в",TRUE,)</formula>
    </cfRule>
    <cfRule type="expression" dxfId="32" priority="27">
      <formula>IF(BK33="л",TRUE,)</formula>
    </cfRule>
  </conditionalFormatting>
  <conditionalFormatting sqref="BP33:BS82">
    <cfRule type="expression" dxfId="31" priority="22">
      <formula>IF(BP33="л","ЛОЖЬ",IF(BP33="в","ЛОЖЬ",IF(ISBLANK(BP33),"ЛОЖЬ",TRUE)))</formula>
    </cfRule>
    <cfRule type="expression" dxfId="30" priority="23">
      <formula>IF(BP33="в",TRUE,)</formula>
    </cfRule>
    <cfRule type="expression" dxfId="29" priority="24">
      <formula>IF(BP33="л",TRUE,)</formula>
    </cfRule>
  </conditionalFormatting>
  <conditionalFormatting sqref="BU33:BX82">
    <cfRule type="expression" dxfId="28" priority="19">
      <formula>IF(BU33="л","ЛОЖЬ",IF(BU33="в","ЛОЖЬ",IF(ISBLANK(BU33),"ЛОЖЬ",TRUE)))</formula>
    </cfRule>
    <cfRule type="expression" dxfId="27" priority="20">
      <formula>IF(BU33="в",TRUE,)</formula>
    </cfRule>
    <cfRule type="expression" dxfId="26" priority="21">
      <formula>IF(BU33="л",TRUE,)</formula>
    </cfRule>
  </conditionalFormatting>
  <conditionalFormatting sqref="BZ33:CC82">
    <cfRule type="expression" dxfId="25" priority="16">
      <formula>IF(BZ33="л","ЛОЖЬ",IF(BZ33="в","ЛОЖЬ",IF(ISBLANK(BZ33),"ЛОЖЬ",TRUE)))</formula>
    </cfRule>
    <cfRule type="expression" dxfId="24" priority="17">
      <formula>IF(BZ33="в",TRUE,)</formula>
    </cfRule>
    <cfRule type="expression" dxfId="23" priority="18">
      <formula>IF(BZ33="л",TRUE,)</formula>
    </cfRule>
  </conditionalFormatting>
  <conditionalFormatting sqref="CE33:CH82">
    <cfRule type="expression" dxfId="22" priority="13">
      <formula>IF(CE33="л","ЛОЖЬ",IF(CE33="в","ЛОЖЬ",IF(ISBLANK(CE33),"ЛОЖЬ",TRUE)))</formula>
    </cfRule>
    <cfRule type="expression" dxfId="21" priority="14">
      <formula>IF(CE33="в",TRUE,)</formula>
    </cfRule>
    <cfRule type="expression" dxfId="20" priority="15">
      <formula>IF(CE33="л",TRUE,)</formula>
    </cfRule>
  </conditionalFormatting>
  <conditionalFormatting sqref="CJ33:CM82">
    <cfRule type="expression" dxfId="19" priority="10">
      <formula>IF(CJ33="л","ЛОЖЬ",IF(CJ33="в","ЛОЖЬ",IF(ISBLANK(CJ33),"ЛОЖЬ",TRUE)))</formula>
    </cfRule>
    <cfRule type="expression" dxfId="18" priority="11">
      <formula>IF(CJ33="в",TRUE,)</formula>
    </cfRule>
    <cfRule type="expression" dxfId="17" priority="12">
      <formula>IF(CJ33="л",TRUE,)</formula>
    </cfRule>
  </conditionalFormatting>
  <conditionalFormatting sqref="CP33:CS82">
    <cfRule type="expression" dxfId="16" priority="7">
      <formula>IF(CP33="л","ЛОЖЬ",IF(CP33="в","ЛОЖЬ",IF(ISBLANK(CP33),"ЛОЖЬ",TRUE)))</formula>
    </cfRule>
    <cfRule type="expression" dxfId="15" priority="8">
      <formula>IF(CP33="в",TRUE,)</formula>
    </cfRule>
    <cfRule type="expression" dxfId="14" priority="9">
      <formula>IF(CP33="л",TRUE,)</formula>
    </cfRule>
  </conditionalFormatting>
  <conditionalFormatting sqref="CV33:CY82">
    <cfRule type="expression" dxfId="13" priority="4">
      <formula>IF(CV33="л","ЛОЖЬ",IF(CV33="в","ЛОЖЬ",IF(ISBLANK(CV33),"ЛОЖЬ",TRUE)))</formula>
    </cfRule>
    <cfRule type="expression" dxfId="12" priority="5">
      <formula>IF(CV33="в",TRUE,)</formula>
    </cfRule>
    <cfRule type="expression" dxfId="11" priority="6">
      <formula>IF(CV33="л",TRUE,)</formula>
    </cfRule>
  </conditionalFormatting>
  <conditionalFormatting sqref="DB33:DE82">
    <cfRule type="expression" dxfId="10" priority="1">
      <formula>IF(DB33="л","ЛОЖЬ",IF(DB33="в","ЛОЖЬ",IF(ISBLANK(DB33),"ЛОЖЬ",TRUE)))</formula>
    </cfRule>
    <cfRule type="expression" dxfId="9" priority="2">
      <formula>IF(DB33="в",TRUE,)</formula>
    </cfRule>
    <cfRule type="expression" dxfId="8" priority="3">
      <formula>IF(DB33="л",TRUE,)</formula>
    </cfRule>
  </conditionalFormatting>
  <pageMargins left="0.31496062992125984" right="0.31496062992125984" top="0.55118110236220474" bottom="0.31496062992125984" header="0" footer="0"/>
  <pageSetup paperSize="9" orientation="landscape" verticalDpi="1200" r:id="rId1"/>
  <headerFooter>
    <oddFooter>&amp;R&amp;"Times New Roman,курсив"&amp;8Стр. &amp;P из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4">
    <tabColor theme="1"/>
  </sheetPr>
  <dimension ref="A1:AH478"/>
  <sheetViews>
    <sheetView workbookViewId="0">
      <pane ySplit="3" topLeftCell="A15" activePane="bottomLeft" state="frozen"/>
      <selection pane="bottomLeft" activeCell="M38" sqref="M38"/>
    </sheetView>
  </sheetViews>
  <sheetFormatPr defaultColWidth="9.109375" defaultRowHeight="13.2" x14ac:dyDescent="0.25"/>
  <cols>
    <col min="1" max="1" width="9.109375" style="370"/>
    <col min="2" max="2" width="10.109375" style="361" customWidth="1"/>
    <col min="3" max="3" width="10" style="361" customWidth="1"/>
    <col min="4" max="4" width="10.109375" style="361" customWidth="1"/>
    <col min="5" max="5" width="9.6640625" style="361" customWidth="1"/>
    <col min="6" max="6" width="9.109375" style="361"/>
    <col min="7" max="7" width="10" style="361" customWidth="1"/>
    <col min="8" max="8" width="12" style="361" customWidth="1"/>
    <col min="9" max="9" width="10.5546875" style="369" customWidth="1"/>
    <col min="10" max="10" width="10.6640625" style="361" customWidth="1"/>
    <col min="11" max="11" width="5.33203125" style="535" customWidth="1"/>
    <col min="12" max="12" width="10.6640625" style="361" customWidth="1"/>
    <col min="13" max="13" width="11" style="361" customWidth="1"/>
    <col min="14" max="14" width="9.6640625" style="361" customWidth="1"/>
    <col min="15" max="15" width="5.109375" style="361" customWidth="1"/>
    <col min="16" max="17" width="9.33203125" style="361" customWidth="1"/>
    <col min="18" max="18" width="13.44140625" style="361" bestFit="1" customWidth="1"/>
    <col min="19" max="19" width="13" style="361" customWidth="1"/>
    <col min="20" max="33" width="6.88671875" style="361" customWidth="1"/>
    <col min="34" max="37" width="6" style="361" customWidth="1"/>
    <col min="38" max="16384" width="9.109375" style="361"/>
  </cols>
  <sheetData>
    <row r="1" spans="3:34" ht="20.399999999999999" x14ac:dyDescent="0.35">
      <c r="H1" s="1448" t="s">
        <v>881</v>
      </c>
      <c r="I1" s="1448"/>
      <c r="J1" s="1448"/>
      <c r="K1" s="623"/>
      <c r="L1" s="534" t="s">
        <v>882</v>
      </c>
      <c r="M1" s="534"/>
      <c r="N1" s="534"/>
      <c r="O1" s="536"/>
      <c r="P1" s="539"/>
      <c r="Q1" s="540"/>
      <c r="R1" s="539"/>
      <c r="S1" s="540"/>
      <c r="T1" s="539"/>
      <c r="U1" s="540"/>
      <c r="V1" s="539"/>
      <c r="W1" s="540"/>
      <c r="X1" s="540"/>
      <c r="Y1" s="540"/>
      <c r="Z1" s="540"/>
      <c r="AA1" s="540"/>
      <c r="AB1" s="541"/>
      <c r="AC1" s="541"/>
      <c r="AD1" s="541"/>
      <c r="AE1" s="541"/>
      <c r="AF1" s="541"/>
      <c r="AG1" s="541"/>
      <c r="AH1" s="537"/>
    </row>
    <row r="2" spans="3:34" ht="13.8" x14ac:dyDescent="0.25">
      <c r="I2" s="1449" t="s">
        <v>27</v>
      </c>
      <c r="J2" s="1449"/>
      <c r="K2" s="624"/>
      <c r="M2" s="1449" t="s">
        <v>27</v>
      </c>
      <c r="N2" s="1449"/>
      <c r="O2" s="547"/>
      <c r="P2" s="540"/>
      <c r="Q2" s="540"/>
      <c r="R2" s="540"/>
      <c r="S2" s="540"/>
      <c r="T2" s="540"/>
      <c r="U2" s="540"/>
      <c r="V2" s="539"/>
      <c r="W2" s="539"/>
      <c r="X2" s="539"/>
      <c r="Y2" s="539"/>
      <c r="Z2" s="539"/>
      <c r="AA2" s="539"/>
      <c r="AB2" s="539"/>
      <c r="AC2" s="539"/>
      <c r="AD2" s="539"/>
      <c r="AE2" s="539"/>
      <c r="AF2" s="539"/>
      <c r="AG2" s="539"/>
      <c r="AH2" s="537"/>
    </row>
    <row r="3" spans="3:34" ht="13.8" x14ac:dyDescent="0.25">
      <c r="I3" s="547" t="s">
        <v>325</v>
      </c>
      <c r="J3" s="547" t="s">
        <v>326</v>
      </c>
      <c r="K3" s="624"/>
      <c r="M3" s="547" t="s">
        <v>325</v>
      </c>
      <c r="N3" s="547" t="s">
        <v>326</v>
      </c>
      <c r="O3" s="547"/>
      <c r="P3" s="529"/>
      <c r="Q3" s="529"/>
      <c r="R3" s="529"/>
      <c r="S3" s="529"/>
      <c r="T3" s="529"/>
      <c r="U3" s="529"/>
      <c r="V3" s="529"/>
      <c r="W3" s="529"/>
      <c r="X3" s="529"/>
      <c r="Y3" s="529"/>
      <c r="Z3" s="529"/>
      <c r="AA3" s="529"/>
      <c r="AB3" s="529"/>
      <c r="AC3" s="529"/>
      <c r="AD3" s="529"/>
      <c r="AE3" s="529"/>
      <c r="AF3" s="529"/>
      <c r="AG3" s="529"/>
      <c r="AH3" s="537"/>
    </row>
    <row r="4" spans="3:34" ht="14.25" customHeight="1" x14ac:dyDescent="0.25">
      <c r="C4" s="349" t="s">
        <v>39</v>
      </c>
      <c r="D4" s="350"/>
      <c r="E4" s="351"/>
      <c r="F4" s="349"/>
      <c r="G4" s="349"/>
      <c r="H4" s="352"/>
      <c r="I4" s="356"/>
      <c r="J4" s="350"/>
      <c r="K4" s="625"/>
      <c r="P4" s="537"/>
      <c r="Q4" s="537"/>
      <c r="R4" s="537"/>
      <c r="S4" s="537"/>
      <c r="T4" s="537"/>
      <c r="U4" s="537"/>
      <c r="V4" s="537"/>
      <c r="W4" s="537"/>
      <c r="X4" s="537"/>
      <c r="Y4" s="537"/>
      <c r="Z4" s="537"/>
      <c r="AA4" s="537"/>
      <c r="AB4" s="537"/>
      <c r="AC4" s="537"/>
      <c r="AD4" s="537"/>
      <c r="AE4" s="537"/>
      <c r="AF4" s="537"/>
      <c r="AG4" s="537"/>
      <c r="AH4" s="537"/>
    </row>
    <row r="5" spans="3:34" ht="12.75" customHeight="1" x14ac:dyDescent="0.25">
      <c r="C5" s="114"/>
      <c r="D5" s="114"/>
      <c r="E5" s="114"/>
      <c r="F5" s="114"/>
      <c r="G5" s="114"/>
      <c r="H5" s="115">
        <v>18.100000000000001</v>
      </c>
      <c r="I5" s="362" t="str">
        <f t="shared" ref="I5:I12" si="0">IF(ISBLANK(H5)," ",IF(ISTEXT(H5)," ",IF(H5&lt;=18.1,"МСМК",IF(H5&lt;=19,"МС",IF(H5&lt;=19.9,"КМС",IF(H5&lt;=21.3,"I",IF(H5&lt;=23.1,"II",IF(H5&lt;=25,"III",IF(H5&lt;=27.6,"I юн",IF(H5&lt;=30.2,"II юн",IF(H5&lt;=32.6,"III юн",IF(ISTEXT(H5)," ",IF(ISBLANK(H5)," ","б/р")))))))))))))</f>
        <v>МСМК</v>
      </c>
      <c r="J5" s="362" t="str">
        <f t="shared" ref="J5:J12" si="1">IF(ISBLANK(H5)," ",IF(ISTEXT(H5)," ",IF(H5&lt;=18.1,"МСМК",IF(H5&lt;=19,"МС",IF(H5&lt;=19.9,"КМС",IF(H5&lt;=21.3,"I",IF(H5&lt;=23.1,"II",IF(H5&lt;=25,"III",IF(H5&lt;=27.6,"I юн",IF(H5&lt;=30.2,"II юн",IF(H5&lt;=32.6,"III юн",IF(ISTEXT(H5)," ",IF(ISBLANK(H5)," ","б/р")))))))))))))</f>
        <v>МСМК</v>
      </c>
      <c r="K5" s="626"/>
      <c r="L5" s="530">
        <f>H5</f>
        <v>18.100000000000001</v>
      </c>
      <c r="M5" s="531" t="str">
        <f t="shared" ref="M5:M13" si="2">IF(ISBLANK(L5)," ",IF(ISTEXT(L5)," ",IF(L5&lt;=18.1,"МСМК",IF(L5&lt;=19,"МС",IF(L5&lt;=19.7,"КМС",IF(L5&lt;=21.1,"I",IF(L5&lt;=22.9,"II",IF(L5&lt;=24.8,"III",IF(L5&lt;=27.4,"I юн",IF(L5&lt;=30,"II юн",IF(L5&lt;=32.4,"III юн",IF(ISTEXT(L5)," ",IF(ISBLANK(L5)," ","б/р")))))))))))))</f>
        <v>МСМК</v>
      </c>
      <c r="N5" s="531" t="str">
        <f>IF(ISBLANK(L5)," ",IF(ISTEXT(L5)," ",IF(L5&lt;=18.1,"МСМК",IF(L5&lt;=19,"МС",IF(L5&lt;=19.7,"КМС",IF(L5&lt;=21.1,"I",IF(L5&lt;=22.9,"II",IF(L5&lt;=24.8,"III",IF(L5&lt;=27.4,"I юн",IF(L5&lt;=30,"II юн",IF(L5&lt;=32.4,"III юн",IF(ISTEXT(L5)," ",IF(ISBLANK(L5)," ","б/р")))))))))))))</f>
        <v>МСМК</v>
      </c>
      <c r="O5" s="531"/>
      <c r="P5" s="537"/>
      <c r="Q5" s="537"/>
      <c r="R5" s="537"/>
      <c r="S5" s="537"/>
      <c r="T5" s="537"/>
      <c r="U5" s="537"/>
      <c r="V5" s="537"/>
      <c r="W5" s="537"/>
      <c r="X5" s="537"/>
      <c r="Y5" s="537"/>
      <c r="Z5" s="537"/>
      <c r="AA5" s="537"/>
      <c r="AB5" s="537"/>
      <c r="AC5" s="537"/>
      <c r="AD5" s="537"/>
      <c r="AE5" s="537"/>
      <c r="AF5" s="537"/>
      <c r="AG5" s="537"/>
      <c r="AH5" s="537"/>
    </row>
    <row r="6" spans="3:34" ht="12.75" customHeight="1" x14ac:dyDescent="0.25">
      <c r="C6" s="114"/>
      <c r="D6" s="114"/>
      <c r="E6" s="114"/>
      <c r="F6" s="114"/>
      <c r="G6" s="114"/>
      <c r="H6" s="115">
        <v>19</v>
      </c>
      <c r="I6" s="362" t="str">
        <f t="shared" si="0"/>
        <v>МС</v>
      </c>
      <c r="J6" s="362" t="str">
        <f t="shared" si="1"/>
        <v>МС</v>
      </c>
      <c r="K6" s="626"/>
      <c r="L6" s="530">
        <f>H6</f>
        <v>19</v>
      </c>
      <c r="M6" s="531" t="str">
        <f t="shared" si="2"/>
        <v>МС</v>
      </c>
      <c r="N6" s="531" t="str">
        <f t="shared" ref="N6:N13" si="3">IF(ISBLANK(L6)," ",IF(ISTEXT(L6)," ",IF(L6&lt;=18.1,"МСМК",IF(L6&lt;=19,"МС",IF(L6&lt;=19.7,"КМС",IF(L6&lt;=21.1,"I",IF(L6&lt;=22.9,"II",IF(L6&lt;=24.8,"III",IF(L6&lt;=27.4,"I юн",IF(L6&lt;=30,"II юн",IF(L6&lt;=32.4,"III юн",IF(ISTEXT(L6)," ",IF(ISBLANK(L6)," ","б/р")))))))))))))</f>
        <v>МС</v>
      </c>
      <c r="O6" s="531"/>
      <c r="P6" s="537"/>
      <c r="Q6" s="537"/>
      <c r="R6" s="537"/>
      <c r="S6" s="537"/>
      <c r="T6" s="537"/>
      <c r="U6" s="537"/>
      <c r="V6" s="537"/>
      <c r="W6" s="537"/>
      <c r="X6" s="537"/>
      <c r="Y6" s="537"/>
      <c r="Z6" s="537"/>
      <c r="AA6" s="537"/>
      <c r="AB6" s="537"/>
      <c r="AC6" s="537"/>
      <c r="AD6" s="537"/>
      <c r="AE6" s="537"/>
      <c r="AF6" s="537"/>
      <c r="AG6" s="537"/>
      <c r="AH6" s="537"/>
    </row>
    <row r="7" spans="3:34" ht="12.75" customHeight="1" x14ac:dyDescent="0.25">
      <c r="C7" s="114"/>
      <c r="D7" s="114"/>
      <c r="E7" s="114"/>
      <c r="F7" s="114"/>
      <c r="G7" s="114"/>
      <c r="H7" s="115">
        <v>19.899999999999999</v>
      </c>
      <c r="I7" s="362" t="str">
        <f t="shared" si="0"/>
        <v>КМС</v>
      </c>
      <c r="J7" s="362" t="str">
        <f t="shared" si="1"/>
        <v>КМС</v>
      </c>
      <c r="K7" s="626"/>
      <c r="L7" s="115">
        <f>H7-0.2</f>
        <v>19.7</v>
      </c>
      <c r="M7" s="362" t="str">
        <f>IF(ISBLANK(L7)," ",IF(ISTEXT(L7)," ",IF(L7&lt;=18.1,"МСМК",IF(L7&lt;=19,"МС",IF(L7&lt;=19.7,"КМС",IF(L7&lt;=21.1,"I",IF(L7&lt;=22.9,"II",IF(L7&lt;=24.8,"III",IF(L7&lt;=27.4,"I юн",IF(L7&lt;=30,"II юн",IF(L7&lt;=32.4,"III юн",IF(ISTEXT(L7)," ",IF(ISBLANK(L7)," ","б/р")))))))))))))</f>
        <v>КМС</v>
      </c>
      <c r="N7" s="362" t="str">
        <f t="shared" si="3"/>
        <v>КМС</v>
      </c>
      <c r="O7" s="362"/>
      <c r="P7" s="537"/>
      <c r="Q7" s="537"/>
      <c r="R7" s="537"/>
      <c r="S7" s="537"/>
      <c r="T7" s="537"/>
      <c r="U7" s="537"/>
      <c r="V7" s="537"/>
      <c r="W7" s="537"/>
      <c r="X7" s="537"/>
      <c r="Y7" s="537"/>
      <c r="Z7" s="537"/>
      <c r="AA7" s="537"/>
      <c r="AB7" s="537"/>
      <c r="AC7" s="537"/>
      <c r="AD7" s="537"/>
      <c r="AE7" s="537"/>
      <c r="AF7" s="537"/>
      <c r="AG7" s="537"/>
      <c r="AH7" s="537"/>
    </row>
    <row r="8" spans="3:34" ht="12.75" customHeight="1" x14ac:dyDescent="0.25">
      <c r="C8" s="114"/>
      <c r="D8" s="114"/>
      <c r="E8" s="114"/>
      <c r="F8" s="114"/>
      <c r="G8" s="114"/>
      <c r="H8" s="115">
        <v>21.3</v>
      </c>
      <c r="I8" s="362" t="str">
        <f t="shared" si="0"/>
        <v>I</v>
      </c>
      <c r="J8" s="362" t="str">
        <f t="shared" si="1"/>
        <v>I</v>
      </c>
      <c r="K8" s="626"/>
      <c r="L8" s="115">
        <f t="shared" ref="L8:L13" si="4">H8-0.2</f>
        <v>21.1</v>
      </c>
      <c r="M8" s="362" t="str">
        <f t="shared" si="2"/>
        <v>I</v>
      </c>
      <c r="N8" s="362" t="str">
        <f t="shared" si="3"/>
        <v>I</v>
      </c>
      <c r="O8" s="362"/>
      <c r="P8" s="537"/>
      <c r="Q8" s="537"/>
      <c r="R8" s="115"/>
      <c r="S8" s="362"/>
      <c r="T8" s="362"/>
      <c r="U8" s="537"/>
      <c r="V8" s="537"/>
      <c r="W8" s="537"/>
      <c r="X8" s="537"/>
      <c r="Y8" s="537"/>
      <c r="Z8" s="537"/>
      <c r="AA8" s="537"/>
      <c r="AB8" s="537"/>
      <c r="AC8" s="537"/>
      <c r="AD8" s="537"/>
      <c r="AE8" s="537"/>
      <c r="AF8" s="537"/>
      <c r="AG8" s="537"/>
      <c r="AH8" s="537"/>
    </row>
    <row r="9" spans="3:34" ht="12.75" customHeight="1" x14ac:dyDescent="0.25">
      <c r="C9" s="114"/>
      <c r="D9" s="114"/>
      <c r="E9" s="114"/>
      <c r="F9" s="114"/>
      <c r="G9" s="114"/>
      <c r="H9" s="115">
        <v>23.1</v>
      </c>
      <c r="I9" s="362" t="str">
        <f t="shared" si="0"/>
        <v>II</v>
      </c>
      <c r="J9" s="362" t="str">
        <f t="shared" si="1"/>
        <v>II</v>
      </c>
      <c r="K9" s="626"/>
      <c r="L9" s="115">
        <f t="shared" si="4"/>
        <v>22.900000000000002</v>
      </c>
      <c r="M9" s="362" t="str">
        <f t="shared" si="2"/>
        <v>II</v>
      </c>
      <c r="N9" s="362" t="str">
        <f t="shared" si="3"/>
        <v>II</v>
      </c>
      <c r="O9" s="362"/>
      <c r="P9" s="537"/>
      <c r="Q9" s="537"/>
      <c r="R9" s="115"/>
      <c r="S9" s="537"/>
      <c r="T9" s="537"/>
      <c r="U9" s="537"/>
      <c r="V9" s="537"/>
      <c r="W9" s="537"/>
      <c r="X9" s="537"/>
      <c r="Y9" s="537"/>
      <c r="Z9" s="537"/>
      <c r="AA9" s="537"/>
      <c r="AB9" s="537"/>
      <c r="AC9" s="537"/>
      <c r="AD9" s="537"/>
      <c r="AE9" s="537"/>
      <c r="AF9" s="537"/>
      <c r="AG9" s="537"/>
      <c r="AH9" s="537"/>
    </row>
    <row r="10" spans="3:34" ht="12.75" customHeight="1" x14ac:dyDescent="0.25">
      <c r="C10" s="114"/>
      <c r="D10" s="114"/>
      <c r="E10" s="114"/>
      <c r="F10" s="114"/>
      <c r="G10" s="114"/>
      <c r="H10" s="115">
        <v>25</v>
      </c>
      <c r="I10" s="362" t="str">
        <f t="shared" si="0"/>
        <v>III</v>
      </c>
      <c r="J10" s="362" t="str">
        <f t="shared" si="1"/>
        <v>III</v>
      </c>
      <c r="K10" s="626"/>
      <c r="L10" s="115">
        <f t="shared" si="4"/>
        <v>24.8</v>
      </c>
      <c r="M10" s="362" t="str">
        <f t="shared" si="2"/>
        <v>III</v>
      </c>
      <c r="N10" s="362" t="str">
        <f t="shared" si="3"/>
        <v>III</v>
      </c>
      <c r="O10" s="362"/>
      <c r="P10" s="537"/>
      <c r="Q10" s="537"/>
      <c r="R10" s="537"/>
      <c r="S10" s="537"/>
      <c r="T10" s="537"/>
      <c r="U10" s="537"/>
      <c r="V10" s="537"/>
      <c r="W10" s="537"/>
      <c r="X10" s="537"/>
      <c r="Y10" s="537"/>
      <c r="Z10" s="537"/>
      <c r="AA10" s="537"/>
      <c r="AB10" s="537"/>
      <c r="AC10" s="537"/>
      <c r="AD10" s="537"/>
      <c r="AE10" s="537"/>
      <c r="AF10" s="537"/>
      <c r="AG10" s="537"/>
      <c r="AH10" s="537"/>
    </row>
    <row r="11" spans="3:34" ht="12.75" customHeight="1" x14ac:dyDescent="0.25">
      <c r="C11" s="114"/>
      <c r="D11" s="114"/>
      <c r="E11" s="114"/>
      <c r="F11" s="114"/>
      <c r="G11" s="114"/>
      <c r="H11" s="115">
        <v>27.6</v>
      </c>
      <c r="I11" s="362" t="str">
        <f t="shared" si="0"/>
        <v>I юн</v>
      </c>
      <c r="J11" s="362" t="str">
        <f t="shared" si="1"/>
        <v>I юн</v>
      </c>
      <c r="K11" s="626"/>
      <c r="L11" s="115">
        <f t="shared" si="4"/>
        <v>27.400000000000002</v>
      </c>
      <c r="M11" s="362" t="str">
        <f t="shared" si="2"/>
        <v>I юн</v>
      </c>
      <c r="N11" s="362" t="str">
        <f t="shared" si="3"/>
        <v>I юн</v>
      </c>
      <c r="O11" s="362"/>
      <c r="P11" s="537"/>
      <c r="Q11" s="537"/>
      <c r="R11" s="537"/>
      <c r="S11" s="537"/>
      <c r="T11" s="537"/>
      <c r="U11" s="537"/>
      <c r="V11" s="537"/>
      <c r="W11" s="537"/>
      <c r="X11" s="537"/>
      <c r="Y11" s="537"/>
      <c r="Z11" s="537"/>
      <c r="AA11" s="537"/>
      <c r="AB11" s="537"/>
      <c r="AC11" s="537"/>
      <c r="AD11" s="537"/>
      <c r="AE11" s="537"/>
      <c r="AF11" s="537"/>
      <c r="AG11" s="537"/>
      <c r="AH11" s="537"/>
    </row>
    <row r="12" spans="3:34" ht="12.75" customHeight="1" x14ac:dyDescent="0.25">
      <c r="C12" s="114"/>
      <c r="D12" s="114"/>
      <c r="E12" s="114"/>
      <c r="F12" s="114"/>
      <c r="G12" s="114"/>
      <c r="H12" s="115">
        <v>30.2</v>
      </c>
      <c r="I12" s="362" t="str">
        <f t="shared" si="0"/>
        <v>II юн</v>
      </c>
      <c r="J12" s="362" t="str">
        <f t="shared" si="1"/>
        <v>II юн</v>
      </c>
      <c r="K12" s="626"/>
      <c r="L12" s="115">
        <f t="shared" si="4"/>
        <v>30</v>
      </c>
      <c r="M12" s="362" t="str">
        <f t="shared" si="2"/>
        <v>II юн</v>
      </c>
      <c r="N12" s="362" t="str">
        <f t="shared" si="3"/>
        <v>II юн</v>
      </c>
      <c r="O12" s="362"/>
      <c r="P12" s="537"/>
      <c r="Q12" s="537"/>
      <c r="R12" s="537"/>
      <c r="S12" s="537"/>
      <c r="T12" s="537"/>
      <c r="U12" s="537"/>
      <c r="V12" s="537"/>
      <c r="W12" s="537"/>
      <c r="X12" s="537"/>
      <c r="Y12" s="537"/>
      <c r="Z12" s="537"/>
      <c r="AA12" s="537"/>
      <c r="AB12" s="537"/>
      <c r="AC12" s="537"/>
      <c r="AD12" s="537"/>
      <c r="AE12" s="537"/>
      <c r="AF12" s="537"/>
      <c r="AG12" s="537"/>
      <c r="AH12" s="537"/>
    </row>
    <row r="13" spans="3:34" ht="12.75" customHeight="1" x14ac:dyDescent="0.25">
      <c r="C13" s="114"/>
      <c r="D13" s="114"/>
      <c r="E13" s="114"/>
      <c r="F13" s="114"/>
      <c r="G13" s="114"/>
      <c r="H13" s="115">
        <v>32.6</v>
      </c>
      <c r="I13" s="362" t="str">
        <f>IF(ISBLANK(H13)," ",IF(ISTEXT(H13)," ",IF(H13&lt;=18.1,"МСМК",IF(H13&lt;=19,"МС",IF(H13&lt;=19.9,"КМС",IF(H13&lt;=21.3,"I",IF(H13&lt;=23.1,"II",IF(H13&lt;=25,"III",IF(H13&lt;=27.6,"I юн",IF(H13&lt;=30.2,"II юн",IF(H13&lt;=32.6,"III юн",IF(ISTEXT(H13)," ",IF(ISBLANK(H13)," ","б/р")))))))))))))</f>
        <v>III юн</v>
      </c>
      <c r="J13" s="362" t="str">
        <f>IF(ISBLANK(H13)," ",IF(ISTEXT(H13)," ",IF(H13&lt;=18.1,"МСМК",IF(H13&lt;=19,"МС",IF(H13&lt;=19.9,"КМС",IF(H13&lt;=21.3,"I",IF(H13&lt;=23.1,"II",IF(H13&lt;=25,"III",IF(H13&lt;=27.6,"I юн",IF(H13&lt;=30.2,"II юн",IF(H13&lt;=32.6,"III юн",IF(ISTEXT(H13)," ",IF(ISBLANK(H13)," ","б/р")))))))))))))</f>
        <v>III юн</v>
      </c>
      <c r="K13" s="626"/>
      <c r="L13" s="115">
        <f t="shared" si="4"/>
        <v>32.4</v>
      </c>
      <c r="M13" s="362" t="str">
        <f t="shared" si="2"/>
        <v>III юн</v>
      </c>
      <c r="N13" s="362" t="str">
        <f t="shared" si="3"/>
        <v>III юн</v>
      </c>
      <c r="O13" s="362"/>
      <c r="P13" s="537"/>
      <c r="Q13" s="537"/>
      <c r="R13" s="537"/>
      <c r="S13" s="537"/>
      <c r="T13" s="537"/>
      <c r="U13" s="537"/>
      <c r="V13" s="537"/>
      <c r="W13" s="537"/>
      <c r="X13" s="537"/>
      <c r="Y13" s="537"/>
      <c r="Z13" s="537"/>
      <c r="AA13" s="537"/>
      <c r="AB13" s="537"/>
      <c r="AC13" s="537"/>
      <c r="AD13" s="537"/>
      <c r="AE13" s="537"/>
      <c r="AF13" s="537"/>
      <c r="AG13" s="537"/>
      <c r="AH13" s="537"/>
    </row>
    <row r="14" spans="3:34" ht="12.75" customHeight="1" x14ac:dyDescent="0.25">
      <c r="C14" s="114"/>
      <c r="D14" s="114"/>
      <c r="E14" s="114"/>
      <c r="F14" s="114"/>
      <c r="G14" s="114"/>
      <c r="H14" s="116"/>
      <c r="I14" s="362" t="str">
        <f>IF(ISBLANK(H14)," ",IF(ISTEXT(H14)," ",IF(H14&lt;=18.1,"МСМК",IF(H14&lt;=19,"МС",IF(H14&lt;=19.9,"КМС",IF(H14&lt;=21.3,"I",IF(H14&lt;=23.1,"II",IF(H14&lt;=25,"III",IF(ISTEXT(H14)," ",IF(ISBLANK(H14)," ","б/р"))))))))))</f>
        <v xml:space="preserve"> </v>
      </c>
      <c r="J14" s="362" t="str">
        <f>IF(ISBLANK(H14)," ",IF(ISTEXT(H14)," ",IF(H14&lt;=18.1,"МСМК",IF(H14&lt;=19,"МС",IF(H14&lt;=19.9,"КМС",IF(H14&lt;=21.3,"I",IF(H14&lt;=23.1,"II",IF(H14&lt;=25,"III",IF(ISTEXT(H14)," ",IF(ISBLANK(H14)," ","б/р"))))))))))</f>
        <v xml:space="preserve"> </v>
      </c>
      <c r="K14" s="626"/>
      <c r="P14" s="528"/>
      <c r="Q14" s="528"/>
      <c r="R14" s="528"/>
      <c r="S14" s="115"/>
      <c r="T14" s="362"/>
      <c r="U14" s="362"/>
      <c r="V14" s="528"/>
      <c r="W14" s="528"/>
      <c r="X14" s="528"/>
      <c r="Y14" s="528"/>
      <c r="Z14" s="528"/>
      <c r="AA14" s="528"/>
      <c r="AB14" s="527"/>
      <c r="AC14" s="527"/>
      <c r="AD14" s="527"/>
      <c r="AE14" s="527"/>
      <c r="AF14" s="527"/>
      <c r="AG14" s="527"/>
      <c r="AH14" s="537"/>
    </row>
    <row r="15" spans="3:34" ht="14.25" customHeight="1" x14ac:dyDescent="0.25">
      <c r="C15" s="349" t="s">
        <v>76</v>
      </c>
      <c r="D15" s="350"/>
      <c r="E15" s="351"/>
      <c r="F15" s="349"/>
      <c r="G15" s="349"/>
      <c r="H15" s="352"/>
      <c r="I15" s="363"/>
      <c r="J15" s="364"/>
      <c r="K15" s="627"/>
      <c r="P15" s="527"/>
      <c r="Q15" s="527"/>
      <c r="R15" s="527"/>
      <c r="S15" s="527"/>
      <c r="T15" s="527"/>
      <c r="U15" s="527"/>
      <c r="V15" s="527"/>
      <c r="W15" s="527"/>
      <c r="X15" s="527"/>
      <c r="Y15" s="527"/>
      <c r="Z15" s="527"/>
      <c r="AA15" s="527"/>
      <c r="AB15" s="527"/>
      <c r="AC15" s="527"/>
      <c r="AD15" s="527"/>
      <c r="AE15" s="527"/>
      <c r="AF15" s="527"/>
      <c r="AG15" s="527"/>
      <c r="AH15" s="537"/>
    </row>
    <row r="16" spans="3:34" x14ac:dyDescent="0.25">
      <c r="C16" s="364"/>
      <c r="D16" s="364"/>
      <c r="E16" s="364"/>
      <c r="F16" s="364"/>
      <c r="G16" s="364"/>
      <c r="H16" s="116">
        <v>15.9</v>
      </c>
      <c r="I16" s="362" t="str">
        <f t="shared" ref="I16:I23" si="5">IF(ISBLANK(H16)," ",IF(ISTEXT(H16)," ",IF(H16&lt;=15.9,"МСМК",IF(H16&lt;=16.9,"МС",IF(H16&lt;=17.8,"КМС",IF(H16&lt;=18.7,"I",IF(H16&lt;=20.3,"II",IF(H16&lt;=22.1,"III",IF(H16&lt;=24.2,"I юн",IF(H16&lt;=26.4,"II юн",IF(H16&lt;=28.6,"III юн","б/р")))))))))))</f>
        <v>МСМК</v>
      </c>
      <c r="J16" s="362" t="str">
        <f t="shared" ref="J16:J23" si="6">IF(ISBLANK(H16)," ",IF(ISTEXT(H16)," ",IF(H16&lt;=15.9,"МСМК",IF(H16&lt;=16.9,"МС",IF(H16&lt;=17.8,"КМС",IF(H16&lt;=18.7,"I",IF(H16&lt;=20.3,"II",IF(H16&lt;=22.1,"III",IF(H16&lt;=24.2,"I юн",IF(H16&lt;=26.4,"II юн",IF(H16&lt;=28.6,"III юн","б/р")))))))))))</f>
        <v>МСМК</v>
      </c>
      <c r="K16" s="626"/>
      <c r="L16" s="532">
        <f>H16</f>
        <v>15.9</v>
      </c>
      <c r="M16" s="531" t="str">
        <f>IF(ISBLANK(L16)," ",IF(ISTEXT(L16)," ",IF(L16&lt;=15.9,"МСМК",IF(L16&lt;=16.9,"МС",IF(L16&lt;=17.6,"КМС",IF(L16&lt;=18.5,"I",IF(L16&lt;=20.1,"II",IF(L16&lt;=21.9,"III",IF(L16&lt;=24,"I юн",IF(L16&lt;=26.2,"II юн",IF(L16&lt;=28.4,"III юн","б/р")))))))))))</f>
        <v>МСМК</v>
      </c>
      <c r="N16" s="531" t="str">
        <f>IF(ISBLANK(L16)," ",IF(ISTEXT(L16)," ",IF(L16&lt;=15.9,"МСМК",IF(L16&lt;=16.9,"МС",IF(L16&lt;=17.6,"КМС",IF(L16&lt;=18.5,"I",IF(L16&lt;=20.1,"II",IF(L16&lt;=21.9,"III",IF(L16&lt;=24,"I юн",IF(L16&lt;=26.2,"II юн",IF(L16&lt;=28.4,"III юн","б/р")))))))))))</f>
        <v>МСМК</v>
      </c>
      <c r="O16" s="531"/>
      <c r="P16" s="537"/>
      <c r="Q16" s="537"/>
      <c r="R16" s="537"/>
      <c r="S16" s="537"/>
      <c r="T16" s="537"/>
      <c r="U16" s="537"/>
      <c r="V16" s="537"/>
      <c r="W16" s="537"/>
      <c r="X16" s="537"/>
      <c r="Y16" s="537"/>
      <c r="Z16" s="537"/>
      <c r="AA16" s="537"/>
      <c r="AB16" s="537"/>
      <c r="AC16" s="537"/>
      <c r="AD16" s="537"/>
      <c r="AE16" s="537"/>
      <c r="AF16" s="537"/>
      <c r="AG16" s="537"/>
      <c r="AH16" s="537"/>
    </row>
    <row r="17" spans="3:34" x14ac:dyDescent="0.25">
      <c r="C17" s="546"/>
      <c r="D17" s="355"/>
      <c r="E17" s="406"/>
      <c r="F17" s="546"/>
      <c r="G17" s="546"/>
      <c r="H17" s="116">
        <v>16.899999999999999</v>
      </c>
      <c r="I17" s="362" t="str">
        <f t="shared" si="5"/>
        <v>МС</v>
      </c>
      <c r="J17" s="362" t="str">
        <f t="shared" si="6"/>
        <v>МС</v>
      </c>
      <c r="K17" s="626"/>
      <c r="L17" s="532">
        <f>H17</f>
        <v>16.899999999999999</v>
      </c>
      <c r="M17" s="531" t="str">
        <f>IF(ISBLANK(L17)," ",IF(ISTEXT(L17)," ",IF(L17&lt;=15.9,"МСМК",IF(L17&lt;=16.9,"МС",IF(L17&lt;=17.6,"КМС",IF(L17&lt;=18.5,"I",IF(L17&lt;=20.1,"II",IF(L17&lt;=21.9,"III",IF(L17&lt;=24,"I юн",IF(L17&lt;=26.2,"II юн",IF(L17&lt;=28.4,"III юн","б/р")))))))))))</f>
        <v>МС</v>
      </c>
      <c r="N17" s="531" t="str">
        <f t="shared" ref="N17:N24" si="7">IF(ISBLANK(L17)," ",IF(ISTEXT(L17)," ",IF(L17&lt;=15.9,"МСМК",IF(L17&lt;=16.9,"МС",IF(L17&lt;=17.6,"КМС",IF(L17&lt;=18.5,"I",IF(L17&lt;=20.1,"II",IF(L17&lt;=21.9,"III",IF(L17&lt;=24,"I юн",IF(L17&lt;=26.2,"II юн",IF(L17&lt;=28.4,"III юн","б/р")))))))))))</f>
        <v>МС</v>
      </c>
      <c r="O17" s="531"/>
      <c r="P17" s="537"/>
      <c r="Q17" s="537"/>
      <c r="R17" s="537"/>
      <c r="S17" s="537"/>
      <c r="T17" s="537"/>
      <c r="U17" s="537"/>
      <c r="V17" s="537"/>
      <c r="W17" s="537"/>
      <c r="X17" s="537"/>
      <c r="Y17" s="537"/>
      <c r="Z17" s="537"/>
      <c r="AA17" s="537"/>
      <c r="AB17" s="537"/>
      <c r="AC17" s="537"/>
      <c r="AD17" s="537"/>
      <c r="AE17" s="537"/>
      <c r="AF17" s="537"/>
      <c r="AG17" s="537"/>
      <c r="AH17" s="537"/>
    </row>
    <row r="18" spans="3:34" x14ac:dyDescent="0.25">
      <c r="C18" s="546"/>
      <c r="D18" s="355"/>
      <c r="E18" s="406"/>
      <c r="F18" s="546"/>
      <c r="G18" s="546"/>
      <c r="H18" s="116">
        <v>17.8</v>
      </c>
      <c r="I18" s="362" t="str">
        <f t="shared" si="5"/>
        <v>КМС</v>
      </c>
      <c r="J18" s="362" t="str">
        <f t="shared" si="6"/>
        <v>КМС</v>
      </c>
      <c r="K18" s="626"/>
      <c r="L18" s="116">
        <f>H18-0.2</f>
        <v>17.600000000000001</v>
      </c>
      <c r="M18" s="362" t="str">
        <f>IF(ISBLANK(L18)," ",IF(ISTEXT(L18)," ",IF(L18&lt;=15.9,"МСМК",IF(L18&lt;=16.9,"МС",IF(L18&lt;=17.6,"КМС",IF(L18&lt;=18.5,"I",IF(L18&lt;=20.1,"II",IF(L18&lt;=21.9,"III",IF(L18&lt;=24,"I юн",IF(L18&lt;=26.2,"II юн",IF(L18&lt;=28.4,"III юн","б/р")))))))))))</f>
        <v>КМС</v>
      </c>
      <c r="N18" s="362" t="str">
        <f t="shared" si="7"/>
        <v>КМС</v>
      </c>
      <c r="O18" s="362"/>
      <c r="P18" s="537"/>
      <c r="Q18" s="537"/>
      <c r="R18" s="537"/>
      <c r="S18" s="537"/>
      <c r="T18" s="537"/>
      <c r="U18" s="537"/>
      <c r="V18" s="537"/>
      <c r="W18" s="537"/>
      <c r="X18" s="537"/>
      <c r="Y18" s="537"/>
      <c r="Z18" s="537"/>
      <c r="AA18" s="537"/>
      <c r="AB18" s="537"/>
      <c r="AC18" s="537"/>
      <c r="AD18" s="537"/>
      <c r="AE18" s="537"/>
      <c r="AF18" s="537"/>
      <c r="AG18" s="537"/>
      <c r="AH18" s="537"/>
    </row>
    <row r="19" spans="3:34" x14ac:dyDescent="0.25">
      <c r="C19" s="546"/>
      <c r="D19" s="355"/>
      <c r="E19" s="406"/>
      <c r="F19" s="546"/>
      <c r="G19" s="546"/>
      <c r="H19" s="116">
        <v>18.7</v>
      </c>
      <c r="I19" s="362" t="str">
        <f t="shared" si="5"/>
        <v>I</v>
      </c>
      <c r="J19" s="362" t="str">
        <f t="shared" si="6"/>
        <v>I</v>
      </c>
      <c r="K19" s="626"/>
      <c r="L19" s="116">
        <f t="shared" ref="L19:L24" si="8">H19-0.2</f>
        <v>18.5</v>
      </c>
      <c r="M19" s="362" t="str">
        <f t="shared" ref="M19:M24" si="9">IF(ISBLANK(L19)," ",IF(ISTEXT(L19)," ",IF(L19&lt;=15.9,"МСМК",IF(L19&lt;=16.9,"МС",IF(L19&lt;=17.6,"КМС",IF(L19&lt;=18.5,"I",IF(L19&lt;=20.1,"II",IF(L19&lt;=21.9,"III",IF(L19&lt;=24,"I юн",IF(L19&lt;=26.2,"II юн",IF(L19&lt;=28.4,"III юн","б/р")))))))))))</f>
        <v>I</v>
      </c>
      <c r="N19" s="362" t="str">
        <f t="shared" si="7"/>
        <v>I</v>
      </c>
      <c r="O19" s="362"/>
      <c r="P19" s="537"/>
      <c r="Q19" s="537"/>
      <c r="R19" s="537"/>
      <c r="S19" s="537"/>
      <c r="T19" s="537"/>
      <c r="U19" s="537"/>
      <c r="V19" s="537"/>
      <c r="W19" s="537"/>
      <c r="X19" s="537"/>
      <c r="Y19" s="537"/>
      <c r="Z19" s="537"/>
      <c r="AA19" s="537"/>
      <c r="AB19" s="537"/>
      <c r="AC19" s="537"/>
      <c r="AD19" s="537"/>
      <c r="AE19" s="537"/>
      <c r="AF19" s="537"/>
      <c r="AG19" s="537"/>
      <c r="AH19" s="537"/>
    </row>
    <row r="20" spans="3:34" x14ac:dyDescent="0.25">
      <c r="C20" s="546"/>
      <c r="D20" s="355"/>
      <c r="E20" s="406"/>
      <c r="F20" s="546"/>
      <c r="G20" s="546"/>
      <c r="H20" s="116">
        <v>20.3</v>
      </c>
      <c r="I20" s="362" t="str">
        <f t="shared" si="5"/>
        <v>II</v>
      </c>
      <c r="J20" s="362" t="str">
        <f t="shared" si="6"/>
        <v>II</v>
      </c>
      <c r="K20" s="626"/>
      <c r="L20" s="116">
        <f t="shared" si="8"/>
        <v>20.100000000000001</v>
      </c>
      <c r="M20" s="362" t="str">
        <f t="shared" si="9"/>
        <v>II</v>
      </c>
      <c r="N20" s="362" t="str">
        <f t="shared" si="7"/>
        <v>II</v>
      </c>
      <c r="O20" s="362"/>
      <c r="P20" s="537"/>
      <c r="Q20" s="537"/>
      <c r="R20" s="537"/>
      <c r="S20" s="537"/>
      <c r="T20" s="537"/>
      <c r="U20" s="537"/>
      <c r="V20" s="537"/>
      <c r="W20" s="537"/>
      <c r="X20" s="537"/>
      <c r="Y20" s="537"/>
      <c r="Z20" s="537"/>
      <c r="AA20" s="537"/>
      <c r="AB20" s="537"/>
      <c r="AC20" s="537"/>
      <c r="AD20" s="537"/>
      <c r="AE20" s="537"/>
      <c r="AF20" s="537"/>
      <c r="AG20" s="537"/>
      <c r="AH20" s="537"/>
    </row>
    <row r="21" spans="3:34" x14ac:dyDescent="0.25">
      <c r="C21" s="546"/>
      <c r="D21" s="355"/>
      <c r="E21" s="406"/>
      <c r="F21" s="546"/>
      <c r="G21" s="546"/>
      <c r="H21" s="116">
        <v>22.1</v>
      </c>
      <c r="I21" s="362" t="str">
        <f t="shared" si="5"/>
        <v>III</v>
      </c>
      <c r="J21" s="362" t="str">
        <f t="shared" si="6"/>
        <v>III</v>
      </c>
      <c r="K21" s="626"/>
      <c r="L21" s="116">
        <f t="shared" si="8"/>
        <v>21.900000000000002</v>
      </c>
      <c r="M21" s="362" t="str">
        <f t="shared" si="9"/>
        <v>III</v>
      </c>
      <c r="N21" s="362" t="str">
        <f t="shared" si="7"/>
        <v>III</v>
      </c>
      <c r="O21" s="362"/>
      <c r="P21" s="537"/>
      <c r="Q21" s="537"/>
      <c r="R21" s="537"/>
      <c r="S21" s="537"/>
      <c r="T21" s="537"/>
      <c r="U21" s="537"/>
      <c r="V21" s="537"/>
      <c r="W21" s="537"/>
      <c r="X21" s="537"/>
      <c r="Y21" s="537"/>
      <c r="Z21" s="537"/>
      <c r="AA21" s="537"/>
      <c r="AB21" s="537"/>
      <c r="AC21" s="537"/>
      <c r="AD21" s="537"/>
      <c r="AE21" s="537"/>
      <c r="AF21" s="537"/>
      <c r="AG21" s="537"/>
      <c r="AH21" s="537"/>
    </row>
    <row r="22" spans="3:34" x14ac:dyDescent="0.25">
      <c r="C22" s="546"/>
      <c r="D22" s="355"/>
      <c r="E22" s="406"/>
      <c r="F22" s="546"/>
      <c r="G22" s="546"/>
      <c r="H22" s="115">
        <v>24.2</v>
      </c>
      <c r="I22" s="362" t="str">
        <f t="shared" si="5"/>
        <v>I юн</v>
      </c>
      <c r="J22" s="362" t="str">
        <f t="shared" si="6"/>
        <v>I юн</v>
      </c>
      <c r="K22" s="626"/>
      <c r="L22" s="116">
        <f t="shared" si="8"/>
        <v>24</v>
      </c>
      <c r="M22" s="362" t="str">
        <f t="shared" si="9"/>
        <v>I юн</v>
      </c>
      <c r="N22" s="362" t="str">
        <f t="shared" si="7"/>
        <v>I юн</v>
      </c>
      <c r="O22" s="362"/>
      <c r="P22" s="537"/>
      <c r="Q22" s="537"/>
      <c r="R22" s="537"/>
      <c r="S22" s="537"/>
      <c r="T22" s="537"/>
      <c r="U22" s="537"/>
      <c r="V22" s="537"/>
      <c r="W22" s="537"/>
      <c r="X22" s="537"/>
      <c r="Y22" s="537"/>
      <c r="Z22" s="537"/>
      <c r="AA22" s="537"/>
      <c r="AB22" s="537"/>
      <c r="AC22" s="537"/>
      <c r="AD22" s="537"/>
      <c r="AE22" s="537"/>
      <c r="AF22" s="537"/>
      <c r="AG22" s="537"/>
      <c r="AH22" s="537"/>
    </row>
    <row r="23" spans="3:34" x14ac:dyDescent="0.25">
      <c r="C23" s="546"/>
      <c r="D23" s="355"/>
      <c r="E23" s="406"/>
      <c r="F23" s="546"/>
      <c r="G23" s="546"/>
      <c r="H23" s="115">
        <v>26.4</v>
      </c>
      <c r="I23" s="362" t="str">
        <f t="shared" si="5"/>
        <v>II юн</v>
      </c>
      <c r="J23" s="362" t="str">
        <f t="shared" si="6"/>
        <v>II юн</v>
      </c>
      <c r="K23" s="626"/>
      <c r="L23" s="116">
        <f t="shared" si="8"/>
        <v>26.2</v>
      </c>
      <c r="M23" s="362" t="str">
        <f t="shared" si="9"/>
        <v>II юн</v>
      </c>
      <c r="N23" s="362" t="str">
        <f t="shared" si="7"/>
        <v>II юн</v>
      </c>
      <c r="O23" s="362"/>
      <c r="P23" s="537"/>
      <c r="Q23" s="537"/>
      <c r="R23" s="537"/>
      <c r="S23" s="537"/>
      <c r="T23" s="537"/>
      <c r="U23" s="537"/>
      <c r="V23" s="537"/>
      <c r="W23" s="537"/>
      <c r="X23" s="537"/>
      <c r="Y23" s="537"/>
      <c r="Z23" s="537"/>
      <c r="AA23" s="537"/>
      <c r="AB23" s="537"/>
      <c r="AC23" s="537"/>
      <c r="AD23" s="537"/>
      <c r="AE23" s="537"/>
      <c r="AF23" s="537"/>
      <c r="AG23" s="537"/>
      <c r="AH23" s="537"/>
    </row>
    <row r="24" spans="3:34" x14ac:dyDescent="0.25">
      <c r="C24" s="546"/>
      <c r="D24" s="355"/>
      <c r="E24" s="406"/>
      <c r="F24" s="546"/>
      <c r="G24" s="546"/>
      <c r="H24" s="115">
        <v>28.6</v>
      </c>
      <c r="I24" s="362" t="str">
        <f>IF(ISBLANK(H24)," ",IF(ISTEXT(H24)," ",IF(H24&lt;=15.9,"МСМК",IF(H24&lt;=16.9,"МС",IF(H24&lt;=17.8,"КМС",IF(H24&lt;=18.7,"I",IF(H24&lt;=20.3,"II",IF(H24&lt;=22.1,"III",IF(H24&lt;=24.2,"I юн",IF(H24&lt;=26.4,"II юн",IF(H24&lt;=28.6,"III юн","б/р")))))))))))</f>
        <v>III юн</v>
      </c>
      <c r="J24" s="362" t="str">
        <f>IF(ISBLANK(H24)," ",IF(ISTEXT(H24)," ",IF(H24&lt;=15.9,"МСМК",IF(H24&lt;=16.9,"МС",IF(H24&lt;=17.8,"КМС",IF(H24&lt;=18.7,"I",IF(H24&lt;=20.3,"II",IF(H24&lt;=22.1,"III",IF(H24&lt;=24.2,"I юн",IF(H24&lt;=26.4,"II юн",IF(H24&lt;=28.6,"III юн","б/р")))))))))))</f>
        <v>III юн</v>
      </c>
      <c r="K24" s="626"/>
      <c r="L24" s="116">
        <f t="shared" si="8"/>
        <v>28.400000000000002</v>
      </c>
      <c r="M24" s="362" t="str">
        <f t="shared" si="9"/>
        <v>III юн</v>
      </c>
      <c r="N24" s="362" t="str">
        <f t="shared" si="7"/>
        <v>III юн</v>
      </c>
      <c r="O24" s="362"/>
      <c r="P24" s="537"/>
      <c r="Q24" s="537"/>
      <c r="R24" s="537"/>
      <c r="S24" s="537"/>
      <c r="T24" s="537"/>
      <c r="U24" s="537"/>
      <c r="V24" s="537"/>
      <c r="W24" s="537"/>
      <c r="X24" s="537"/>
      <c r="Y24" s="537"/>
      <c r="Z24" s="537"/>
      <c r="AA24" s="537"/>
      <c r="AB24" s="537"/>
      <c r="AC24" s="537"/>
      <c r="AD24" s="537"/>
      <c r="AE24" s="537"/>
      <c r="AF24" s="537"/>
      <c r="AG24" s="537"/>
      <c r="AH24" s="537"/>
    </row>
    <row r="25" spans="3:34" x14ac:dyDescent="0.25">
      <c r="C25" s="364"/>
      <c r="D25" s="364"/>
      <c r="E25" s="364"/>
      <c r="F25" s="364"/>
      <c r="G25" s="364"/>
      <c r="H25" s="356"/>
      <c r="I25" s="362" t="str">
        <f>IF(ISBLANK(H25)," ",IF(ISTEXT(H25)," ",IF(H25&lt;=14.7,"МСМК",IF(H25&lt;=15.4,"МС",IF(H25&lt;=16.2,"КМС",IF(H25&lt;=17.3,"I",IF(H25&lt;=18.8,"II",IF(H25&lt;=20.4,"III","б/р"))))))))</f>
        <v xml:space="preserve"> </v>
      </c>
      <c r="J25" s="355" t="str">
        <f>IF(ISBLANK(H25)," ",IF(ISTEXT(H25)," ",IF(H25&lt;=14.7,"МСМК",IF(H25&lt;=15.4,"МС",IF(H25&lt;=16.2,"КМС",IF(H25&lt;=17.3,"I",IF(H25&lt;=18.8,"II",IF(H25&lt;=20.4,"III","б/р"))))))))</f>
        <v xml:space="preserve"> </v>
      </c>
      <c r="K25" s="626"/>
      <c r="P25" s="537"/>
      <c r="Q25" s="537"/>
      <c r="R25" s="537"/>
      <c r="S25" s="537"/>
      <c r="T25" s="537"/>
      <c r="U25" s="537"/>
      <c r="V25" s="537"/>
      <c r="W25" s="537"/>
      <c r="X25" s="537"/>
      <c r="Y25" s="537"/>
      <c r="Z25" s="537"/>
      <c r="AA25" s="537"/>
      <c r="AB25" s="537"/>
      <c r="AC25" s="537"/>
      <c r="AD25" s="537"/>
      <c r="AE25" s="537"/>
      <c r="AF25" s="537"/>
      <c r="AG25" s="537"/>
      <c r="AH25" s="537"/>
    </row>
    <row r="26" spans="3:34" x14ac:dyDescent="0.25">
      <c r="C26" s="349" t="s">
        <v>96</v>
      </c>
      <c r="D26" s="364"/>
      <c r="E26" s="364"/>
      <c r="F26" s="364"/>
      <c r="G26" s="364"/>
      <c r="H26" s="363"/>
      <c r="I26" s="363"/>
      <c r="J26" s="364"/>
      <c r="K26" s="627"/>
      <c r="P26" s="537"/>
      <c r="Q26" s="537"/>
      <c r="R26" s="537"/>
      <c r="S26" s="537"/>
      <c r="T26" s="537"/>
      <c r="U26" s="537"/>
      <c r="V26" s="537"/>
      <c r="W26" s="537"/>
      <c r="X26" s="537"/>
      <c r="Y26" s="537"/>
      <c r="Z26" s="537"/>
      <c r="AA26" s="537"/>
      <c r="AB26" s="537"/>
      <c r="AC26" s="537"/>
      <c r="AD26" s="537"/>
      <c r="AE26" s="537"/>
      <c r="AF26" s="537"/>
      <c r="AG26" s="537"/>
      <c r="AH26" s="537"/>
    </row>
    <row r="27" spans="3:34" x14ac:dyDescent="0.25">
      <c r="C27" s="364"/>
      <c r="D27" s="364"/>
      <c r="E27" s="364"/>
      <c r="F27" s="364"/>
      <c r="G27" s="364"/>
      <c r="H27" s="356">
        <v>22.3</v>
      </c>
      <c r="I27" s="362" t="str">
        <f t="shared" ref="I27:I34" si="10">IF(ISBLANK(H27)," ",IF(ISTEXT(H27)," ",IF(H27&lt;=22.3,"МСМК",IF(H27&lt;=23.7,"МС",IF(H27&lt;=24.8,"КМС",IF(H27&lt;=26.6,"I",IF(H27&lt;=28.2,"II",IF(H27&lt;=30.7,"III",IF(H27&lt;=33.7,"I юн",IF(H27&lt;=36.9,"II юн",IF(H27&lt;=40,"III юн","б/р")))))))))))</f>
        <v>МСМК</v>
      </c>
      <c r="J27" s="362" t="str">
        <f t="shared" ref="J27:J34" si="11">IF(ISBLANK(H27)," ",IF(ISTEXT(H27)," ",IF(H27&lt;=22.3,"МСМК",IF(H27&lt;=23.7,"МС",IF(H27&lt;=24.8,"КМС",IF(H27&lt;=26.6,"I",IF(H27&lt;=28.2,"II",IF(H27&lt;=30.7,"III",IF(H27&lt;=33.7,"I юн",IF(H27&lt;=36.9,"II юн",IF(H27&lt;=40,"III юн","б/р")))))))))))</f>
        <v>МСМК</v>
      </c>
      <c r="K27" s="626"/>
      <c r="L27" s="533">
        <f>H27</f>
        <v>22.3</v>
      </c>
      <c r="M27" s="531" t="str">
        <f t="shared" ref="M27:M34" si="12">IF(ISBLANK(L27)," ",IF(ISTEXT(L27)," ",IF(L27&lt;=22.3,"МСМК",IF(L27&lt;=23.7,"МС",IF(L27&lt;=24.6,"КМС",IF(L27&lt;=26.4,"I",IF(L27&lt;=28,"II",IF(L27&lt;=30.5,"III",IF(L27&lt;=33.5,"I юн",IF(L27&lt;=36.7,"II юн",IF(L27&lt;=39.8,"III юн","б/р")))))))))))</f>
        <v>МСМК</v>
      </c>
      <c r="N27" s="531" t="str">
        <f t="shared" ref="N27:N34" si="13">IF(ISBLANK(L27)," ",IF(ISTEXT(L27)," ",IF(L27&lt;=22.3,"МСМК",IF(L27&lt;=23.7,"МС",IF(L27&lt;=24.6,"КМС",IF(L27&lt;=26.4,"I",IF(L27&lt;=28,"II",IF(L27&lt;=30.5,"III",IF(L27&lt;=33.5,"I юн",IF(L27&lt;=36.7,"II юн",IF(L27&lt;=39.8,"III юн","б/р")))))))))))</f>
        <v>МСМК</v>
      </c>
      <c r="O27" s="531"/>
      <c r="P27" s="537"/>
      <c r="Q27" s="537"/>
      <c r="R27" s="537"/>
      <c r="S27" s="537"/>
      <c r="T27" s="537"/>
      <c r="U27" s="537"/>
      <c r="V27" s="537"/>
      <c r="W27" s="537"/>
      <c r="X27" s="537"/>
      <c r="Y27" s="537"/>
      <c r="Z27" s="537"/>
      <c r="AA27" s="537"/>
      <c r="AB27" s="537"/>
      <c r="AC27" s="537"/>
      <c r="AD27" s="537"/>
      <c r="AE27" s="537"/>
      <c r="AF27" s="537"/>
      <c r="AG27" s="537"/>
      <c r="AH27" s="537"/>
    </row>
    <row r="28" spans="3:34" x14ac:dyDescent="0.25">
      <c r="C28" s="364"/>
      <c r="D28" s="364"/>
      <c r="E28" s="364"/>
      <c r="F28" s="364"/>
      <c r="G28" s="364"/>
      <c r="H28" s="356">
        <v>23.7</v>
      </c>
      <c r="I28" s="362" t="str">
        <f t="shared" si="10"/>
        <v>МС</v>
      </c>
      <c r="J28" s="362" t="str">
        <f t="shared" si="11"/>
        <v>МС</v>
      </c>
      <c r="K28" s="626"/>
      <c r="L28" s="533">
        <f>H28</f>
        <v>23.7</v>
      </c>
      <c r="M28" s="531" t="str">
        <f t="shared" si="12"/>
        <v>МС</v>
      </c>
      <c r="N28" s="531" t="str">
        <f t="shared" si="13"/>
        <v>МС</v>
      </c>
      <c r="O28" s="531"/>
      <c r="P28" s="537"/>
      <c r="Q28" s="537"/>
      <c r="R28" s="537"/>
      <c r="S28" s="537"/>
      <c r="T28" s="537"/>
      <c r="U28" s="537"/>
      <c r="V28" s="537"/>
      <c r="W28" s="537"/>
      <c r="X28" s="537"/>
      <c r="Y28" s="537"/>
      <c r="Z28" s="537"/>
      <c r="AA28" s="537"/>
      <c r="AB28" s="537"/>
      <c r="AC28" s="537"/>
      <c r="AD28" s="537"/>
      <c r="AE28" s="537"/>
      <c r="AF28" s="537"/>
      <c r="AG28" s="537"/>
      <c r="AH28" s="537"/>
    </row>
    <row r="29" spans="3:34" x14ac:dyDescent="0.25">
      <c r="C29" s="364"/>
      <c r="D29" s="364"/>
      <c r="E29" s="364"/>
      <c r="F29" s="364"/>
      <c r="G29" s="364"/>
      <c r="H29" s="356">
        <v>24.8</v>
      </c>
      <c r="I29" s="362" t="str">
        <f t="shared" si="10"/>
        <v>КМС</v>
      </c>
      <c r="J29" s="362" t="str">
        <f t="shared" si="11"/>
        <v>КМС</v>
      </c>
      <c r="K29" s="626"/>
      <c r="L29" s="356">
        <f>H29-0.2</f>
        <v>24.6</v>
      </c>
      <c r="M29" s="362" t="str">
        <f t="shared" si="12"/>
        <v>КМС</v>
      </c>
      <c r="N29" s="362" t="str">
        <f t="shared" si="13"/>
        <v>КМС</v>
      </c>
      <c r="O29" s="362"/>
      <c r="P29" s="537"/>
      <c r="Q29" s="537"/>
      <c r="R29" s="537"/>
      <c r="S29" s="537"/>
      <c r="T29" s="537"/>
      <c r="U29" s="537"/>
      <c r="V29" s="537"/>
      <c r="W29" s="537"/>
      <c r="X29" s="537"/>
      <c r="Y29" s="537"/>
      <c r="Z29" s="537"/>
      <c r="AA29" s="537"/>
      <c r="AB29" s="537"/>
      <c r="AC29" s="537"/>
      <c r="AD29" s="537"/>
      <c r="AE29" s="537"/>
      <c r="AF29" s="537"/>
      <c r="AG29" s="537"/>
      <c r="AH29" s="537"/>
    </row>
    <row r="30" spans="3:34" x14ac:dyDescent="0.25">
      <c r="C30" s="364"/>
      <c r="D30" s="364"/>
      <c r="E30" s="364"/>
      <c r="F30" s="364"/>
      <c r="G30" s="364"/>
      <c r="H30" s="356">
        <v>26.6</v>
      </c>
      <c r="I30" s="362" t="str">
        <f t="shared" si="10"/>
        <v>I</v>
      </c>
      <c r="J30" s="362" t="str">
        <f t="shared" si="11"/>
        <v>I</v>
      </c>
      <c r="K30" s="626"/>
      <c r="L30" s="356">
        <f t="shared" ref="L30:L35" si="14">H30-0.2</f>
        <v>26.400000000000002</v>
      </c>
      <c r="M30" s="362" t="str">
        <f t="shared" si="12"/>
        <v>I</v>
      </c>
      <c r="N30" s="362" t="str">
        <f t="shared" si="13"/>
        <v>I</v>
      </c>
      <c r="O30" s="362"/>
      <c r="P30" s="537"/>
      <c r="Q30" s="537"/>
      <c r="R30" s="537"/>
      <c r="S30" s="537"/>
      <c r="T30" s="537"/>
      <c r="U30" s="537"/>
      <c r="V30" s="537"/>
      <c r="W30" s="537"/>
      <c r="X30" s="537"/>
      <c r="Y30" s="537"/>
      <c r="Z30" s="537"/>
      <c r="AA30" s="537"/>
      <c r="AB30" s="537"/>
      <c r="AC30" s="537"/>
      <c r="AD30" s="537"/>
      <c r="AE30" s="537"/>
      <c r="AF30" s="537"/>
      <c r="AG30" s="537"/>
      <c r="AH30" s="537"/>
    </row>
    <row r="31" spans="3:34" x14ac:dyDescent="0.25">
      <c r="C31" s="364"/>
      <c r="D31" s="364"/>
      <c r="E31" s="364"/>
      <c r="F31" s="364"/>
      <c r="G31" s="364"/>
      <c r="H31" s="356">
        <v>28.2</v>
      </c>
      <c r="I31" s="362" t="str">
        <f t="shared" si="10"/>
        <v>II</v>
      </c>
      <c r="J31" s="362" t="str">
        <f t="shared" si="11"/>
        <v>II</v>
      </c>
      <c r="K31" s="626"/>
      <c r="L31" s="356">
        <f t="shared" si="14"/>
        <v>28</v>
      </c>
      <c r="M31" s="362" t="str">
        <f t="shared" si="12"/>
        <v>II</v>
      </c>
      <c r="N31" s="362" t="str">
        <f t="shared" si="13"/>
        <v>II</v>
      </c>
      <c r="O31" s="362"/>
      <c r="P31" s="537"/>
      <c r="Q31" s="537"/>
      <c r="R31" s="537"/>
      <c r="S31" s="537"/>
      <c r="T31" s="537"/>
      <c r="U31" s="537"/>
      <c r="V31" s="537"/>
      <c r="W31" s="537"/>
      <c r="X31" s="537"/>
      <c r="Y31" s="537"/>
      <c r="Z31" s="537"/>
      <c r="AA31" s="537"/>
      <c r="AB31" s="537"/>
      <c r="AC31" s="537"/>
      <c r="AD31" s="537"/>
      <c r="AE31" s="537"/>
      <c r="AF31" s="537"/>
      <c r="AG31" s="537"/>
      <c r="AH31" s="537"/>
    </row>
    <row r="32" spans="3:34" x14ac:dyDescent="0.25">
      <c r="C32" s="364"/>
      <c r="D32" s="364"/>
      <c r="E32" s="364"/>
      <c r="F32" s="364"/>
      <c r="G32" s="364"/>
      <c r="H32" s="356">
        <v>30.7</v>
      </c>
      <c r="I32" s="362" t="str">
        <f t="shared" si="10"/>
        <v>III</v>
      </c>
      <c r="J32" s="362" t="str">
        <f t="shared" si="11"/>
        <v>III</v>
      </c>
      <c r="K32" s="626"/>
      <c r="L32" s="356">
        <f t="shared" si="14"/>
        <v>30.5</v>
      </c>
      <c r="M32" s="362" t="str">
        <f t="shared" si="12"/>
        <v>III</v>
      </c>
      <c r="N32" s="362" t="str">
        <f t="shared" si="13"/>
        <v>III</v>
      </c>
      <c r="O32" s="362"/>
      <c r="P32" s="537"/>
      <c r="Q32" s="537"/>
      <c r="R32" s="537"/>
      <c r="S32" s="537"/>
      <c r="T32" s="537"/>
      <c r="U32" s="537"/>
      <c r="V32" s="537"/>
      <c r="W32" s="537"/>
      <c r="X32" s="537"/>
      <c r="Y32" s="537"/>
      <c r="Z32" s="537"/>
      <c r="AA32" s="537"/>
      <c r="AB32" s="537"/>
      <c r="AC32" s="537"/>
      <c r="AD32" s="537"/>
      <c r="AE32" s="537"/>
      <c r="AF32" s="537"/>
      <c r="AG32" s="537"/>
      <c r="AH32" s="537"/>
    </row>
    <row r="33" spans="3:34" x14ac:dyDescent="0.25">
      <c r="C33" s="364"/>
      <c r="D33" s="364"/>
      <c r="E33" s="364"/>
      <c r="F33" s="364"/>
      <c r="G33" s="364"/>
      <c r="H33" s="115">
        <v>33.700000000000003</v>
      </c>
      <c r="I33" s="362" t="str">
        <f t="shared" si="10"/>
        <v>I юн</v>
      </c>
      <c r="J33" s="362" t="str">
        <f t="shared" si="11"/>
        <v>I юн</v>
      </c>
      <c r="K33" s="626"/>
      <c r="L33" s="356">
        <f t="shared" si="14"/>
        <v>33.5</v>
      </c>
      <c r="M33" s="362" t="str">
        <f t="shared" si="12"/>
        <v>I юн</v>
      </c>
      <c r="N33" s="362" t="str">
        <f t="shared" si="13"/>
        <v>I юн</v>
      </c>
      <c r="O33" s="362"/>
      <c r="P33" s="537"/>
      <c r="Q33" s="537"/>
      <c r="R33" s="537"/>
      <c r="S33" s="537"/>
      <c r="T33" s="537"/>
      <c r="U33" s="537"/>
      <c r="V33" s="537"/>
      <c r="W33" s="537"/>
      <c r="X33" s="537"/>
      <c r="Y33" s="537"/>
      <c r="Z33" s="537"/>
      <c r="AA33" s="537"/>
      <c r="AB33" s="537"/>
      <c r="AC33" s="537"/>
      <c r="AD33" s="537"/>
      <c r="AE33" s="537"/>
      <c r="AF33" s="537"/>
      <c r="AG33" s="537"/>
      <c r="AH33" s="537"/>
    </row>
    <row r="34" spans="3:34" x14ac:dyDescent="0.25">
      <c r="C34" s="364"/>
      <c r="D34" s="364"/>
      <c r="E34" s="364"/>
      <c r="F34" s="364"/>
      <c r="G34" s="364"/>
      <c r="H34" s="115">
        <v>36.9</v>
      </c>
      <c r="I34" s="362" t="str">
        <f t="shared" si="10"/>
        <v>II юн</v>
      </c>
      <c r="J34" s="362" t="str">
        <f t="shared" si="11"/>
        <v>II юн</v>
      </c>
      <c r="K34" s="626"/>
      <c r="L34" s="356">
        <f t="shared" si="14"/>
        <v>36.699999999999996</v>
      </c>
      <c r="M34" s="362" t="str">
        <f t="shared" si="12"/>
        <v>II юн</v>
      </c>
      <c r="N34" s="362" t="str">
        <f t="shared" si="13"/>
        <v>II юн</v>
      </c>
      <c r="O34" s="362"/>
      <c r="P34" s="537"/>
      <c r="Q34" s="537"/>
      <c r="R34" s="537"/>
      <c r="S34" s="537"/>
      <c r="T34" s="537"/>
      <c r="U34" s="537"/>
      <c r="V34" s="537"/>
      <c r="W34" s="537"/>
      <c r="X34" s="537"/>
      <c r="Y34" s="537"/>
      <c r="Z34" s="537"/>
      <c r="AA34" s="537"/>
      <c r="AB34" s="537"/>
      <c r="AC34" s="537"/>
      <c r="AD34" s="537"/>
      <c r="AE34" s="537"/>
      <c r="AF34" s="537"/>
      <c r="AG34" s="537"/>
      <c r="AH34" s="537"/>
    </row>
    <row r="35" spans="3:34" x14ac:dyDescent="0.25">
      <c r="C35" s="364"/>
      <c r="D35" s="364"/>
      <c r="E35" s="364"/>
      <c r="F35" s="364"/>
      <c r="G35" s="364"/>
      <c r="H35" s="115">
        <v>40</v>
      </c>
      <c r="I35" s="362" t="str">
        <f>IF(ISBLANK(H35)," ",IF(ISTEXT(H35)," ",IF(H35&lt;=22.3,"МСМК",IF(H35&lt;=23.7,"МС",IF(H35&lt;=24.8,"КМС",IF(H35&lt;=26.6,"I",IF(H35&lt;=28.2,"II",IF(H35&lt;=30.7,"III",IF(H35&lt;=33.7,"I юн",IF(H35&lt;=36.9,"II юн",IF(H35&lt;=40,"III юн","б/р")))))))))))</f>
        <v>III юн</v>
      </c>
      <c r="J35" s="362" t="str">
        <f>IF(ISBLANK(H35)," ",IF(ISTEXT(H35)," ",IF(H35&lt;=22.3,"МСМК",IF(H35&lt;=23.7,"МС",IF(H35&lt;=24.8,"КМС",IF(H35&lt;=26.6,"I",IF(H35&lt;=28.2,"II",IF(H35&lt;=30.7,"III",IF(H35&lt;=33.7,"I юн",IF(H35&lt;=36.9,"II юн",IF(H35&lt;=40,"III юн","б/р")))))))))))</f>
        <v>III юн</v>
      </c>
      <c r="K35" s="626"/>
      <c r="L35" s="356">
        <f t="shared" si="14"/>
        <v>39.799999999999997</v>
      </c>
      <c r="M35" s="362" t="str">
        <f>IF(ISBLANK(L35)," ",IF(ISTEXT(L35)," ",IF(L35&lt;=22.3,"МСМК",IF(L35&lt;=23.7,"МС",IF(L35&lt;=24.6,"КМС",IF(L35&lt;=26.4,"I",IF(L35&lt;=28,"II",IF(L35&lt;=30.5,"III",IF(L35&lt;=33.5,"I юн",IF(L35&lt;=36.7,"II юн",IF(L35&lt;=39.8,"III юн","б/р")))))))))))</f>
        <v>III юн</v>
      </c>
      <c r="N35" s="362" t="str">
        <f>IF(ISBLANK(L35)," ",IF(ISTEXT(L35)," ",IF(L35&lt;=22.3,"МСМК",IF(L35&lt;=23.7,"МС",IF(L35&lt;=24.6,"КМС",IF(L35&lt;=26.4,"I",IF(L35&lt;=28,"II",IF(L35&lt;=30.5,"III",IF(L35&lt;=33.5,"I юн",IF(L35&lt;=36.7,"II юн",IF(L35&lt;=39.8,"III юн","б/р")))))))))))</f>
        <v>III юн</v>
      </c>
      <c r="O35" s="362"/>
      <c r="P35" s="537"/>
      <c r="Q35" s="537"/>
      <c r="R35" s="537"/>
      <c r="S35" s="537"/>
      <c r="T35" s="537"/>
      <c r="U35" s="537"/>
      <c r="V35" s="537"/>
      <c r="W35" s="537"/>
      <c r="X35" s="537"/>
      <c r="Y35" s="537"/>
      <c r="Z35" s="537"/>
      <c r="AA35" s="537"/>
      <c r="AB35" s="537"/>
      <c r="AC35" s="537"/>
      <c r="AD35" s="537"/>
      <c r="AE35" s="537"/>
      <c r="AF35" s="537"/>
      <c r="AG35" s="537"/>
      <c r="AH35" s="537"/>
    </row>
    <row r="36" spans="3:34" x14ac:dyDescent="0.25">
      <c r="C36" s="364"/>
      <c r="D36" s="364"/>
      <c r="E36" s="364"/>
      <c r="F36" s="364"/>
      <c r="G36" s="364"/>
      <c r="H36" s="363"/>
      <c r="I36" s="362" t="str">
        <f>IF(ISBLANK(H36)," ",IF(ISTEXT(H36)," ",IF(H36&lt;=22.8,"МСМК",IF(H36&lt;=24.1,"МС",IF(H36&lt;=25.2,"КМС",IF(H36&lt;=26.8,"I",IF(H36&lt;=28.7,"II",IF(H36&lt;=31,"III","б/р"))))))))</f>
        <v xml:space="preserve"> </v>
      </c>
      <c r="J36" s="355" t="str">
        <f>IF(ISBLANK(H36)," ",IF(ISTEXT(H36)," ",IF(H36&lt;=22.8,"МСМК",IF(H36&lt;=24.1,"МС",IF(H36&lt;=25.2,"КМС",IF(H36&lt;=26.8,"I",IF(H36&lt;=28.7,"II",IF(H36&lt;=31,"III","б/р"))))))))</f>
        <v xml:space="preserve"> </v>
      </c>
      <c r="K36" s="626"/>
      <c r="P36" s="528"/>
      <c r="Q36" s="528"/>
      <c r="R36" s="528"/>
      <c r="S36" s="528"/>
      <c r="T36" s="528"/>
      <c r="U36" s="528"/>
      <c r="V36" s="528"/>
      <c r="W36" s="528"/>
      <c r="X36" s="528"/>
      <c r="Y36" s="528"/>
      <c r="Z36" s="528"/>
      <c r="AA36" s="528"/>
      <c r="AB36" s="528"/>
      <c r="AC36" s="528"/>
      <c r="AD36" s="528"/>
      <c r="AE36" s="528"/>
      <c r="AF36" s="527"/>
      <c r="AG36" s="528"/>
      <c r="AH36" s="537"/>
    </row>
    <row r="37" spans="3:34" x14ac:dyDescent="0.25">
      <c r="C37" s="349" t="s">
        <v>97</v>
      </c>
      <c r="D37" s="364"/>
      <c r="E37" s="364"/>
      <c r="F37" s="364"/>
      <c r="G37" s="364"/>
      <c r="H37" s="363"/>
      <c r="I37" s="363"/>
      <c r="J37" s="364"/>
      <c r="K37" s="627"/>
      <c r="P37" s="527"/>
      <c r="Q37" s="527"/>
      <c r="R37" s="527"/>
      <c r="S37" s="527"/>
      <c r="T37" s="527"/>
      <c r="U37" s="527"/>
      <c r="V37" s="527"/>
      <c r="W37" s="527"/>
      <c r="X37" s="527"/>
      <c r="Y37" s="527"/>
      <c r="Z37" s="527"/>
      <c r="AA37" s="527"/>
      <c r="AB37" s="527"/>
      <c r="AC37" s="527"/>
      <c r="AD37" s="527"/>
      <c r="AE37" s="527"/>
      <c r="AF37" s="527"/>
      <c r="AG37" s="527"/>
      <c r="AH37" s="537"/>
    </row>
    <row r="38" spans="3:34" x14ac:dyDescent="0.25">
      <c r="C38" s="364"/>
      <c r="D38" s="364"/>
      <c r="E38" s="364"/>
      <c r="F38" s="364"/>
      <c r="G38" s="364"/>
      <c r="H38" s="356">
        <v>19.399999999999999</v>
      </c>
      <c r="I38" s="362" t="str">
        <f t="shared" ref="I38:I45" si="15">IF(ISBLANK(H38)," ",IF(ISTEXT(H38)," ",IF(H38&lt;=19.4,"МСМК",IF(H38&lt;=20.5,"МС",IF(H38&lt;=21.5,"КМС",IF(H38&lt;=23.2,"I",IF(H38&lt;=25,"II",IF(H38&lt;=26.7,"III",IF(H38&lt;=30,"I юн",IF(H38&lt;=32.6,"II юн",IF(H38&lt;=35.7,"III юн","б/р")))))))))))</f>
        <v>МСМК</v>
      </c>
      <c r="J38" s="362" t="str">
        <f t="shared" ref="J38:J45" si="16">IF(ISBLANK(H38)," ",IF(ISTEXT(H38)," ",IF(H38&lt;=19.4,"МСМК",IF(H38&lt;=20.5,"МС",IF(H38&lt;=21.5,"КМС",IF(H38&lt;=23.2,"I",IF(H38&lt;=25,"II",IF(H38&lt;=26.7,"III",IF(H38&lt;=30,"I юн",IF(H38&lt;=32.6,"II юн",IF(H38&lt;=35.7,"III юн","б/р")))))))))))</f>
        <v>МСМК</v>
      </c>
      <c r="K38" s="626"/>
      <c r="L38" s="533">
        <f>H38</f>
        <v>19.399999999999999</v>
      </c>
      <c r="M38" s="531" t="str">
        <f t="shared" ref="M38:M45" si="17">IF(ISBLANK(L38)," ",IF(ISTEXT(L38)," ",IF(L38&lt;=19.4,"МСМК",IF(L38&lt;=20.5,"МС",IF(L38&lt;=21.3,"КМС",IF(L38&lt;=23,"I",IF(L38&lt;=24.8,"II",IF(L38&lt;=26.5,"III",IF(L38&lt;=29.8,"I юн",IF(L38&lt;=32.4,"II юн",IF(L38&lt;=35.5,"III юн","б/р")))))))))))</f>
        <v>МСМК</v>
      </c>
      <c r="N38" s="531" t="str">
        <f t="shared" ref="N38:N45" si="18">IF(ISBLANK(L38)," ",IF(ISTEXT(L38)," ",IF(L38&lt;=19.4,"МСМК",IF(L38&lt;=20.5,"МС",IF(L38&lt;=21.3,"КМС",IF(L38&lt;=23,"I",IF(L38&lt;=24.8,"II",IF(L38&lt;=26.5,"III",IF(L38&lt;=29.8,"I юн",IF(L38&lt;=32.4,"II юн",IF(L38&lt;=35.5,"III юн","б/р")))))))))))</f>
        <v>МСМК</v>
      </c>
      <c r="O38" s="531"/>
      <c r="P38" s="528"/>
      <c r="Q38" s="528"/>
      <c r="R38" s="528"/>
      <c r="S38" s="528"/>
      <c r="T38" s="528"/>
      <c r="U38" s="528"/>
      <c r="V38" s="528"/>
      <c r="W38" s="528"/>
      <c r="X38" s="528"/>
      <c r="Y38" s="528"/>
      <c r="Z38" s="528"/>
      <c r="AA38" s="528"/>
      <c r="AB38" s="528"/>
      <c r="AC38" s="528"/>
      <c r="AD38" s="528"/>
      <c r="AE38" s="528"/>
      <c r="AF38" s="527"/>
      <c r="AG38" s="528"/>
      <c r="AH38" s="537"/>
    </row>
    <row r="39" spans="3:34" x14ac:dyDescent="0.25">
      <c r="C39" s="364"/>
      <c r="D39" s="364"/>
      <c r="E39" s="364"/>
      <c r="F39" s="364"/>
      <c r="G39" s="364"/>
      <c r="H39" s="356">
        <v>20.5</v>
      </c>
      <c r="I39" s="362" t="str">
        <f t="shared" si="15"/>
        <v>МС</v>
      </c>
      <c r="J39" s="362" t="str">
        <f t="shared" si="16"/>
        <v>МС</v>
      </c>
      <c r="K39" s="626"/>
      <c r="L39" s="533">
        <f>H39</f>
        <v>20.5</v>
      </c>
      <c r="M39" s="531" t="str">
        <f t="shared" si="17"/>
        <v>МС</v>
      </c>
      <c r="N39" s="531" t="str">
        <f t="shared" si="18"/>
        <v>МС</v>
      </c>
      <c r="O39" s="531"/>
      <c r="P39" s="527"/>
      <c r="Q39" s="527"/>
      <c r="R39" s="527"/>
      <c r="S39" s="527"/>
      <c r="T39" s="527"/>
      <c r="U39" s="527"/>
      <c r="V39" s="527"/>
      <c r="W39" s="527"/>
      <c r="X39" s="527"/>
      <c r="Y39" s="527"/>
      <c r="Z39" s="527"/>
      <c r="AA39" s="527"/>
      <c r="AB39" s="527"/>
      <c r="AC39" s="527"/>
      <c r="AD39" s="527"/>
      <c r="AE39" s="527"/>
      <c r="AF39" s="527"/>
      <c r="AG39" s="527"/>
      <c r="AH39" s="537"/>
    </row>
    <row r="40" spans="3:34" x14ac:dyDescent="0.25">
      <c r="C40" s="364"/>
      <c r="D40" s="364"/>
      <c r="E40" s="364"/>
      <c r="F40" s="364"/>
      <c r="G40" s="364"/>
      <c r="H40" s="356">
        <v>21.5</v>
      </c>
      <c r="I40" s="362" t="str">
        <f t="shared" si="15"/>
        <v>КМС</v>
      </c>
      <c r="J40" s="362" t="str">
        <f t="shared" si="16"/>
        <v>КМС</v>
      </c>
      <c r="K40" s="626"/>
      <c r="L40" s="356">
        <f>H40-0.2</f>
        <v>21.3</v>
      </c>
      <c r="M40" s="362" t="str">
        <f t="shared" si="17"/>
        <v>КМС</v>
      </c>
      <c r="N40" s="362" t="str">
        <f t="shared" si="18"/>
        <v>КМС</v>
      </c>
      <c r="O40" s="362"/>
      <c r="P40" s="537"/>
      <c r="Q40" s="537"/>
      <c r="R40" s="537"/>
      <c r="S40" s="537"/>
      <c r="T40" s="537"/>
      <c r="U40" s="537"/>
      <c r="V40" s="537"/>
      <c r="W40" s="537"/>
      <c r="X40" s="537"/>
      <c r="Y40" s="537"/>
      <c r="Z40" s="537"/>
      <c r="AA40" s="537"/>
      <c r="AB40" s="537"/>
      <c r="AC40" s="537"/>
      <c r="AD40" s="537"/>
      <c r="AE40" s="537"/>
      <c r="AF40" s="537"/>
      <c r="AG40" s="537"/>
      <c r="AH40" s="537"/>
    </row>
    <row r="41" spans="3:34" x14ac:dyDescent="0.25">
      <c r="C41" s="364"/>
      <c r="D41" s="364"/>
      <c r="E41" s="364"/>
      <c r="F41" s="364"/>
      <c r="G41" s="364"/>
      <c r="H41" s="356">
        <v>23.2</v>
      </c>
      <c r="I41" s="362" t="str">
        <f t="shared" si="15"/>
        <v>I</v>
      </c>
      <c r="J41" s="362" t="str">
        <f t="shared" si="16"/>
        <v>I</v>
      </c>
      <c r="K41" s="626"/>
      <c r="L41" s="356">
        <f t="shared" ref="L41:L46" si="19">H41-0.2</f>
        <v>23</v>
      </c>
      <c r="M41" s="362" t="str">
        <f t="shared" si="17"/>
        <v>I</v>
      </c>
      <c r="N41" s="362" t="str">
        <f t="shared" si="18"/>
        <v>I</v>
      </c>
      <c r="O41" s="362"/>
      <c r="P41" s="537"/>
      <c r="Q41" s="537"/>
      <c r="R41" s="537"/>
      <c r="S41" s="537"/>
      <c r="T41" s="537"/>
      <c r="U41" s="537"/>
      <c r="V41" s="537"/>
      <c r="W41" s="537"/>
      <c r="X41" s="537"/>
      <c r="Y41" s="537"/>
      <c r="Z41" s="537"/>
      <c r="AA41" s="537"/>
      <c r="AB41" s="537"/>
      <c r="AC41" s="537"/>
      <c r="AD41" s="537"/>
      <c r="AE41" s="537"/>
      <c r="AF41" s="537"/>
      <c r="AG41" s="537"/>
      <c r="AH41" s="537"/>
    </row>
    <row r="42" spans="3:34" x14ac:dyDescent="0.25">
      <c r="C42" s="364"/>
      <c r="D42" s="364"/>
      <c r="E42" s="364"/>
      <c r="F42" s="364"/>
      <c r="G42" s="364"/>
      <c r="H42" s="356">
        <v>25</v>
      </c>
      <c r="I42" s="362" t="str">
        <f t="shared" si="15"/>
        <v>II</v>
      </c>
      <c r="J42" s="362" t="str">
        <f t="shared" si="16"/>
        <v>II</v>
      </c>
      <c r="K42" s="626"/>
      <c r="L42" s="356">
        <f t="shared" si="19"/>
        <v>24.8</v>
      </c>
      <c r="M42" s="362" t="str">
        <f t="shared" si="17"/>
        <v>II</v>
      </c>
      <c r="N42" s="362" t="str">
        <f t="shared" si="18"/>
        <v>II</v>
      </c>
      <c r="O42" s="362"/>
      <c r="P42" s="537"/>
      <c r="Q42" s="537"/>
      <c r="R42" s="537"/>
      <c r="S42" s="537"/>
      <c r="T42" s="537"/>
      <c r="U42" s="537"/>
      <c r="V42" s="537"/>
      <c r="W42" s="537"/>
      <c r="X42" s="537"/>
      <c r="Y42" s="537"/>
      <c r="Z42" s="537"/>
      <c r="AA42" s="537"/>
      <c r="AB42" s="537"/>
      <c r="AC42" s="537"/>
      <c r="AD42" s="537"/>
      <c r="AE42" s="537"/>
      <c r="AF42" s="537"/>
      <c r="AG42" s="537"/>
      <c r="AH42" s="537"/>
    </row>
    <row r="43" spans="3:34" x14ac:dyDescent="0.25">
      <c r="C43" s="364"/>
      <c r="D43" s="364"/>
      <c r="E43" s="364"/>
      <c r="F43" s="364"/>
      <c r="G43" s="364"/>
      <c r="H43" s="356">
        <v>26.7</v>
      </c>
      <c r="I43" s="362" t="str">
        <f t="shared" si="15"/>
        <v>III</v>
      </c>
      <c r="J43" s="362" t="str">
        <f t="shared" si="16"/>
        <v>III</v>
      </c>
      <c r="K43" s="626"/>
      <c r="L43" s="356">
        <f t="shared" si="19"/>
        <v>26.5</v>
      </c>
      <c r="M43" s="362" t="str">
        <f t="shared" si="17"/>
        <v>III</v>
      </c>
      <c r="N43" s="362" t="str">
        <f t="shared" si="18"/>
        <v>III</v>
      </c>
      <c r="O43" s="362"/>
      <c r="P43" s="537"/>
      <c r="Q43" s="537"/>
      <c r="R43" s="537"/>
      <c r="S43" s="537"/>
      <c r="T43" s="537"/>
      <c r="U43" s="537"/>
      <c r="V43" s="537"/>
      <c r="W43" s="537"/>
      <c r="X43" s="537"/>
      <c r="Y43" s="537"/>
      <c r="Z43" s="537"/>
      <c r="AA43" s="537"/>
      <c r="AB43" s="537"/>
      <c r="AC43" s="537"/>
      <c r="AD43" s="537"/>
      <c r="AE43" s="537"/>
      <c r="AF43" s="537"/>
      <c r="AG43" s="537"/>
      <c r="AH43" s="537"/>
    </row>
    <row r="44" spans="3:34" x14ac:dyDescent="0.25">
      <c r="C44" s="364"/>
      <c r="D44" s="364"/>
      <c r="E44" s="364"/>
      <c r="F44" s="364"/>
      <c r="G44" s="364"/>
      <c r="H44" s="115">
        <v>30</v>
      </c>
      <c r="I44" s="362" t="str">
        <f t="shared" si="15"/>
        <v>I юн</v>
      </c>
      <c r="J44" s="362" t="str">
        <f t="shared" si="16"/>
        <v>I юн</v>
      </c>
      <c r="K44" s="626"/>
      <c r="L44" s="356">
        <f t="shared" si="19"/>
        <v>29.8</v>
      </c>
      <c r="M44" s="362" t="str">
        <f t="shared" si="17"/>
        <v>I юн</v>
      </c>
      <c r="N44" s="362" t="str">
        <f t="shared" si="18"/>
        <v>I юн</v>
      </c>
      <c r="O44" s="362"/>
      <c r="P44" s="537"/>
      <c r="Q44" s="537"/>
      <c r="R44" s="537"/>
      <c r="S44" s="537"/>
      <c r="T44" s="537"/>
      <c r="U44" s="537"/>
      <c r="V44" s="537"/>
      <c r="W44" s="537"/>
      <c r="X44" s="537"/>
      <c r="Y44" s="537"/>
      <c r="Z44" s="537"/>
      <c r="AA44" s="537"/>
      <c r="AB44" s="537"/>
      <c r="AC44" s="537"/>
      <c r="AD44" s="537"/>
      <c r="AE44" s="537"/>
      <c r="AF44" s="537"/>
      <c r="AG44" s="537"/>
      <c r="AH44" s="537"/>
    </row>
    <row r="45" spans="3:34" x14ac:dyDescent="0.25">
      <c r="C45" s="364"/>
      <c r="D45" s="364"/>
      <c r="E45" s="364"/>
      <c r="F45" s="364"/>
      <c r="G45" s="364"/>
      <c r="H45" s="115">
        <v>32.6</v>
      </c>
      <c r="I45" s="362" t="str">
        <f t="shared" si="15"/>
        <v>II юн</v>
      </c>
      <c r="J45" s="362" t="str">
        <f t="shared" si="16"/>
        <v>II юн</v>
      </c>
      <c r="K45" s="626"/>
      <c r="L45" s="356">
        <f t="shared" si="19"/>
        <v>32.4</v>
      </c>
      <c r="M45" s="362" t="str">
        <f t="shared" si="17"/>
        <v>II юн</v>
      </c>
      <c r="N45" s="362" t="str">
        <f t="shared" si="18"/>
        <v>II юн</v>
      </c>
      <c r="O45" s="362"/>
      <c r="P45" s="537"/>
      <c r="Q45" s="537"/>
      <c r="R45" s="537"/>
      <c r="S45" s="537"/>
      <c r="T45" s="537"/>
      <c r="U45" s="537"/>
      <c r="V45" s="537"/>
      <c r="W45" s="537"/>
      <c r="X45" s="537"/>
      <c r="Y45" s="537"/>
      <c r="Z45" s="537"/>
      <c r="AA45" s="537"/>
      <c r="AB45" s="537"/>
      <c r="AC45" s="537"/>
      <c r="AD45" s="537"/>
      <c r="AE45" s="537"/>
      <c r="AF45" s="537"/>
      <c r="AG45" s="537"/>
      <c r="AH45" s="537"/>
    </row>
    <row r="46" spans="3:34" x14ac:dyDescent="0.25">
      <c r="C46" s="364"/>
      <c r="D46" s="364"/>
      <c r="E46" s="364"/>
      <c r="F46" s="364"/>
      <c r="G46" s="364"/>
      <c r="H46" s="115">
        <v>35.700000000000003</v>
      </c>
      <c r="I46" s="362" t="str">
        <f>IF(ISBLANK(H46)," ",IF(ISTEXT(H46)," ",IF(H46&lt;=19.4,"МСМК",IF(H46&lt;=20.5,"МС",IF(H46&lt;=21.5,"КМС",IF(H46&lt;=23.2,"I",IF(H46&lt;=25,"II",IF(H46&lt;=26.7,"III",IF(H46&lt;=30,"I юн",IF(H46&lt;=32.6,"II юн",IF(H46&lt;=35.7,"III юн","б/р")))))))))))</f>
        <v>III юн</v>
      </c>
      <c r="J46" s="362" t="str">
        <f>IF(ISBLANK(H46)," ",IF(ISTEXT(H46)," ",IF(H46&lt;=19.4,"МСМК",IF(H46&lt;=20.5,"МС",IF(H46&lt;=21.5,"КМС",IF(H46&lt;=23.2,"I",IF(H46&lt;=25,"II",IF(H46&lt;=26.7,"III",IF(H46&lt;=30,"I юн",IF(H46&lt;=32.6,"II юн",IF(H46&lt;=35.7,"III юн","б/р")))))))))))</f>
        <v>III юн</v>
      </c>
      <c r="K46" s="626"/>
      <c r="L46" s="356">
        <f t="shared" si="19"/>
        <v>35.5</v>
      </c>
      <c r="M46" s="362" t="str">
        <f>IF(ISBLANK(L46)," ",IF(ISTEXT(L46)," ",IF(L46&lt;=19.4,"МСМК",IF(L46&lt;=20.5,"МС",IF(L46&lt;=21.3,"КМС",IF(L46&lt;=23,"I",IF(L46&lt;=24.8,"II",IF(L46&lt;=26.5,"III",IF(L46&lt;=29.8,"I юн",IF(L46&lt;=32.4,"II юн",IF(L46&lt;=35.5,"III юн","б/р")))))))))))</f>
        <v>III юн</v>
      </c>
      <c r="N46" s="362" t="str">
        <f>IF(ISBLANK(L46)," ",IF(ISTEXT(L46)," ",IF(L46&lt;=19.4,"МСМК",IF(L46&lt;=20.5,"МС",IF(L46&lt;=21.3,"КМС",IF(L46&lt;=23,"I",IF(L46&lt;=24.8,"II",IF(L46&lt;=26.5,"III",IF(L46&lt;=29.8,"I юн",IF(L46&lt;=32.4,"II юн",IF(L46&lt;=35.5,"III юн","б/р")))))))))))</f>
        <v>III юн</v>
      </c>
      <c r="O46" s="362"/>
      <c r="P46" s="537"/>
      <c r="Q46" s="537"/>
      <c r="R46" s="537"/>
      <c r="S46" s="537"/>
      <c r="T46" s="537"/>
      <c r="U46" s="537"/>
      <c r="V46" s="537"/>
      <c r="W46" s="537"/>
      <c r="X46" s="537"/>
      <c r="Y46" s="537"/>
      <c r="Z46" s="537"/>
      <c r="AA46" s="537"/>
      <c r="AB46" s="537"/>
      <c r="AC46" s="537"/>
      <c r="AD46" s="537"/>
      <c r="AE46" s="537"/>
      <c r="AF46" s="537"/>
      <c r="AG46" s="537"/>
      <c r="AH46" s="537"/>
    </row>
    <row r="47" spans="3:34" x14ac:dyDescent="0.25">
      <c r="C47" s="364"/>
      <c r="D47" s="364"/>
      <c r="E47" s="364"/>
      <c r="F47" s="364"/>
      <c r="G47" s="364"/>
      <c r="H47" s="115"/>
      <c r="I47" s="362" t="str">
        <f>IF(ISBLANK(H47)," ",IF(ISTEXT(H47)," ",IF(H47&lt;=19.7,"МСМК",IF(H47&lt;=20.9,"МС",IF(H47&lt;=21.9,"КМС",IF(H47&lt;=23.3,"I",IF(H47&lt;=25.2,"II",IF(H47&lt;=27,"III","б/р"))))))))</f>
        <v xml:space="preserve"> </v>
      </c>
      <c r="J47" s="362" t="str">
        <f>IF(ISBLANK(H47)," ",IF(ISTEXT(H47)," ",IF(H47&lt;=19.7,"МСМК",IF(H47&lt;=20.9,"МС",IF(H47&lt;=21.9,"КМС",IF(H47&lt;=23.3,"I",IF(H47&lt;=25.2,"II",IF(H47&lt;=27,"III","б/р"))))))))</f>
        <v xml:space="preserve"> </v>
      </c>
      <c r="K47" s="626"/>
      <c r="P47" s="537"/>
      <c r="Q47" s="537"/>
      <c r="R47" s="537"/>
      <c r="S47" s="537"/>
      <c r="T47" s="537"/>
      <c r="U47" s="537"/>
      <c r="V47" s="537"/>
      <c r="W47" s="537"/>
      <c r="X47" s="537"/>
      <c r="Y47" s="537"/>
      <c r="Z47" s="537"/>
      <c r="AA47" s="537"/>
      <c r="AB47" s="537"/>
      <c r="AC47" s="537"/>
      <c r="AD47" s="537"/>
      <c r="AE47" s="537"/>
      <c r="AF47" s="537"/>
      <c r="AG47" s="537"/>
      <c r="AH47" s="537"/>
    </row>
    <row r="48" spans="3:34" x14ac:dyDescent="0.25">
      <c r="C48" s="349" t="s">
        <v>77</v>
      </c>
      <c r="D48" s="350"/>
      <c r="E48" s="351"/>
      <c r="F48" s="349"/>
      <c r="G48" s="349"/>
      <c r="H48" s="352"/>
      <c r="I48" s="356"/>
      <c r="J48" s="349"/>
      <c r="K48" s="628"/>
      <c r="P48" s="537"/>
      <c r="Q48" s="537"/>
      <c r="R48" s="537"/>
      <c r="S48" s="537"/>
      <c r="T48" s="537"/>
      <c r="U48" s="537"/>
      <c r="V48" s="537"/>
      <c r="W48" s="537"/>
      <c r="X48" s="537"/>
      <c r="Y48" s="537"/>
      <c r="Z48" s="537"/>
      <c r="AA48" s="537"/>
      <c r="AB48" s="537"/>
      <c r="AC48" s="537"/>
      <c r="AD48" s="537"/>
      <c r="AE48" s="537"/>
      <c r="AF48" s="537"/>
      <c r="AG48" s="537"/>
      <c r="AH48" s="537"/>
    </row>
    <row r="49" spans="3:34" x14ac:dyDescent="0.25">
      <c r="C49" s="546"/>
      <c r="D49" s="546"/>
      <c r="E49" s="546"/>
      <c r="F49" s="546"/>
      <c r="G49" s="546"/>
      <c r="H49" s="116">
        <v>40</v>
      </c>
      <c r="I49" s="362" t="str">
        <f t="shared" ref="I49:I54" si="20">IF(ISBLANK(H49)," ",IF(ISTEXT(H49)," ",IF(H49&lt;=40,"МСМК",IF(H49&lt;=42,"МС",IF(H49&lt;=44,"КМС",IF(H49&lt;=47.2,"I",IF(H49&lt;=51.2,"II",IF(H49&lt;=55.4,"III",IF(H49&lt;=100,"I юн",IF(H49&lt;=105.6,"II юн",IF(H49&lt;=110.6,"III юн","б/р")))))))))))</f>
        <v>МСМК</v>
      </c>
      <c r="J49" s="362" t="str">
        <f t="shared" ref="J49:J56" si="21">IF(ISBLANK(H49)," ",IF(ISTEXT(H49)," ",IF(H49&lt;=40,"МСМК",IF(H49&lt;=42,"МС",IF(H49&lt;=44,"КМС",IF(H49&lt;=47.2,"I",IF(H49&lt;=51.2,"II",IF(H49&lt;=55.4,"III",IF(H49&lt;=100,"I юн",IF(H49&lt;=105.4,"II юн",IF(H49&lt;=110.6,"III юн","б/р")))))))))))</f>
        <v>МСМК</v>
      </c>
      <c r="K49" s="626"/>
      <c r="L49" s="532">
        <f>H49</f>
        <v>40</v>
      </c>
      <c r="M49" s="531" t="str">
        <f>IF(ISBLANK(L49)," ",IF(ISTEXT(L49)," ",IF(L49&lt;=40,"МСМК",IF(L49&lt;=42,"МС",IF(L49&lt;=43.8,"КМС",IF(L49&lt;=47,"I",IF(L49&lt;=51,"II",IF(L49&lt;=55.2,"III",IF(L49&lt;=59.8,"I юн",IF(L49&lt;=105.4,"II юн",IF(L49&lt;=110.4,"III юн","б/р")))))))))))</f>
        <v>МСМК</v>
      </c>
      <c r="N49" s="531" t="str">
        <f>IF(ISBLANK(L49)," ",IF(ISTEXT(L49)," ",IF(L49&lt;=40,"МСМК",IF(L49&lt;=42,"МС",IF(L49&lt;=43.8,"КМС",IF(L49&lt;=47,"I",IF(L49&lt;=51,"II",IF(L49&lt;=55.2,"III",IF(L49&lt;=59.8,"I юн",IF(L49&lt;=105.4,"II юн",IF(L49&lt;=110.4,"III юн","б/р")))))))))))</f>
        <v>МСМК</v>
      </c>
      <c r="O49" s="531"/>
      <c r="P49" s="537"/>
      <c r="Q49" s="537"/>
      <c r="R49" s="537"/>
      <c r="S49" s="537"/>
      <c r="T49" s="537"/>
      <c r="U49" s="537"/>
      <c r="V49" s="537"/>
      <c r="W49" s="537"/>
      <c r="X49" s="537"/>
      <c r="Y49" s="537"/>
      <c r="Z49" s="537"/>
      <c r="AA49" s="537"/>
      <c r="AB49" s="537"/>
      <c r="AC49" s="537"/>
      <c r="AD49" s="537"/>
      <c r="AE49" s="537"/>
      <c r="AF49" s="537"/>
      <c r="AG49" s="537"/>
      <c r="AH49" s="537"/>
    </row>
    <row r="50" spans="3:34" x14ac:dyDescent="0.25">
      <c r="C50" s="546"/>
      <c r="D50" s="355"/>
      <c r="E50" s="406"/>
      <c r="F50" s="546"/>
      <c r="G50" s="546"/>
      <c r="H50" s="116">
        <v>42</v>
      </c>
      <c r="I50" s="362" t="str">
        <f t="shared" si="20"/>
        <v>МС</v>
      </c>
      <c r="J50" s="362" t="str">
        <f t="shared" si="21"/>
        <v>МС</v>
      </c>
      <c r="K50" s="626"/>
      <c r="L50" s="532">
        <f>H50</f>
        <v>42</v>
      </c>
      <c r="M50" s="531" t="str">
        <f t="shared" ref="M50:M56" si="22">IF(ISBLANK(L50)," ",IF(ISTEXT(L50)," ",IF(L50&lt;=40,"МСМК",IF(L50&lt;=42,"МС",IF(L50&lt;=43.8,"КМС",IF(L50&lt;=47,"I",IF(L50&lt;=51,"II",IF(L50&lt;=55.2,"III",IF(L50&lt;=59.8,"I юн",IF(L50&lt;=105.4,"II юн",IF(L50&lt;=110.4,"III юн","б/р")))))))))))</f>
        <v>МС</v>
      </c>
      <c r="N50" s="531" t="str">
        <f t="shared" ref="N50:N57" si="23">IF(ISBLANK(L50)," ",IF(ISTEXT(L50)," ",IF(L50&lt;=40,"МСМК",IF(L50&lt;=42,"МС",IF(L50&lt;=43.8,"КМС",IF(L50&lt;=47,"I",IF(L50&lt;=51,"II",IF(L50&lt;=55.2,"III",IF(L50&lt;=59.8,"I юн",IF(L50&lt;=105.4,"II юн",IF(L50&lt;=110.4,"III юн","б/р")))))))))))</f>
        <v>МС</v>
      </c>
      <c r="O50" s="531"/>
      <c r="P50" s="537"/>
      <c r="Q50" s="537"/>
      <c r="R50" s="537"/>
      <c r="S50" s="537"/>
      <c r="T50" s="537"/>
      <c r="U50" s="537"/>
      <c r="V50" s="537"/>
      <c r="W50" s="537"/>
      <c r="X50" s="537"/>
      <c r="Y50" s="537"/>
      <c r="Z50" s="537"/>
      <c r="AA50" s="537"/>
      <c r="AB50" s="537"/>
      <c r="AC50" s="537"/>
      <c r="AD50" s="537"/>
      <c r="AE50" s="537"/>
      <c r="AF50" s="537"/>
      <c r="AG50" s="537"/>
      <c r="AH50" s="537"/>
    </row>
    <row r="51" spans="3:34" x14ac:dyDescent="0.25">
      <c r="C51" s="546"/>
      <c r="D51" s="355"/>
      <c r="E51" s="406"/>
      <c r="F51" s="546"/>
      <c r="G51" s="546"/>
      <c r="H51" s="116">
        <v>44</v>
      </c>
      <c r="I51" s="362" t="str">
        <f t="shared" si="20"/>
        <v>КМС</v>
      </c>
      <c r="J51" s="362" t="str">
        <f t="shared" si="21"/>
        <v>КМС</v>
      </c>
      <c r="K51" s="626"/>
      <c r="L51" s="116">
        <f>H51-0.2</f>
        <v>43.8</v>
      </c>
      <c r="M51" s="362" t="str">
        <f t="shared" si="22"/>
        <v>КМС</v>
      </c>
      <c r="N51" s="362" t="str">
        <f t="shared" si="23"/>
        <v>КМС</v>
      </c>
      <c r="O51" s="362"/>
      <c r="P51" s="537"/>
      <c r="Q51" s="537"/>
      <c r="R51" s="537"/>
      <c r="S51" s="537"/>
      <c r="T51" s="537"/>
      <c r="U51" s="537"/>
      <c r="V51" s="537"/>
      <c r="W51" s="537"/>
      <c r="X51" s="537"/>
      <c r="Y51" s="537"/>
      <c r="Z51" s="537"/>
      <c r="AA51" s="537"/>
      <c r="AB51" s="537"/>
      <c r="AC51" s="537"/>
      <c r="AD51" s="537"/>
      <c r="AE51" s="537"/>
      <c r="AF51" s="537"/>
      <c r="AG51" s="537"/>
      <c r="AH51" s="537"/>
    </row>
    <row r="52" spans="3:34" x14ac:dyDescent="0.25">
      <c r="C52" s="546"/>
      <c r="D52" s="355"/>
      <c r="E52" s="406"/>
      <c r="F52" s="546"/>
      <c r="G52" s="546"/>
      <c r="H52" s="116">
        <v>47.2</v>
      </c>
      <c r="I52" s="362" t="str">
        <f t="shared" si="20"/>
        <v>I</v>
      </c>
      <c r="J52" s="362" t="str">
        <f t="shared" si="21"/>
        <v>I</v>
      </c>
      <c r="K52" s="626"/>
      <c r="L52" s="116">
        <f t="shared" ref="L52:L57" si="24">H52-0.2</f>
        <v>47</v>
      </c>
      <c r="M52" s="362" t="str">
        <f t="shared" si="22"/>
        <v>I</v>
      </c>
      <c r="N52" s="362" t="str">
        <f t="shared" si="23"/>
        <v>I</v>
      </c>
      <c r="O52" s="362"/>
      <c r="P52" s="537"/>
      <c r="Q52" s="537"/>
      <c r="R52" s="537"/>
      <c r="S52" s="537"/>
      <c r="T52" s="537"/>
      <c r="U52" s="537"/>
      <c r="V52" s="537"/>
      <c r="W52" s="537"/>
      <c r="X52" s="537"/>
      <c r="Y52" s="537"/>
      <c r="Z52" s="537"/>
      <c r="AA52" s="537"/>
      <c r="AB52" s="537"/>
      <c r="AC52" s="537"/>
      <c r="AD52" s="537"/>
      <c r="AE52" s="537"/>
      <c r="AF52" s="537"/>
      <c r="AG52" s="537"/>
      <c r="AH52" s="537"/>
    </row>
    <row r="53" spans="3:34" x14ac:dyDescent="0.25">
      <c r="C53" s="546"/>
      <c r="D53" s="355"/>
      <c r="E53" s="406"/>
      <c r="F53" s="546"/>
      <c r="G53" s="546"/>
      <c r="H53" s="116">
        <v>51.2</v>
      </c>
      <c r="I53" s="362" t="str">
        <f t="shared" si="20"/>
        <v>II</v>
      </c>
      <c r="J53" s="362" t="str">
        <f t="shared" si="21"/>
        <v>II</v>
      </c>
      <c r="K53" s="626"/>
      <c r="L53" s="116">
        <f t="shared" si="24"/>
        <v>51</v>
      </c>
      <c r="M53" s="362" t="str">
        <f t="shared" si="22"/>
        <v>II</v>
      </c>
      <c r="N53" s="362" t="str">
        <f t="shared" si="23"/>
        <v>II</v>
      </c>
      <c r="O53" s="362"/>
      <c r="P53" s="537"/>
      <c r="Q53" s="537"/>
      <c r="R53" s="537"/>
      <c r="S53" s="537"/>
      <c r="T53" s="537"/>
      <c r="U53" s="537"/>
      <c r="V53" s="537"/>
      <c r="W53" s="537"/>
      <c r="X53" s="537"/>
      <c r="Y53" s="537"/>
      <c r="Z53" s="537"/>
      <c r="AA53" s="537"/>
      <c r="AB53" s="537"/>
      <c r="AC53" s="537"/>
      <c r="AD53" s="537"/>
      <c r="AE53" s="537"/>
      <c r="AF53" s="537"/>
      <c r="AG53" s="537"/>
      <c r="AH53" s="537"/>
    </row>
    <row r="54" spans="3:34" x14ac:dyDescent="0.25">
      <c r="C54" s="546"/>
      <c r="D54" s="355"/>
      <c r="E54" s="546"/>
      <c r="F54" s="546"/>
      <c r="G54" s="546"/>
      <c r="H54" s="116">
        <v>55.4</v>
      </c>
      <c r="I54" s="362" t="str">
        <f t="shared" si="20"/>
        <v>III</v>
      </c>
      <c r="J54" s="362" t="str">
        <f t="shared" si="21"/>
        <v>III</v>
      </c>
      <c r="K54" s="626"/>
      <c r="L54" s="116">
        <f t="shared" si="24"/>
        <v>55.199999999999996</v>
      </c>
      <c r="M54" s="362" t="str">
        <f t="shared" si="22"/>
        <v>III</v>
      </c>
      <c r="N54" s="362" t="str">
        <f t="shared" si="23"/>
        <v>III</v>
      </c>
      <c r="O54" s="362"/>
      <c r="P54" s="537"/>
      <c r="Q54" s="537"/>
      <c r="R54" s="537"/>
      <c r="S54" s="537"/>
      <c r="T54" s="537"/>
      <c r="U54" s="537"/>
      <c r="V54" s="537"/>
      <c r="W54" s="537"/>
      <c r="X54" s="537"/>
      <c r="Y54" s="537"/>
      <c r="Z54" s="537"/>
      <c r="AA54" s="537"/>
      <c r="AB54" s="537"/>
      <c r="AC54" s="537"/>
      <c r="AD54" s="537"/>
      <c r="AE54" s="537"/>
      <c r="AF54" s="537"/>
      <c r="AG54" s="537"/>
      <c r="AH54" s="537"/>
    </row>
    <row r="55" spans="3:34" x14ac:dyDescent="0.25">
      <c r="C55" s="546"/>
      <c r="D55" s="355"/>
      <c r="E55" s="546"/>
      <c r="F55" s="546"/>
      <c r="G55" s="546"/>
      <c r="H55" s="115">
        <v>100</v>
      </c>
      <c r="I55" s="362" t="str">
        <f>IF(ISBLANK(H55)," ",IF(ISTEXT(H55)," ",IF(H55&lt;=40,"МСМК",IF(H55&lt;=42,"МС",IF(H55&lt;=44,"КМС",IF(H55&lt;=47.2,"I",IF(H55&lt;=51.2,"II",IF(H55&lt;=55.4,"III",IF(H55&lt;=100,"I юн",IF(H55&lt;=105.6,"II юн",IF(H55&lt;=110.6,"III юн","б/р")))))))))))</f>
        <v>I юн</v>
      </c>
      <c r="J55" s="362" t="str">
        <f t="shared" si="21"/>
        <v>I юн</v>
      </c>
      <c r="K55" s="626"/>
      <c r="L55" s="116">
        <v>59.8</v>
      </c>
      <c r="M55" s="362" t="str">
        <f t="shared" si="22"/>
        <v>I юн</v>
      </c>
      <c r="N55" s="362" t="str">
        <f t="shared" si="23"/>
        <v>I юн</v>
      </c>
      <c r="O55" s="362"/>
      <c r="P55" s="537"/>
      <c r="Q55" s="537"/>
      <c r="R55" s="537"/>
      <c r="S55" s="537"/>
      <c r="T55" s="537"/>
      <c r="U55" s="537"/>
      <c r="V55" s="537"/>
      <c r="W55" s="537"/>
      <c r="X55" s="537"/>
      <c r="Y55" s="537"/>
      <c r="Z55" s="537"/>
      <c r="AA55" s="537"/>
      <c r="AB55" s="537"/>
      <c r="AC55" s="537"/>
      <c r="AD55" s="537"/>
      <c r="AE55" s="537"/>
      <c r="AF55" s="537"/>
      <c r="AG55" s="537"/>
      <c r="AH55" s="537"/>
    </row>
    <row r="56" spans="3:34" x14ac:dyDescent="0.25">
      <c r="C56" s="546"/>
      <c r="D56" s="355"/>
      <c r="E56" s="546"/>
      <c r="F56" s="546"/>
      <c r="G56" s="546"/>
      <c r="H56" s="115">
        <v>105.6</v>
      </c>
      <c r="I56" s="362" t="str">
        <f>IF(ISBLANK(H56)," ",IF(ISTEXT(H56)," ",IF(H56&lt;=40,"МСМК",IF(H56&lt;=42,"МС",IF(H56&lt;=44,"КМС",IF(H56&lt;=47.2,"I",IF(H56&lt;=51.2,"II",IF(H56&lt;=55.4,"III",IF(H56&lt;=100,"I юн",IF(H56&lt;=105.6,"II юн",IF(H56&lt;=110.6,"III юн","б/р")))))))))))</f>
        <v>II юн</v>
      </c>
      <c r="J56" s="362" t="str">
        <f t="shared" si="21"/>
        <v>III юн</v>
      </c>
      <c r="K56" s="626"/>
      <c r="L56" s="116">
        <f t="shared" si="24"/>
        <v>105.39999999999999</v>
      </c>
      <c r="M56" s="362" t="str">
        <f t="shared" si="22"/>
        <v>II юн</v>
      </c>
      <c r="N56" s="362" t="str">
        <f t="shared" si="23"/>
        <v>II юн</v>
      </c>
      <c r="O56" s="362"/>
      <c r="P56" s="537"/>
      <c r="Q56" s="537"/>
      <c r="R56" s="537"/>
      <c r="S56" s="537"/>
      <c r="T56" s="537"/>
      <c r="U56" s="537"/>
      <c r="V56" s="537"/>
      <c r="W56" s="537"/>
      <c r="X56" s="537"/>
      <c r="Y56" s="537"/>
      <c r="Z56" s="537"/>
      <c r="AA56" s="537"/>
      <c r="AB56" s="537"/>
      <c r="AC56" s="537"/>
      <c r="AD56" s="537"/>
      <c r="AE56" s="537"/>
      <c r="AF56" s="537"/>
      <c r="AG56" s="537"/>
      <c r="AH56" s="537"/>
    </row>
    <row r="57" spans="3:34" x14ac:dyDescent="0.25">
      <c r="C57" s="546"/>
      <c r="D57" s="355"/>
      <c r="E57" s="406"/>
      <c r="F57" s="546"/>
      <c r="G57" s="546"/>
      <c r="H57" s="115">
        <v>110.6</v>
      </c>
      <c r="I57" s="362" t="str">
        <f>IF(ISBLANK(H57)," ",IF(ISTEXT(H57)," ",IF(H57&lt;=40,"МСМК",IF(H57&lt;=42,"МС",IF(H57&lt;=44,"КМС",IF(H57&lt;=47.2,"I",IF(H57&lt;=51.2,"II",IF(H57&lt;=55.4,"III",IF(H57&lt;=100,"I юн",IF(H57&lt;=105.6,"II юн",IF(H57&lt;=110.6,"III юн","б/р")))))))))))</f>
        <v>III юн</v>
      </c>
      <c r="J57" s="362" t="str">
        <f>IF(ISBLANK(H57)," ",IF(ISTEXT(H57)," ",IF(H57&lt;=40,"МСМК",IF(H57&lt;=42,"МС",IF(H57&lt;=44,"КМС",IF(H57&lt;=47.2,"I",IF(H57&lt;=51.2,"II",IF(H57&lt;=55.4,"III",IF(H57&lt;=100,"I юн",IF(H57&lt;=105.4,"II юн",IF(H57&lt;=110.6,"III юн","б/р")))))))))))</f>
        <v>III юн</v>
      </c>
      <c r="K57" s="626"/>
      <c r="L57" s="116">
        <f t="shared" si="24"/>
        <v>110.39999999999999</v>
      </c>
      <c r="M57" s="362" t="str">
        <f>IF(ISBLANK(L57)," ",IF(ISTEXT(L57)," ",IF(L57&lt;=40,"МСМК",IF(L57&lt;=42,"МС",IF(L57&lt;=43.8,"КМС",IF(L57&lt;=47,"I",IF(L57&lt;=51,"II",IF(L57&lt;=55.2,"III",IF(L57&lt;=59.8,"I юн",IF(L57&lt;=105.4,"II юн",IF(L57&lt;=110.4,"III юн","б/р")))))))))))</f>
        <v>III юн</v>
      </c>
      <c r="N57" s="362" t="str">
        <f t="shared" si="23"/>
        <v>III юн</v>
      </c>
      <c r="O57" s="362"/>
      <c r="P57" s="537"/>
      <c r="Q57" s="537"/>
      <c r="R57" s="537"/>
      <c r="S57" s="537"/>
      <c r="T57" s="537"/>
      <c r="U57" s="537"/>
      <c r="V57" s="537"/>
      <c r="W57" s="537"/>
      <c r="X57" s="537"/>
      <c r="Y57" s="537"/>
      <c r="Z57" s="537"/>
      <c r="AA57" s="537"/>
      <c r="AB57" s="537"/>
      <c r="AC57" s="537"/>
      <c r="AD57" s="537"/>
      <c r="AE57" s="537"/>
      <c r="AF57" s="537"/>
      <c r="AG57" s="537"/>
      <c r="AH57" s="537"/>
    </row>
    <row r="58" spans="3:34" x14ac:dyDescent="0.25">
      <c r="C58" s="546"/>
      <c r="D58" s="355"/>
      <c r="E58" s="406"/>
      <c r="F58" s="546"/>
      <c r="G58" s="546"/>
      <c r="H58" s="115"/>
      <c r="I58" s="362"/>
      <c r="J58" s="362"/>
      <c r="K58" s="626"/>
      <c r="P58" s="528"/>
      <c r="Q58" s="528"/>
      <c r="R58" s="528"/>
      <c r="S58" s="528"/>
      <c r="T58" s="528"/>
      <c r="U58" s="528"/>
      <c r="V58" s="528"/>
      <c r="W58" s="528"/>
      <c r="X58" s="528"/>
      <c r="Y58" s="528"/>
      <c r="Z58" s="528"/>
      <c r="AA58" s="528"/>
      <c r="AB58" s="527"/>
      <c r="AC58" s="527"/>
      <c r="AD58" s="527"/>
      <c r="AE58" s="527"/>
      <c r="AF58" s="527"/>
      <c r="AG58" s="528"/>
      <c r="AH58" s="537"/>
    </row>
    <row r="59" spans="3:34" x14ac:dyDescent="0.25">
      <c r="C59" s="349" t="s">
        <v>78</v>
      </c>
      <c r="D59" s="350"/>
      <c r="E59" s="351"/>
      <c r="F59" s="349"/>
      <c r="G59" s="349"/>
      <c r="H59" s="352"/>
      <c r="I59" s="356"/>
      <c r="J59" s="364"/>
      <c r="K59" s="627"/>
      <c r="P59" s="527"/>
      <c r="Q59" s="527"/>
      <c r="R59" s="527"/>
      <c r="S59" s="527"/>
      <c r="T59" s="527"/>
      <c r="U59" s="527"/>
      <c r="V59" s="527"/>
      <c r="W59" s="527"/>
      <c r="X59" s="527"/>
      <c r="Y59" s="527"/>
      <c r="Z59" s="527"/>
      <c r="AA59" s="527"/>
      <c r="AB59" s="527"/>
      <c r="AC59" s="527"/>
      <c r="AD59" s="527"/>
      <c r="AE59" s="527"/>
      <c r="AF59" s="527"/>
      <c r="AG59" s="527"/>
      <c r="AH59" s="537"/>
    </row>
    <row r="60" spans="3:34" x14ac:dyDescent="0.25">
      <c r="C60" s="364"/>
      <c r="D60" s="364"/>
      <c r="E60" s="364"/>
      <c r="F60" s="364"/>
      <c r="G60" s="364"/>
      <c r="H60" s="117">
        <v>36</v>
      </c>
      <c r="I60" s="362" t="str">
        <f t="shared" ref="I60:I67" si="25">IF(ISBLANK(H60)," ",IF(ISTEXT(H60)," ",IF(H60&lt;=36,"МСМК",IF(H60&lt;=37.8,"МС",IF(H60&lt;=39.6,"КМС",IF(H60&lt;=42.5,"I",IF(H60&lt;=46.1,"II",IF(H60&lt;=50,"III",IF(H60&lt;=54.8,"I юн",IF(H60&lt;=59.8,"II юн",IF(H60&lt;=104.8,"III юн","б/р")))))))))))</f>
        <v>МСМК</v>
      </c>
      <c r="J60" s="362" t="str">
        <f t="shared" ref="J60:J67" si="26">IF(ISBLANK(H60)," ",IF(ISTEXT(H60)," ",IF(H60&lt;=36,"МСМК",IF(H60&lt;=37.8,"МС",IF(H60&lt;=39.6,"КМС",IF(H60&lt;=42.5,"I",IF(H60&lt;=46.1,"II",IF(H60&lt;=50,"III",IF(H60&lt;=54.8,"I юн",IF(H60&lt;=59.8,"II юн",IF(H60&lt;=104.8,"III юн","б/р")))))))))))</f>
        <v>МСМК</v>
      </c>
      <c r="K60" s="626"/>
      <c r="L60" s="631">
        <f>H60</f>
        <v>36</v>
      </c>
      <c r="M60" s="531" t="str">
        <f>IF(ISBLANK(L60)," ",IF(ISTEXT(L60)," ",IF(L60&lt;=36,"МСМК",IF(L60&lt;=37.8,"МС",IF(L60&lt;=39.4,"КМС",IF(L60&lt;=42.3,"I",IF(L60&lt;=45.9,"II",IF(L60&lt;=49.8,"III",IF(L60&lt;=54.6,"I юн",IF(L60&lt;=59.6,"II юн",IF(L60&lt;=104.6,"III юн","б/р")))))))))))</f>
        <v>МСМК</v>
      </c>
      <c r="N60" s="531" t="str">
        <f>IF(ISBLANK(L60)," ",IF(ISTEXT(L60)," ",IF(L60&lt;=36,"МСМК",IF(L60&lt;=37.8,"МС",IF(L60&lt;=39.4,"КМС",IF(L60&lt;=42.3,"I",IF(L60&lt;=45.9,"II",IF(L60&lt;=49.8,"III",IF(L60&lt;=54.6,"I юн",IF(L60&lt;=59.6,"II юн",IF(L60&lt;=104.6,"III юн","б/р")))))))))))</f>
        <v>МСМК</v>
      </c>
      <c r="O60" s="531"/>
      <c r="P60" s="537"/>
      <c r="Q60" s="537"/>
      <c r="R60" s="537"/>
      <c r="S60" s="537"/>
      <c r="T60" s="537"/>
      <c r="U60" s="537"/>
      <c r="V60" s="537"/>
      <c r="W60" s="537"/>
      <c r="X60" s="537"/>
      <c r="Y60" s="537"/>
      <c r="Z60" s="537"/>
      <c r="AA60" s="537"/>
      <c r="AB60" s="537"/>
      <c r="AC60" s="537"/>
      <c r="AD60" s="537"/>
      <c r="AE60" s="537"/>
      <c r="AF60" s="537"/>
      <c r="AG60" s="537"/>
      <c r="AH60" s="537"/>
    </row>
    <row r="61" spans="3:34" x14ac:dyDescent="0.25">
      <c r="C61" s="546"/>
      <c r="D61" s="355"/>
      <c r="E61" s="406"/>
      <c r="F61" s="546"/>
      <c r="G61" s="546"/>
      <c r="H61" s="116">
        <v>37.799999999999997</v>
      </c>
      <c r="I61" s="362" t="str">
        <f t="shared" si="25"/>
        <v>МС</v>
      </c>
      <c r="J61" s="362" t="str">
        <f t="shared" si="26"/>
        <v>МС</v>
      </c>
      <c r="K61" s="626"/>
      <c r="L61" s="532">
        <f>H61</f>
        <v>37.799999999999997</v>
      </c>
      <c r="M61" s="531" t="str">
        <f t="shared" ref="M61:M68" si="27">IF(ISBLANK(L61)," ",IF(ISTEXT(L61)," ",IF(L61&lt;=36,"МСМК",IF(L61&lt;=37.8,"МС",IF(L61&lt;=39.4,"КМС",IF(L61&lt;=42.3,"I",IF(L61&lt;=45.9,"II",IF(L61&lt;=49.8,"III",IF(L61&lt;=54.6,"I юн",IF(L61&lt;=59.6,"II юн",IF(L61&lt;=104.6,"III юн","б/р")))))))))))</f>
        <v>МС</v>
      </c>
      <c r="N61" s="531" t="str">
        <f t="shared" ref="N61:N68" si="28">IF(ISBLANK(L61)," ",IF(ISTEXT(L61)," ",IF(L61&lt;=36,"МСМК",IF(L61&lt;=37.8,"МС",IF(L61&lt;=39.4,"КМС",IF(L61&lt;=42.3,"I",IF(L61&lt;=45.9,"II",IF(L61&lt;=49.8,"III",IF(L61&lt;=54.6,"I юн",IF(L61&lt;=59.6,"II юн",IF(L61&lt;=104.6,"III юн","б/р")))))))))))</f>
        <v>МС</v>
      </c>
      <c r="O61" s="531"/>
      <c r="P61" s="537"/>
      <c r="Q61" s="537"/>
      <c r="R61" s="537"/>
      <c r="S61" s="537"/>
      <c r="T61" s="537"/>
      <c r="U61" s="537"/>
      <c r="V61" s="537"/>
      <c r="W61" s="537"/>
      <c r="X61" s="537"/>
      <c r="Y61" s="537"/>
      <c r="Z61" s="537"/>
      <c r="AA61" s="537"/>
      <c r="AB61" s="537"/>
      <c r="AC61" s="537"/>
      <c r="AD61" s="537"/>
      <c r="AE61" s="537"/>
      <c r="AF61" s="537"/>
      <c r="AG61" s="537"/>
      <c r="AH61" s="537"/>
    </row>
    <row r="62" spans="3:34" x14ac:dyDescent="0.25">
      <c r="C62" s="546"/>
      <c r="D62" s="355"/>
      <c r="E62" s="406"/>
      <c r="F62" s="546"/>
      <c r="G62" s="546"/>
      <c r="H62" s="116">
        <v>39.6</v>
      </c>
      <c r="I62" s="362" t="str">
        <f t="shared" si="25"/>
        <v>КМС</v>
      </c>
      <c r="J62" s="362" t="str">
        <f t="shared" si="26"/>
        <v>КМС</v>
      </c>
      <c r="K62" s="626"/>
      <c r="L62" s="116">
        <f>H62-0.2</f>
        <v>39.4</v>
      </c>
      <c r="M62" s="362" t="str">
        <f t="shared" si="27"/>
        <v>КМС</v>
      </c>
      <c r="N62" s="362" t="str">
        <f t="shared" si="28"/>
        <v>КМС</v>
      </c>
      <c r="O62" s="362"/>
      <c r="P62" s="537"/>
      <c r="Q62" s="537"/>
      <c r="R62" s="537"/>
      <c r="S62" s="537"/>
      <c r="T62" s="537"/>
      <c r="U62" s="537"/>
      <c r="V62" s="537"/>
      <c r="W62" s="537"/>
      <c r="X62" s="537"/>
      <c r="Y62" s="537"/>
      <c r="Z62" s="537"/>
      <c r="AA62" s="537"/>
      <c r="AB62" s="537"/>
      <c r="AC62" s="537"/>
      <c r="AD62" s="537"/>
      <c r="AE62" s="537"/>
      <c r="AF62" s="537"/>
      <c r="AG62" s="537"/>
      <c r="AH62" s="537"/>
    </row>
    <row r="63" spans="3:34" x14ac:dyDescent="0.25">
      <c r="C63" s="546"/>
      <c r="D63" s="355"/>
      <c r="E63" s="406"/>
      <c r="F63" s="546"/>
      <c r="G63" s="546"/>
      <c r="H63" s="116">
        <v>42.5</v>
      </c>
      <c r="I63" s="362" t="str">
        <f t="shared" si="25"/>
        <v>I</v>
      </c>
      <c r="J63" s="362" t="str">
        <f t="shared" si="26"/>
        <v>I</v>
      </c>
      <c r="K63" s="626"/>
      <c r="L63" s="116">
        <f t="shared" ref="L63:L68" si="29">H63-0.2</f>
        <v>42.3</v>
      </c>
      <c r="M63" s="362" t="str">
        <f t="shared" si="27"/>
        <v>I</v>
      </c>
      <c r="N63" s="362" t="str">
        <f t="shared" si="28"/>
        <v>I</v>
      </c>
      <c r="O63" s="362"/>
      <c r="P63" s="537"/>
      <c r="Q63" s="537"/>
      <c r="R63" s="537"/>
      <c r="S63" s="537"/>
      <c r="T63" s="537"/>
      <c r="U63" s="537"/>
      <c r="V63" s="537"/>
      <c r="W63" s="537"/>
      <c r="X63" s="537"/>
      <c r="Y63" s="537"/>
      <c r="Z63" s="537"/>
      <c r="AA63" s="537"/>
      <c r="AB63" s="537"/>
      <c r="AC63" s="537"/>
      <c r="AD63" s="537"/>
      <c r="AE63" s="537"/>
      <c r="AF63" s="537"/>
      <c r="AG63" s="537"/>
      <c r="AH63" s="537"/>
    </row>
    <row r="64" spans="3:34" x14ac:dyDescent="0.25">
      <c r="C64" s="546"/>
      <c r="D64" s="355"/>
      <c r="E64" s="406"/>
      <c r="F64" s="546"/>
      <c r="G64" s="546"/>
      <c r="H64" s="116">
        <v>46.1</v>
      </c>
      <c r="I64" s="362" t="str">
        <f t="shared" si="25"/>
        <v>II</v>
      </c>
      <c r="J64" s="362" t="str">
        <f t="shared" si="26"/>
        <v>II</v>
      </c>
      <c r="K64" s="626"/>
      <c r="L64" s="116">
        <f t="shared" si="29"/>
        <v>45.9</v>
      </c>
      <c r="M64" s="362" t="str">
        <f t="shared" si="27"/>
        <v>II</v>
      </c>
      <c r="N64" s="362" t="str">
        <f t="shared" si="28"/>
        <v>II</v>
      </c>
      <c r="O64" s="362"/>
      <c r="P64" s="537"/>
      <c r="Q64" s="537"/>
      <c r="R64" s="537"/>
      <c r="S64" s="537"/>
      <c r="T64" s="537"/>
      <c r="U64" s="537"/>
      <c r="V64" s="537"/>
      <c r="W64" s="537"/>
      <c r="X64" s="537"/>
      <c r="Y64" s="537"/>
      <c r="Z64" s="537"/>
      <c r="AA64" s="537"/>
      <c r="AB64" s="537"/>
      <c r="AC64" s="537"/>
      <c r="AD64" s="537"/>
      <c r="AE64" s="537"/>
      <c r="AF64" s="537"/>
      <c r="AG64" s="537"/>
      <c r="AH64" s="537"/>
    </row>
    <row r="65" spans="3:34" x14ac:dyDescent="0.25">
      <c r="C65" s="546"/>
      <c r="D65" s="355"/>
      <c r="E65" s="406"/>
      <c r="F65" s="546"/>
      <c r="G65" s="546"/>
      <c r="H65" s="116">
        <v>50</v>
      </c>
      <c r="I65" s="362" t="str">
        <f t="shared" si="25"/>
        <v>III</v>
      </c>
      <c r="J65" s="362" t="str">
        <f t="shared" si="26"/>
        <v>III</v>
      </c>
      <c r="K65" s="626"/>
      <c r="L65" s="116">
        <f t="shared" si="29"/>
        <v>49.8</v>
      </c>
      <c r="M65" s="362" t="str">
        <f t="shared" si="27"/>
        <v>III</v>
      </c>
      <c r="N65" s="362" t="str">
        <f t="shared" si="28"/>
        <v>III</v>
      </c>
      <c r="O65" s="362"/>
      <c r="P65" s="537"/>
      <c r="Q65" s="537"/>
      <c r="R65" s="537"/>
      <c r="S65" s="537"/>
      <c r="T65" s="537"/>
      <c r="U65" s="537"/>
      <c r="V65" s="537"/>
      <c r="W65" s="537"/>
      <c r="X65" s="537"/>
      <c r="Y65" s="537"/>
      <c r="Z65" s="537"/>
      <c r="AA65" s="537"/>
      <c r="AB65" s="537"/>
      <c r="AC65" s="537"/>
      <c r="AD65" s="537"/>
      <c r="AE65" s="537"/>
      <c r="AF65" s="537"/>
      <c r="AG65" s="537"/>
      <c r="AH65" s="537"/>
    </row>
    <row r="66" spans="3:34" x14ac:dyDescent="0.25">
      <c r="C66" s="546"/>
      <c r="D66" s="355"/>
      <c r="E66" s="406"/>
      <c r="F66" s="546"/>
      <c r="G66" s="546"/>
      <c r="H66" s="115">
        <v>54.8</v>
      </c>
      <c r="I66" s="362" t="str">
        <f t="shared" si="25"/>
        <v>I юн</v>
      </c>
      <c r="J66" s="362" t="str">
        <f t="shared" si="26"/>
        <v>I юн</v>
      </c>
      <c r="K66" s="626"/>
      <c r="L66" s="116">
        <f t="shared" si="29"/>
        <v>54.599999999999994</v>
      </c>
      <c r="M66" s="362" t="str">
        <f t="shared" si="27"/>
        <v>I юн</v>
      </c>
      <c r="N66" s="362" t="str">
        <f t="shared" si="28"/>
        <v>I юн</v>
      </c>
      <c r="O66" s="362"/>
      <c r="P66" s="537"/>
      <c r="Q66" s="537"/>
      <c r="R66" s="537"/>
      <c r="S66" s="537"/>
      <c r="T66" s="537"/>
      <c r="U66" s="537"/>
      <c r="V66" s="537"/>
      <c r="W66" s="537"/>
      <c r="X66" s="537"/>
      <c r="Y66" s="537"/>
      <c r="Z66" s="537"/>
      <c r="AA66" s="537"/>
      <c r="AB66" s="537"/>
      <c r="AC66" s="537"/>
      <c r="AD66" s="537"/>
      <c r="AE66" s="537"/>
      <c r="AF66" s="537"/>
      <c r="AG66" s="537"/>
      <c r="AH66" s="537"/>
    </row>
    <row r="67" spans="3:34" x14ac:dyDescent="0.25">
      <c r="C67" s="546"/>
      <c r="D67" s="355"/>
      <c r="E67" s="406"/>
      <c r="F67" s="546"/>
      <c r="G67" s="546"/>
      <c r="H67" s="115">
        <v>59.8</v>
      </c>
      <c r="I67" s="362" t="str">
        <f t="shared" si="25"/>
        <v>II юн</v>
      </c>
      <c r="J67" s="362" t="str">
        <f t="shared" si="26"/>
        <v>II юн</v>
      </c>
      <c r="K67" s="626"/>
      <c r="L67" s="116">
        <f t="shared" si="29"/>
        <v>59.599999999999994</v>
      </c>
      <c r="M67" s="362" t="str">
        <f t="shared" si="27"/>
        <v>II юн</v>
      </c>
      <c r="N67" s="362" t="str">
        <f t="shared" si="28"/>
        <v>II юн</v>
      </c>
      <c r="O67" s="362"/>
      <c r="P67" s="537"/>
      <c r="Q67" s="537"/>
      <c r="R67" s="537"/>
      <c r="S67" s="537"/>
      <c r="T67" s="537"/>
      <c r="U67" s="537"/>
      <c r="V67" s="537"/>
      <c r="W67" s="537"/>
      <c r="X67" s="537"/>
      <c r="Y67" s="537"/>
      <c r="Z67" s="537"/>
      <c r="AA67" s="537"/>
      <c r="AB67" s="537"/>
      <c r="AC67" s="537"/>
      <c r="AD67" s="537"/>
      <c r="AE67" s="537"/>
      <c r="AF67" s="537"/>
      <c r="AG67" s="537"/>
      <c r="AH67" s="537"/>
    </row>
    <row r="68" spans="3:34" x14ac:dyDescent="0.25">
      <c r="C68" s="546"/>
      <c r="D68" s="355"/>
      <c r="E68" s="406"/>
      <c r="F68" s="546"/>
      <c r="G68" s="546"/>
      <c r="H68" s="115">
        <v>104.8</v>
      </c>
      <c r="I68" s="362" t="str">
        <f>IF(ISBLANK(H68)," ",IF(ISTEXT(H68)," ",IF(H68&lt;=36,"МСМК",IF(H68&lt;=37.8,"МС",IF(H68&lt;=39.6,"КМС",IF(H68&lt;=42.5,"I",IF(H68&lt;=46.1,"II",IF(H68&lt;=50,"III",IF(H68&lt;=54.8,"I юн",IF(H68&lt;=59.8,"II юн",IF(H68&lt;=104.8,"III юн","б/р")))))))))))</f>
        <v>III юн</v>
      </c>
      <c r="J68" s="362" t="str">
        <f>IF(ISBLANK(H68)," ",IF(ISTEXT(H68)," ",IF(H68&lt;=36,"МСМК",IF(H68&lt;=37.8,"МС",IF(H68&lt;=39.6,"КМС",IF(H68&lt;=42.5,"I",IF(H68&lt;=46.1,"II",IF(H68&lt;=50,"III",IF(H68&lt;=54.8,"I юн",IF(H68&lt;=59.8,"II юн",IF(H68&lt;=104.8,"III юн","б/р")))))))))))</f>
        <v>III юн</v>
      </c>
      <c r="K68" s="626"/>
      <c r="L68" s="116">
        <f t="shared" si="29"/>
        <v>104.6</v>
      </c>
      <c r="M68" s="362" t="str">
        <f t="shared" si="27"/>
        <v>III юн</v>
      </c>
      <c r="N68" s="362" t="str">
        <f t="shared" si="28"/>
        <v>III юн</v>
      </c>
      <c r="O68" s="362"/>
      <c r="P68" s="537"/>
      <c r="Q68" s="537"/>
      <c r="R68" s="537"/>
      <c r="S68" s="537"/>
      <c r="T68" s="537"/>
      <c r="U68" s="537"/>
      <c r="V68" s="537"/>
      <c r="W68" s="537"/>
      <c r="X68" s="537"/>
      <c r="Y68" s="537"/>
      <c r="Z68" s="537"/>
      <c r="AA68" s="537"/>
      <c r="AB68" s="537"/>
      <c r="AC68" s="537"/>
      <c r="AD68" s="537"/>
      <c r="AE68" s="537"/>
      <c r="AF68" s="537"/>
      <c r="AG68" s="537"/>
      <c r="AH68" s="537"/>
    </row>
    <row r="69" spans="3:34" x14ac:dyDescent="0.25">
      <c r="C69" s="364"/>
      <c r="D69" s="364"/>
      <c r="E69" s="364"/>
      <c r="F69" s="364"/>
      <c r="G69" s="364"/>
      <c r="H69" s="115"/>
      <c r="I69" s="362"/>
      <c r="J69" s="362"/>
      <c r="K69" s="626"/>
      <c r="N69" s="362"/>
      <c r="O69" s="362"/>
      <c r="P69" s="537"/>
      <c r="Q69" s="537"/>
      <c r="R69" s="537"/>
      <c r="S69" s="537"/>
      <c r="T69" s="537"/>
      <c r="U69" s="537"/>
      <c r="V69" s="537"/>
      <c r="W69" s="537"/>
      <c r="X69" s="537"/>
      <c r="Y69" s="537"/>
      <c r="Z69" s="537"/>
      <c r="AA69" s="537"/>
      <c r="AB69" s="537"/>
      <c r="AC69" s="537"/>
      <c r="AD69" s="537"/>
      <c r="AE69" s="537"/>
      <c r="AF69" s="537"/>
      <c r="AG69" s="537"/>
      <c r="AH69" s="537"/>
    </row>
    <row r="70" spans="3:34" x14ac:dyDescent="0.25">
      <c r="C70" s="349" t="s">
        <v>98</v>
      </c>
      <c r="D70" s="364"/>
      <c r="E70" s="364"/>
      <c r="F70" s="364"/>
      <c r="G70" s="364"/>
      <c r="H70" s="363"/>
      <c r="I70" s="363"/>
      <c r="J70" s="364"/>
      <c r="K70" s="627"/>
      <c r="P70" s="537"/>
      <c r="Q70" s="537"/>
      <c r="R70" s="537"/>
      <c r="S70" s="537"/>
      <c r="T70" s="537"/>
      <c r="U70" s="537"/>
      <c r="V70" s="537"/>
      <c r="W70" s="537"/>
      <c r="X70" s="537"/>
      <c r="Y70" s="537"/>
      <c r="Z70" s="537"/>
      <c r="AA70" s="537"/>
      <c r="AB70" s="537"/>
      <c r="AC70" s="537"/>
      <c r="AD70" s="537"/>
      <c r="AE70" s="537"/>
      <c r="AF70" s="537"/>
      <c r="AG70" s="537"/>
      <c r="AH70" s="537"/>
    </row>
    <row r="71" spans="3:34" x14ac:dyDescent="0.25">
      <c r="C71" s="364"/>
      <c r="D71" s="364"/>
      <c r="E71" s="364"/>
      <c r="F71" s="364"/>
      <c r="G71" s="364"/>
      <c r="H71" s="356">
        <v>48.1</v>
      </c>
      <c r="I71" s="362" t="str">
        <f t="shared" ref="I71:I78" si="30">IF(ISBLANK(H71)," ",IF(ISTEXT(H71)," ",IF(H71&lt;=48.1,"МСМК",IF(H71&lt;=51,"МС",IF(H71&lt;=53.5,"КМС",IF(H71&lt;=57.5,"I",IF(H71&lt;=102.1,"II",IF(H71&lt;=108,"III",IF(H71&lt;=113.7,"I юн",IF(H71&lt;=119.8,"II юн",IF(H71&lt;=126.2,"III юн","б/р")))))))))))</f>
        <v>МСМК</v>
      </c>
      <c r="J71" s="362" t="str">
        <f t="shared" ref="J71:J78" si="31">IF(ISBLANK(H71)," ",IF(ISTEXT(H71)," ",IF(H71&lt;=48.1,"МСМК",IF(H71&lt;=51,"МС",IF(H71&lt;=53.5,"КМС",IF(H71&lt;=57.5,"I",IF(H71&lt;=102.1,"II",IF(H71&lt;=108,"III",IF(H71&lt;=113.7,"I юн",IF(H71&lt;=119.8,"II юн",IF(H71&lt;=126.2,"III юн","б/р")))))))))))</f>
        <v>МСМК</v>
      </c>
      <c r="K71" s="626"/>
      <c r="L71" s="533">
        <f>H71</f>
        <v>48.1</v>
      </c>
      <c r="M71" s="531" t="str">
        <f t="shared" ref="M71:M78" si="32">IF(ISBLANK(L71)," ",IF(ISTEXT(L71)," ",IF(L71&lt;=48.1,"МСМК",IF(L71&lt;=51,"МС",IF(L71&lt;=53.3,"КМС",IF(L71&lt;=57.3,"I",IF(L71&lt;=101.9,"II",IF(L71&lt;=107.8,"III",IF(L71&lt;=113.5,"I юн",IF(L71&lt;=119.6,"II юн",IF(L71&lt;=126,"III юн","б/р")))))))))))</f>
        <v>МСМК</v>
      </c>
      <c r="N71" s="531" t="str">
        <f t="shared" ref="N71:N78" si="33">IF(ISBLANK(L71)," ",IF(ISTEXT(L71)," ",IF(L71&lt;=48.1,"МСМК",IF(L71&lt;=51,"МС",IF(L71&lt;=53.3,"КМС",IF(L71&lt;=57.3,"I",IF(L71&lt;=101.9,"II",IF(L71&lt;=107.8,"III",IF(L71&lt;=113.5,"I юн",IF(L71&lt;=119.6,"II юн",IF(L71&lt;=126,"III юн","б/р")))))))))))</f>
        <v>МСМК</v>
      </c>
      <c r="O71" s="531"/>
      <c r="P71" s="537"/>
      <c r="Q71" s="537"/>
      <c r="R71" s="537"/>
      <c r="S71" s="537"/>
      <c r="T71" s="537"/>
      <c r="U71" s="537"/>
      <c r="V71" s="537"/>
      <c r="W71" s="537"/>
      <c r="X71" s="537"/>
      <c r="Y71" s="537"/>
      <c r="Z71" s="537"/>
      <c r="AA71" s="537"/>
      <c r="AB71" s="537"/>
      <c r="AC71" s="537"/>
      <c r="AD71" s="537"/>
      <c r="AE71" s="537"/>
      <c r="AF71" s="537"/>
      <c r="AG71" s="537"/>
      <c r="AH71" s="537"/>
    </row>
    <row r="72" spans="3:34" x14ac:dyDescent="0.25">
      <c r="C72" s="364"/>
      <c r="D72" s="364"/>
      <c r="E72" s="364"/>
      <c r="F72" s="364"/>
      <c r="G72" s="364"/>
      <c r="H72" s="356">
        <v>51</v>
      </c>
      <c r="I72" s="362" t="str">
        <f t="shared" si="30"/>
        <v>МС</v>
      </c>
      <c r="J72" s="362" t="str">
        <f t="shared" si="31"/>
        <v>МС</v>
      </c>
      <c r="K72" s="626"/>
      <c r="L72" s="533">
        <f>H72</f>
        <v>51</v>
      </c>
      <c r="M72" s="531" t="str">
        <f t="shared" si="32"/>
        <v>МС</v>
      </c>
      <c r="N72" s="531" t="str">
        <f t="shared" si="33"/>
        <v>МС</v>
      </c>
      <c r="O72" s="531"/>
      <c r="P72" s="537"/>
      <c r="Q72" s="537"/>
      <c r="R72" s="537"/>
      <c r="S72" s="537"/>
      <c r="T72" s="537"/>
      <c r="U72" s="537"/>
      <c r="V72" s="537"/>
      <c r="W72" s="537"/>
      <c r="X72" s="537"/>
      <c r="Y72" s="537"/>
      <c r="Z72" s="537"/>
      <c r="AA72" s="537"/>
      <c r="AB72" s="537"/>
      <c r="AC72" s="537"/>
      <c r="AD72" s="537"/>
      <c r="AE72" s="537"/>
      <c r="AF72" s="537"/>
      <c r="AG72" s="537"/>
      <c r="AH72" s="537"/>
    </row>
    <row r="73" spans="3:34" x14ac:dyDescent="0.25">
      <c r="C73" s="364"/>
      <c r="D73" s="364"/>
      <c r="E73" s="364"/>
      <c r="F73" s="364"/>
      <c r="G73" s="364"/>
      <c r="H73" s="356">
        <v>53.5</v>
      </c>
      <c r="I73" s="362" t="str">
        <f t="shared" si="30"/>
        <v>КМС</v>
      </c>
      <c r="J73" s="362" t="str">
        <f t="shared" si="31"/>
        <v>КМС</v>
      </c>
      <c r="K73" s="626"/>
      <c r="L73" s="356">
        <f>H73-0.2</f>
        <v>53.3</v>
      </c>
      <c r="M73" s="362" t="str">
        <f t="shared" si="32"/>
        <v>КМС</v>
      </c>
      <c r="N73" s="362" t="str">
        <f t="shared" si="33"/>
        <v>КМС</v>
      </c>
      <c r="O73" s="362"/>
      <c r="P73" s="537"/>
      <c r="Q73" s="537"/>
      <c r="R73" s="537"/>
      <c r="S73" s="537"/>
      <c r="T73" s="537"/>
      <c r="U73" s="537"/>
      <c r="V73" s="537"/>
      <c r="W73" s="537"/>
      <c r="X73" s="537"/>
      <c r="Y73" s="537"/>
      <c r="Z73" s="537"/>
      <c r="AA73" s="537"/>
      <c r="AB73" s="537"/>
      <c r="AC73" s="537"/>
      <c r="AD73" s="537"/>
      <c r="AE73" s="537"/>
      <c r="AF73" s="537"/>
      <c r="AG73" s="537"/>
      <c r="AH73" s="537"/>
    </row>
    <row r="74" spans="3:34" x14ac:dyDescent="0.25">
      <c r="C74" s="364"/>
      <c r="D74" s="364"/>
      <c r="E74" s="364"/>
      <c r="F74" s="364"/>
      <c r="G74" s="364"/>
      <c r="H74" s="356">
        <v>57.5</v>
      </c>
      <c r="I74" s="362" t="str">
        <f t="shared" si="30"/>
        <v>I</v>
      </c>
      <c r="J74" s="362" t="str">
        <f t="shared" si="31"/>
        <v>I</v>
      </c>
      <c r="K74" s="626"/>
      <c r="L74" s="356">
        <f t="shared" ref="L74:L79" si="34">H74-0.2</f>
        <v>57.3</v>
      </c>
      <c r="M74" s="362" t="str">
        <f t="shared" si="32"/>
        <v>I</v>
      </c>
      <c r="N74" s="362" t="str">
        <f t="shared" si="33"/>
        <v>I</v>
      </c>
      <c r="O74" s="362"/>
      <c r="P74" s="537"/>
      <c r="Q74" s="537"/>
      <c r="R74" s="537"/>
      <c r="S74" s="537"/>
      <c r="T74" s="537"/>
      <c r="U74" s="537"/>
      <c r="V74" s="537"/>
      <c r="W74" s="537"/>
      <c r="X74" s="537"/>
      <c r="Y74" s="537"/>
      <c r="Z74" s="537"/>
      <c r="AA74" s="537"/>
      <c r="AB74" s="537"/>
      <c r="AC74" s="537"/>
      <c r="AD74" s="537"/>
      <c r="AE74" s="537"/>
      <c r="AF74" s="537"/>
      <c r="AG74" s="537"/>
      <c r="AH74" s="537"/>
    </row>
    <row r="75" spans="3:34" x14ac:dyDescent="0.25">
      <c r="C75" s="364"/>
      <c r="D75" s="364"/>
      <c r="E75" s="364"/>
      <c r="F75" s="364"/>
      <c r="G75" s="364"/>
      <c r="H75" s="356">
        <v>102.1</v>
      </c>
      <c r="I75" s="362" t="str">
        <f t="shared" si="30"/>
        <v>II</v>
      </c>
      <c r="J75" s="362" t="str">
        <f t="shared" si="31"/>
        <v>II</v>
      </c>
      <c r="K75" s="626"/>
      <c r="L75" s="356">
        <f t="shared" si="34"/>
        <v>101.89999999999999</v>
      </c>
      <c r="M75" s="362" t="str">
        <f t="shared" si="32"/>
        <v>II</v>
      </c>
      <c r="N75" s="362" t="str">
        <f t="shared" si="33"/>
        <v>II</v>
      </c>
      <c r="O75" s="362"/>
      <c r="P75" s="537"/>
      <c r="Q75" s="537"/>
      <c r="R75" s="537"/>
      <c r="S75" s="537"/>
      <c r="T75" s="537"/>
      <c r="U75" s="537"/>
      <c r="V75" s="537"/>
      <c r="W75" s="537"/>
      <c r="X75" s="537"/>
      <c r="Y75" s="537"/>
      <c r="Z75" s="537"/>
      <c r="AA75" s="537"/>
      <c r="AB75" s="537"/>
      <c r="AC75" s="537"/>
      <c r="AD75" s="537"/>
      <c r="AE75" s="537"/>
      <c r="AF75" s="537"/>
      <c r="AG75" s="537"/>
      <c r="AH75" s="537"/>
    </row>
    <row r="76" spans="3:34" x14ac:dyDescent="0.25">
      <c r="C76" s="364"/>
      <c r="D76" s="364"/>
      <c r="E76" s="364"/>
      <c r="F76" s="364"/>
      <c r="G76" s="364"/>
      <c r="H76" s="356">
        <v>108</v>
      </c>
      <c r="I76" s="362" t="str">
        <f t="shared" si="30"/>
        <v>III</v>
      </c>
      <c r="J76" s="362" t="str">
        <f t="shared" si="31"/>
        <v>III</v>
      </c>
      <c r="K76" s="626"/>
      <c r="L76" s="356">
        <f t="shared" si="34"/>
        <v>107.8</v>
      </c>
      <c r="M76" s="362" t="str">
        <f t="shared" si="32"/>
        <v>III</v>
      </c>
      <c r="N76" s="362" t="str">
        <f t="shared" si="33"/>
        <v>III</v>
      </c>
      <c r="O76" s="362"/>
      <c r="P76" s="537"/>
      <c r="Q76" s="537"/>
      <c r="R76" s="537"/>
      <c r="S76" s="537"/>
      <c r="T76" s="537"/>
      <c r="U76" s="537"/>
      <c r="V76" s="537"/>
      <c r="W76" s="537"/>
      <c r="X76" s="537"/>
      <c r="Y76" s="537"/>
      <c r="Z76" s="537"/>
      <c r="AA76" s="537"/>
      <c r="AB76" s="537"/>
      <c r="AC76" s="537"/>
      <c r="AD76" s="537"/>
      <c r="AE76" s="537"/>
      <c r="AF76" s="537"/>
      <c r="AG76" s="537"/>
      <c r="AH76" s="537"/>
    </row>
    <row r="77" spans="3:34" x14ac:dyDescent="0.25">
      <c r="C77" s="364"/>
      <c r="D77" s="364"/>
      <c r="E77" s="364"/>
      <c r="F77" s="364"/>
      <c r="G77" s="364"/>
      <c r="H77" s="115">
        <v>113.7</v>
      </c>
      <c r="I77" s="362" t="str">
        <f t="shared" si="30"/>
        <v>I юн</v>
      </c>
      <c r="J77" s="362" t="str">
        <f t="shared" si="31"/>
        <v>I юн</v>
      </c>
      <c r="K77" s="626"/>
      <c r="L77" s="356">
        <f t="shared" si="34"/>
        <v>113.5</v>
      </c>
      <c r="M77" s="362" t="str">
        <f t="shared" si="32"/>
        <v>I юн</v>
      </c>
      <c r="N77" s="362" t="str">
        <f t="shared" si="33"/>
        <v>I юн</v>
      </c>
      <c r="O77" s="362"/>
      <c r="P77" s="537"/>
      <c r="Q77" s="537"/>
      <c r="R77" s="537"/>
      <c r="S77" s="537"/>
      <c r="T77" s="537"/>
      <c r="U77" s="537"/>
      <c r="V77" s="537"/>
      <c r="W77" s="537"/>
      <c r="X77" s="537"/>
      <c r="Y77" s="537"/>
      <c r="Z77" s="537"/>
      <c r="AA77" s="537"/>
      <c r="AB77" s="537"/>
      <c r="AC77" s="537"/>
      <c r="AD77" s="537"/>
      <c r="AE77" s="537"/>
      <c r="AF77" s="537"/>
      <c r="AG77" s="537"/>
      <c r="AH77" s="537"/>
    </row>
    <row r="78" spans="3:34" x14ac:dyDescent="0.25">
      <c r="C78" s="364"/>
      <c r="D78" s="364"/>
      <c r="E78" s="364"/>
      <c r="F78" s="364"/>
      <c r="G78" s="364"/>
      <c r="H78" s="115">
        <v>119.8</v>
      </c>
      <c r="I78" s="362" t="str">
        <f t="shared" si="30"/>
        <v>II юн</v>
      </c>
      <c r="J78" s="362" t="str">
        <f t="shared" si="31"/>
        <v>II юн</v>
      </c>
      <c r="K78" s="626"/>
      <c r="L78" s="356">
        <f t="shared" si="34"/>
        <v>119.6</v>
      </c>
      <c r="M78" s="362" t="str">
        <f t="shared" si="32"/>
        <v>II юн</v>
      </c>
      <c r="N78" s="362" t="str">
        <f t="shared" si="33"/>
        <v>II юн</v>
      </c>
      <c r="O78" s="362"/>
      <c r="P78" s="537"/>
      <c r="Q78" s="537"/>
      <c r="R78" s="537"/>
      <c r="S78" s="537"/>
      <c r="T78" s="537"/>
      <c r="U78" s="537"/>
      <c r="V78" s="537"/>
      <c r="W78" s="537"/>
      <c r="X78" s="537"/>
      <c r="Y78" s="537"/>
      <c r="Z78" s="537"/>
      <c r="AA78" s="537"/>
      <c r="AB78" s="537"/>
      <c r="AC78" s="537"/>
      <c r="AD78" s="537"/>
      <c r="AE78" s="537"/>
      <c r="AF78" s="537"/>
      <c r="AG78" s="537"/>
      <c r="AH78" s="537"/>
    </row>
    <row r="79" spans="3:34" x14ac:dyDescent="0.25">
      <c r="C79" s="364"/>
      <c r="D79" s="364"/>
      <c r="E79" s="364"/>
      <c r="F79" s="364"/>
      <c r="G79" s="364"/>
      <c r="H79" s="115">
        <v>126.2</v>
      </c>
      <c r="I79" s="362" t="str">
        <f>IF(ISBLANK(H79)," ",IF(ISTEXT(H79)," ",IF(H79&lt;=48.1,"МСМК",IF(H79&lt;=51,"МС",IF(H79&lt;=53.5,"КМС",IF(H79&lt;=57.5,"I",IF(H79&lt;=102.1,"II",IF(H79&lt;=108,"III",IF(H79&lt;=113.7,"I юн",IF(H79&lt;=119.8,"II юн",IF(H79&lt;=126.2,"III юн","б/р")))))))))))</f>
        <v>III юн</v>
      </c>
      <c r="J79" s="362" t="str">
        <f>IF(ISBLANK(H79)," ",IF(ISTEXT(H79)," ",IF(H79&lt;=48.1,"МСМК",IF(H79&lt;=51,"МС",IF(H79&lt;=53.5,"КМС",IF(H79&lt;=57.5,"I",IF(H79&lt;=102.1,"II",IF(H79&lt;=108,"III",IF(H79&lt;=113.7,"I юн",IF(H79&lt;=119.8,"II юн",IF(H79&lt;=126.2,"III юн","б/р")))))))))))</f>
        <v>III юн</v>
      </c>
      <c r="K79" s="626"/>
      <c r="L79" s="356">
        <f t="shared" si="34"/>
        <v>126</v>
      </c>
      <c r="M79" s="362" t="str">
        <f>IF(ISBLANK(L79)," ",IF(ISTEXT(L79)," ",IF(L79&lt;=48.1,"МСМК",IF(L79&lt;=51,"МС",IF(L79&lt;=53.3,"КМС",IF(L79&lt;=57.3,"I",IF(L79&lt;=101.9,"II",IF(L79&lt;=107.8,"III",IF(L79&lt;=113.5,"I юн",IF(L79&lt;=119.6,"II юн",IF(L79&lt;=126,"III юн","б/р")))))))))))</f>
        <v>III юн</v>
      </c>
      <c r="N79" s="362" t="str">
        <f>IF(ISBLANK(L79)," ",IF(ISTEXT(L79)," ",IF(L79&lt;=48.1,"МСМК",IF(L79&lt;=51,"МС",IF(L79&lt;=53.3,"КМС",IF(L79&lt;=57.3,"I",IF(L79&lt;=101.9,"II",IF(L79&lt;=107.8,"III",IF(L79&lt;=113.5,"I юн",IF(L79&lt;=119.6,"II юн",IF(L79&lt;=126,"III юн","б/р")))))))))))</f>
        <v>III юн</v>
      </c>
      <c r="O79" s="362"/>
      <c r="P79" s="537"/>
      <c r="Q79" s="537"/>
      <c r="R79" s="537"/>
      <c r="S79" s="537"/>
      <c r="T79" s="537"/>
      <c r="U79" s="537"/>
      <c r="V79" s="537"/>
      <c r="W79" s="537"/>
      <c r="X79" s="537"/>
      <c r="Y79" s="537"/>
      <c r="Z79" s="537"/>
      <c r="AA79" s="537"/>
      <c r="AB79" s="537"/>
      <c r="AC79" s="537"/>
      <c r="AD79" s="537"/>
      <c r="AE79" s="537"/>
      <c r="AF79" s="537"/>
      <c r="AG79" s="537"/>
      <c r="AH79" s="537"/>
    </row>
    <row r="80" spans="3:34" x14ac:dyDescent="0.25">
      <c r="C80" s="364"/>
      <c r="D80" s="364"/>
      <c r="E80" s="364"/>
      <c r="F80" s="364"/>
      <c r="G80" s="364"/>
      <c r="H80" s="115"/>
      <c r="I80" s="362" t="str">
        <f>IF(ISBLANK(H80)," ",IF(ISTEXT(H80)," ",IF(H80&lt;=48.8,"МСМК",IF(H80&lt;=51.5,"МС",IF(H80&lt;=54,"КМС",IF(H80&lt;=57.8,"I",IF(H80&lt;=102.2,"II",IF(H80&lt;=108.2,"III","б/р"))))))))</f>
        <v xml:space="preserve"> </v>
      </c>
      <c r="J80" s="362" t="str">
        <f>IF(ISBLANK(H80)," ",IF(ISTEXT(H80)," ",IF(H80&lt;=48.8,"МСМК",IF(H80&lt;=51.5,"МС",IF(H80&lt;=54,"КМС",IF(H80&lt;=57.8,"I",IF(H80&lt;=102.2,"II",IF(H80&lt;=108.2,"III","б/р"))))))))</f>
        <v xml:space="preserve"> </v>
      </c>
      <c r="K80" s="626"/>
      <c r="P80" s="528"/>
      <c r="Q80" s="528"/>
      <c r="R80" s="528"/>
      <c r="S80" s="528"/>
      <c r="T80" s="528"/>
      <c r="U80" s="528"/>
      <c r="V80" s="528"/>
      <c r="W80" s="528"/>
      <c r="X80" s="528"/>
      <c r="Y80" s="528"/>
      <c r="Z80" s="528"/>
      <c r="AA80" s="528"/>
      <c r="AB80" s="528"/>
      <c r="AC80" s="528"/>
      <c r="AD80" s="528"/>
      <c r="AE80" s="528"/>
      <c r="AF80" s="528"/>
      <c r="AG80" s="528"/>
      <c r="AH80" s="537"/>
    </row>
    <row r="81" spans="3:34" x14ac:dyDescent="0.25">
      <c r="C81" s="349" t="s">
        <v>99</v>
      </c>
      <c r="D81" s="364"/>
      <c r="E81" s="364"/>
      <c r="F81" s="364"/>
      <c r="G81" s="364"/>
      <c r="H81" s="352"/>
      <c r="I81" s="363"/>
      <c r="J81" s="364"/>
      <c r="K81" s="627"/>
      <c r="P81" s="527"/>
      <c r="Q81" s="527"/>
      <c r="R81" s="527"/>
      <c r="S81" s="527"/>
      <c r="T81" s="527"/>
      <c r="U81" s="527"/>
      <c r="V81" s="527"/>
      <c r="W81" s="527"/>
      <c r="X81" s="527"/>
      <c r="Y81" s="527"/>
      <c r="Z81" s="527"/>
      <c r="AA81" s="527"/>
      <c r="AB81" s="527"/>
      <c r="AC81" s="527"/>
      <c r="AD81" s="527"/>
      <c r="AE81" s="527"/>
      <c r="AF81" s="527"/>
      <c r="AG81" s="527"/>
      <c r="AH81" s="537"/>
    </row>
    <row r="82" spans="3:34" x14ac:dyDescent="0.25">
      <c r="C82" s="364"/>
      <c r="D82" s="364"/>
      <c r="E82" s="364"/>
      <c r="F82" s="364"/>
      <c r="G82" s="364"/>
      <c r="H82" s="356">
        <v>43.3</v>
      </c>
      <c r="I82" s="362" t="str">
        <f t="shared" ref="I82:I89" si="35">IF(ISBLANK(H82)," ",IF(ISTEXT(H82)," ",IF(H82&lt;=43.3,"МСМК",IF(H82&lt;=45.1,"МС",IF(H82&lt;=47.5,"КМС",IF(H82&lt;=51,"I",IF(H82&lt;=56.1,"II",IF(H82&lt;=100.6,"III",IF(H82&lt;=106.2,"I юн",IF(H82&lt;=112.2,"II юн",IF(H82&lt;=118.7,"III юн","б/р")))))))))))</f>
        <v>МСМК</v>
      </c>
      <c r="J82" s="362" t="str">
        <f t="shared" ref="J82:J89" si="36">IF(ISBLANK(H82)," ",IF(ISTEXT(H82)," ",IF(H82&lt;=43.3,"МСМК",IF(H82&lt;=45.1,"МС",IF(H82&lt;=47.5,"КМС",IF(H82&lt;=51,"I",IF(H82&lt;=56.1,"II",IF(H82&lt;=100.6,"III",IF(H82&lt;=106.2,"I юн",IF(H82&lt;=112.2,"II юн",IF(H82&lt;=118.7,"III юн","б/р")))))))))))</f>
        <v>МСМК</v>
      </c>
      <c r="K82" s="626"/>
      <c r="L82" s="533">
        <f>H82</f>
        <v>43.3</v>
      </c>
      <c r="M82" s="531" t="str">
        <f t="shared" ref="M82:M89" si="37">IF(ISBLANK(L82)," ",IF(ISTEXT(L82)," ",IF(L82&lt;=43.3,"МСМК",IF(L82&lt;=45.1,"МС",IF(L82&lt;=47.3,"КМС",IF(L82&lt;=50.8,"I",IF(L82&lt;=55.9,"II",IF(L82&lt;=100.4,"III",IF(L82&lt;=106,"I юн",IF(L82&lt;=112,"II юн",IF(L82&lt;=118.5,"III юн","б/р")))))))))))</f>
        <v>МСМК</v>
      </c>
      <c r="N82" s="531" t="str">
        <f t="shared" ref="N82:N89" si="38">IF(ISBLANK(L82)," ",IF(ISTEXT(L82)," ",IF(L82&lt;=43.3,"МСМК",IF(L82&lt;=45.1,"МС",IF(L82&lt;=47.3,"КМС",IF(L82&lt;=50.8,"I",IF(L82&lt;=55.9,"II",IF(L82&lt;=100.4,"III",IF(L82&lt;=106,"I юн",IF(L82&lt;=112,"II юн",IF(L82&lt;=118.5,"III юн","б/р")))))))))))</f>
        <v>МСМК</v>
      </c>
      <c r="O82" s="362"/>
      <c r="P82" s="537"/>
      <c r="Q82" s="537"/>
      <c r="R82" s="537"/>
      <c r="S82" s="537"/>
      <c r="T82" s="537"/>
      <c r="U82" s="537"/>
      <c r="V82" s="537"/>
      <c r="W82" s="537"/>
      <c r="X82" s="537"/>
      <c r="Y82" s="537"/>
      <c r="Z82" s="537"/>
      <c r="AA82" s="537"/>
      <c r="AB82" s="537"/>
      <c r="AC82" s="537"/>
      <c r="AD82" s="537"/>
      <c r="AE82" s="537"/>
      <c r="AF82" s="537"/>
      <c r="AG82" s="537"/>
      <c r="AH82" s="537"/>
    </row>
    <row r="83" spans="3:34" x14ac:dyDescent="0.25">
      <c r="C83" s="364"/>
      <c r="D83" s="364"/>
      <c r="E83" s="364"/>
      <c r="F83" s="364"/>
      <c r="G83" s="364"/>
      <c r="H83" s="356">
        <v>45.1</v>
      </c>
      <c r="I83" s="362" t="str">
        <f t="shared" si="35"/>
        <v>МС</v>
      </c>
      <c r="J83" s="362" t="str">
        <f t="shared" si="36"/>
        <v>МС</v>
      </c>
      <c r="K83" s="626"/>
      <c r="L83" s="533">
        <f>H83</f>
        <v>45.1</v>
      </c>
      <c r="M83" s="531" t="str">
        <f t="shared" si="37"/>
        <v>МС</v>
      </c>
      <c r="N83" s="531" t="str">
        <f t="shared" si="38"/>
        <v>МС</v>
      </c>
      <c r="O83" s="362"/>
      <c r="P83" s="537"/>
      <c r="Q83" s="537"/>
      <c r="R83" s="537"/>
      <c r="S83" s="537"/>
      <c r="T83" s="537"/>
      <c r="U83" s="537"/>
      <c r="V83" s="537"/>
      <c r="W83" s="537"/>
      <c r="X83" s="537"/>
      <c r="Y83" s="537"/>
      <c r="Z83" s="537"/>
      <c r="AA83" s="537"/>
      <c r="AB83" s="537"/>
      <c r="AC83" s="537"/>
      <c r="AD83" s="537"/>
      <c r="AE83" s="537"/>
      <c r="AF83" s="537"/>
      <c r="AG83" s="537"/>
      <c r="AH83" s="537"/>
    </row>
    <row r="84" spans="3:34" x14ac:dyDescent="0.25">
      <c r="C84" s="364"/>
      <c r="D84" s="364"/>
      <c r="E84" s="364"/>
      <c r="F84" s="364"/>
      <c r="G84" s="364"/>
      <c r="H84" s="356">
        <v>47.5</v>
      </c>
      <c r="I84" s="362" t="str">
        <f t="shared" si="35"/>
        <v>КМС</v>
      </c>
      <c r="J84" s="362" t="str">
        <f t="shared" si="36"/>
        <v>КМС</v>
      </c>
      <c r="K84" s="626"/>
      <c r="L84" s="356">
        <f>H84-0.2</f>
        <v>47.3</v>
      </c>
      <c r="M84" s="362" t="str">
        <f t="shared" si="37"/>
        <v>КМС</v>
      </c>
      <c r="N84" s="362" t="str">
        <f t="shared" si="38"/>
        <v>КМС</v>
      </c>
      <c r="O84" s="362"/>
      <c r="P84" s="537"/>
      <c r="Q84" s="537"/>
      <c r="R84" s="537"/>
      <c r="S84" s="537"/>
      <c r="T84" s="537"/>
      <c r="U84" s="537"/>
      <c r="V84" s="537"/>
      <c r="W84" s="537"/>
      <c r="X84" s="537"/>
      <c r="Y84" s="537"/>
      <c r="Z84" s="537"/>
      <c r="AA84" s="537"/>
      <c r="AB84" s="537"/>
      <c r="AC84" s="537"/>
      <c r="AD84" s="537"/>
      <c r="AE84" s="537"/>
      <c r="AF84" s="537"/>
      <c r="AG84" s="537"/>
      <c r="AH84" s="537"/>
    </row>
    <row r="85" spans="3:34" x14ac:dyDescent="0.25">
      <c r="C85" s="364"/>
      <c r="D85" s="364"/>
      <c r="E85" s="364"/>
      <c r="F85" s="364"/>
      <c r="G85" s="364"/>
      <c r="H85" s="356">
        <v>51</v>
      </c>
      <c r="I85" s="362" t="str">
        <f t="shared" si="35"/>
        <v>I</v>
      </c>
      <c r="J85" s="362" t="str">
        <f t="shared" si="36"/>
        <v>I</v>
      </c>
      <c r="K85" s="626"/>
      <c r="L85" s="356">
        <f t="shared" ref="L85:L90" si="39">H85-0.2</f>
        <v>50.8</v>
      </c>
      <c r="M85" s="362" t="str">
        <f t="shared" si="37"/>
        <v>I</v>
      </c>
      <c r="N85" s="362" t="str">
        <f t="shared" si="38"/>
        <v>I</v>
      </c>
      <c r="O85" s="362"/>
      <c r="P85" s="537"/>
      <c r="Q85" s="537"/>
      <c r="R85" s="537"/>
      <c r="S85" s="537"/>
      <c r="T85" s="537"/>
      <c r="U85" s="537"/>
      <c r="V85" s="537"/>
      <c r="W85" s="537"/>
      <c r="X85" s="537"/>
      <c r="Y85" s="537"/>
      <c r="Z85" s="537"/>
      <c r="AA85" s="537"/>
      <c r="AB85" s="537"/>
      <c r="AC85" s="537"/>
      <c r="AD85" s="537"/>
      <c r="AE85" s="537"/>
      <c r="AF85" s="537"/>
      <c r="AG85" s="537"/>
      <c r="AH85" s="537"/>
    </row>
    <row r="86" spans="3:34" x14ac:dyDescent="0.25">
      <c r="C86" s="364"/>
      <c r="D86" s="364"/>
      <c r="E86" s="364"/>
      <c r="F86" s="364"/>
      <c r="G86" s="364"/>
      <c r="H86" s="356">
        <v>56.1</v>
      </c>
      <c r="I86" s="362" t="str">
        <f t="shared" si="35"/>
        <v>II</v>
      </c>
      <c r="J86" s="362" t="str">
        <f t="shared" si="36"/>
        <v>II</v>
      </c>
      <c r="K86" s="626"/>
      <c r="L86" s="356">
        <f t="shared" si="39"/>
        <v>55.9</v>
      </c>
      <c r="M86" s="362" t="str">
        <f t="shared" si="37"/>
        <v>II</v>
      </c>
      <c r="N86" s="362" t="str">
        <f t="shared" si="38"/>
        <v>II</v>
      </c>
      <c r="O86" s="362"/>
      <c r="P86" s="537"/>
      <c r="Q86" s="537"/>
      <c r="R86" s="537"/>
      <c r="S86" s="537"/>
      <c r="T86" s="537"/>
      <c r="U86" s="537"/>
      <c r="V86" s="537"/>
      <c r="W86" s="537"/>
      <c r="X86" s="537"/>
      <c r="Y86" s="537"/>
      <c r="Z86" s="537"/>
      <c r="AA86" s="537"/>
      <c r="AB86" s="537"/>
      <c r="AC86" s="537"/>
      <c r="AD86" s="537"/>
      <c r="AE86" s="537"/>
      <c r="AF86" s="537"/>
      <c r="AG86" s="537"/>
      <c r="AH86" s="537"/>
    </row>
    <row r="87" spans="3:34" x14ac:dyDescent="0.25">
      <c r="C87" s="364"/>
      <c r="D87" s="364"/>
      <c r="E87" s="364"/>
      <c r="F87" s="364"/>
      <c r="G87" s="364"/>
      <c r="H87" s="356">
        <v>100.6</v>
      </c>
      <c r="I87" s="362" t="str">
        <f t="shared" si="35"/>
        <v>III</v>
      </c>
      <c r="J87" s="362" t="str">
        <f t="shared" si="36"/>
        <v>III</v>
      </c>
      <c r="K87" s="626"/>
      <c r="L87" s="356">
        <f t="shared" si="39"/>
        <v>100.39999999999999</v>
      </c>
      <c r="M87" s="362" t="str">
        <f t="shared" si="37"/>
        <v>III</v>
      </c>
      <c r="N87" s="362" t="str">
        <f t="shared" si="38"/>
        <v>III</v>
      </c>
      <c r="O87" s="362"/>
      <c r="P87" s="537"/>
      <c r="Q87" s="537"/>
      <c r="R87" s="537"/>
      <c r="S87" s="537"/>
      <c r="T87" s="537"/>
      <c r="U87" s="537"/>
      <c r="V87" s="537"/>
      <c r="W87" s="537"/>
      <c r="X87" s="537"/>
      <c r="Y87" s="537"/>
      <c r="Z87" s="537"/>
      <c r="AA87" s="537"/>
      <c r="AB87" s="537"/>
      <c r="AC87" s="537"/>
      <c r="AD87" s="537"/>
      <c r="AE87" s="537"/>
      <c r="AF87" s="537"/>
      <c r="AG87" s="537"/>
      <c r="AH87" s="537"/>
    </row>
    <row r="88" spans="3:34" x14ac:dyDescent="0.25">
      <c r="C88" s="364"/>
      <c r="D88" s="364"/>
      <c r="E88" s="364"/>
      <c r="F88" s="364"/>
      <c r="G88" s="364"/>
      <c r="H88" s="115">
        <v>106.2</v>
      </c>
      <c r="I88" s="362" t="str">
        <f t="shared" si="35"/>
        <v>I юн</v>
      </c>
      <c r="J88" s="362" t="str">
        <f t="shared" si="36"/>
        <v>I юн</v>
      </c>
      <c r="K88" s="626"/>
      <c r="L88" s="356">
        <f t="shared" si="39"/>
        <v>106</v>
      </c>
      <c r="M88" s="362" t="str">
        <f t="shared" si="37"/>
        <v>I юн</v>
      </c>
      <c r="N88" s="362" t="str">
        <f t="shared" si="38"/>
        <v>I юн</v>
      </c>
      <c r="O88" s="362"/>
      <c r="P88" s="537"/>
      <c r="Q88" s="537"/>
      <c r="R88" s="537"/>
      <c r="S88" s="537"/>
      <c r="T88" s="537"/>
      <c r="U88" s="537"/>
      <c r="V88" s="537"/>
      <c r="W88" s="537"/>
      <c r="X88" s="537"/>
      <c r="Y88" s="537"/>
      <c r="Z88" s="537"/>
      <c r="AA88" s="537"/>
      <c r="AB88" s="537"/>
      <c r="AC88" s="537"/>
      <c r="AD88" s="537"/>
      <c r="AE88" s="537"/>
      <c r="AF88" s="537"/>
      <c r="AG88" s="537"/>
      <c r="AH88" s="537"/>
    </row>
    <row r="89" spans="3:34" x14ac:dyDescent="0.25">
      <c r="C89" s="364"/>
      <c r="D89" s="364"/>
      <c r="E89" s="364"/>
      <c r="F89" s="364"/>
      <c r="G89" s="364"/>
      <c r="H89" s="115">
        <v>112.2</v>
      </c>
      <c r="I89" s="362" t="str">
        <f t="shared" si="35"/>
        <v>II юн</v>
      </c>
      <c r="J89" s="362" t="str">
        <f t="shared" si="36"/>
        <v>II юн</v>
      </c>
      <c r="K89" s="626"/>
      <c r="L89" s="356">
        <f t="shared" si="39"/>
        <v>112</v>
      </c>
      <c r="M89" s="362" t="str">
        <f t="shared" si="37"/>
        <v>II юн</v>
      </c>
      <c r="N89" s="362" t="str">
        <f t="shared" si="38"/>
        <v>II юн</v>
      </c>
      <c r="O89" s="362"/>
      <c r="P89" s="537"/>
      <c r="Q89" s="537"/>
      <c r="R89" s="537"/>
      <c r="S89" s="537"/>
      <c r="T89" s="537"/>
      <c r="U89" s="537"/>
      <c r="V89" s="537"/>
      <c r="W89" s="537"/>
      <c r="X89" s="537"/>
      <c r="Y89" s="537"/>
      <c r="Z89" s="537"/>
      <c r="AA89" s="537"/>
      <c r="AB89" s="537"/>
      <c r="AC89" s="537"/>
      <c r="AD89" s="537"/>
      <c r="AE89" s="537"/>
      <c r="AF89" s="537"/>
      <c r="AG89" s="537"/>
      <c r="AH89" s="537"/>
    </row>
    <row r="90" spans="3:34" x14ac:dyDescent="0.25">
      <c r="C90" s="364"/>
      <c r="D90" s="364"/>
      <c r="E90" s="364"/>
      <c r="F90" s="364"/>
      <c r="G90" s="364"/>
      <c r="H90" s="115">
        <v>118.7</v>
      </c>
      <c r="I90" s="362" t="str">
        <f>IF(ISBLANK(H90)," ",IF(ISTEXT(H90)," ",IF(H90&lt;=43.3,"МСМК",IF(H90&lt;=45.1,"МС",IF(H90&lt;=47.5,"КМС",IF(H90&lt;=51,"I",IF(H90&lt;=56.1,"II",IF(H90&lt;=100.6,"III",IF(H90&lt;=106.2,"I юн",IF(H90&lt;=112.2,"II юн",IF(H90&lt;=118.7,"III юн","б/р")))))))))))</f>
        <v>III юн</v>
      </c>
      <c r="J90" s="362" t="str">
        <f>IF(ISBLANK(H90)," ",IF(ISTEXT(H90)," ",IF(H90&lt;=43.3,"МСМК",IF(H90&lt;=45.1,"МС",IF(H90&lt;=47.5,"КМС",IF(H90&lt;=51,"I",IF(H90&lt;=56.1,"II",IF(H90&lt;=100.6,"III",IF(H90&lt;=106.2,"I юн",IF(H90&lt;=112.2,"II юн",IF(H90&lt;=118.7,"III юн","б/р")))))))))))</f>
        <v>III юн</v>
      </c>
      <c r="K90" s="626"/>
      <c r="L90" s="356">
        <f t="shared" si="39"/>
        <v>118.5</v>
      </c>
      <c r="M90" s="362" t="str">
        <f>IF(ISBLANK(L90)," ",IF(ISTEXT(L90)," ",IF(L90&lt;=43.3,"МСМК",IF(L90&lt;=45.1,"МС",IF(L90&lt;=47.3,"КМС",IF(L90&lt;=50.8,"I",IF(L90&lt;=55.9,"II",IF(L90&lt;=100.4,"III",IF(L90&lt;=106,"I юн",IF(L90&lt;=112,"II юн",IF(L90&lt;=118.5,"III юн","б/р")))))))))))</f>
        <v>III юн</v>
      </c>
      <c r="N90" s="362" t="str">
        <f>IF(ISBLANK(L90)," ",IF(ISTEXT(L90)," ",IF(L90&lt;=43.3,"МСМК",IF(L90&lt;=45.1,"МС",IF(L90&lt;=47.3,"КМС",IF(L90&lt;=50.8,"I",IF(L90&lt;=55.9,"II",IF(L90&lt;=100.4,"III",IF(L90&lt;=106,"I юн",IF(L90&lt;=112,"II юн",IF(L90&lt;=118.5,"III юн","б/р")))))))))))</f>
        <v>III юн</v>
      </c>
      <c r="O90" s="362"/>
      <c r="P90" s="537"/>
      <c r="Q90" s="537"/>
      <c r="R90" s="537"/>
      <c r="S90" s="537"/>
      <c r="T90" s="537"/>
      <c r="U90" s="537"/>
      <c r="V90" s="537"/>
      <c r="W90" s="537"/>
      <c r="X90" s="537"/>
      <c r="Y90" s="537"/>
      <c r="Z90" s="537"/>
      <c r="AA90" s="537"/>
      <c r="AB90" s="537"/>
      <c r="AC90" s="537"/>
      <c r="AD90" s="537"/>
      <c r="AE90" s="537"/>
      <c r="AF90" s="537"/>
      <c r="AG90" s="537"/>
      <c r="AH90" s="537"/>
    </row>
    <row r="91" spans="3:34" x14ac:dyDescent="0.25">
      <c r="C91" s="364"/>
      <c r="D91" s="364"/>
      <c r="E91" s="364"/>
      <c r="F91" s="364"/>
      <c r="G91" s="364"/>
      <c r="H91" s="115"/>
      <c r="I91" s="362" t="str">
        <f>IF(ISBLANK(H91)," ",IF(ISTEXT(H91)," ",IF(H91&lt;=44,"МСМК",IF(H91&lt;=46,"МС",IF(H91&lt;=48.3,"КМС",IF(H91&lt;=51.7,"I",IF(H91&lt;=56.2,"II",IF(H91&lt;=100.7,"III","б/р"))))))))</f>
        <v xml:space="preserve"> </v>
      </c>
      <c r="J91" s="362" t="str">
        <f>IF(ISBLANK(H91)," ",IF(ISTEXT(H91)," ",IF(H91&lt;=44,"МСМК",IF(H91&lt;=46,"МС",IF(H91&lt;=48.3,"КМС",IF(H91&lt;=51.7,"I",IF(H91&lt;=56.2,"II",IF(H91&lt;=100.7,"III","б/р"))))))))</f>
        <v xml:space="preserve"> </v>
      </c>
      <c r="K91" s="626"/>
      <c r="P91" s="537"/>
      <c r="Q91" s="537"/>
      <c r="R91" s="537"/>
      <c r="S91" s="537"/>
      <c r="T91" s="537"/>
      <c r="U91" s="537"/>
      <c r="V91" s="537"/>
      <c r="W91" s="537"/>
      <c r="X91" s="537"/>
      <c r="Y91" s="537"/>
      <c r="Z91" s="537"/>
      <c r="AA91" s="537"/>
      <c r="AB91" s="537"/>
      <c r="AC91" s="537"/>
      <c r="AD91" s="537"/>
      <c r="AE91" s="537"/>
      <c r="AF91" s="537"/>
      <c r="AG91" s="537"/>
      <c r="AH91" s="537"/>
    </row>
    <row r="92" spans="3:34" x14ac:dyDescent="0.25">
      <c r="C92" s="349" t="s">
        <v>79</v>
      </c>
      <c r="D92" s="350"/>
      <c r="E92" s="351"/>
      <c r="F92" s="349"/>
      <c r="G92" s="349"/>
      <c r="H92" s="352"/>
      <c r="I92" s="356"/>
      <c r="J92" s="349"/>
      <c r="K92" s="628"/>
      <c r="P92" s="537"/>
      <c r="Q92" s="537"/>
      <c r="R92" s="537"/>
      <c r="S92" s="537"/>
      <c r="T92" s="537"/>
      <c r="U92" s="537"/>
      <c r="V92" s="537"/>
      <c r="W92" s="537"/>
      <c r="X92" s="537"/>
      <c r="Y92" s="537"/>
      <c r="Z92" s="537"/>
      <c r="AA92" s="537"/>
      <c r="AB92" s="537"/>
      <c r="AC92" s="537"/>
      <c r="AD92" s="537"/>
      <c r="AE92" s="537"/>
      <c r="AF92" s="537"/>
      <c r="AG92" s="537"/>
      <c r="AH92" s="537"/>
    </row>
    <row r="93" spans="3:34" x14ac:dyDescent="0.25">
      <c r="C93" s="546"/>
      <c r="D93" s="355"/>
      <c r="E93" s="406"/>
      <c r="F93" s="546"/>
      <c r="G93" s="546"/>
      <c r="H93" s="116">
        <v>130.80000000000001</v>
      </c>
      <c r="I93" s="362" t="str">
        <f t="shared" ref="I93:I100" si="40">IF(ISBLANK(H93)," ",IF(ISTEXT(H93)," ",IF(H93&lt;=130.89,"МСМК",IF(H93&lt;=136.2,"МС",IF(H93&lt;=141.2,"КМС",IF(H93&lt;=147.7,"I",IF(H93&lt;=157.7,"II",IF(H93&lt;=206.4,"III",IF(H93&lt;=220.2,"I юн",IF(H93&lt;=231.4,"II юн",IF(H93&lt;=242.4,"III юн","б/р")))))))))))</f>
        <v>МСМК</v>
      </c>
      <c r="J93" s="362" t="str">
        <f t="shared" ref="J93:J100" si="41">IF(ISBLANK(H93)," ",IF(ISTEXT(H93)," ",IF(H93&lt;=130.89,"МСМК",IF(H93&lt;=136.2,"МС",IF(H93&lt;=141.2,"КМС",IF(H93&lt;=147.7,"I",IF(H93&lt;=157.7,"II",IF(H93&lt;=206.4,"III",IF(H93&lt;=220.2,"I юн",IF(H93&lt;=231.4,"II юн",IF(H93&lt;=242.4,"III юн","б/р")))))))))))</f>
        <v>МСМК</v>
      </c>
      <c r="K93" s="626"/>
      <c r="L93" s="532">
        <f>H93</f>
        <v>130.80000000000001</v>
      </c>
      <c r="M93" s="531" t="str">
        <f>IF(ISBLANK(L93)," ",IF(ISTEXT(L93)," ",IF(L93&lt;=130.8,"МСМК",IF(L93&lt;=136.2,"МС",IF(L93&lt;=141,"КМС",IF(L93&lt;=147.5,"I",IF(L93&lt;=157.5,"II",IF(L93&lt;=206.2,"III",IF(L93&lt;=220,"I юн",IF(L93&lt;=231.2,"II юн",IF(L93&lt;=242.2,"III юн","б/р")))))))))))</f>
        <v>МСМК</v>
      </c>
      <c r="N93" s="531" t="str">
        <f>IF(ISBLANK(L93)," ",IF(ISTEXT(L93)," ",IF(L93&lt;=130.8,"МСМК",IF(L93&lt;=136.2,"МС",IF(L93&lt;=141,"КМС",IF(L93&lt;=147.5,"I",IF(L93&lt;=157.5,"II",IF(L93&lt;=206.2,"III",IF(L93&lt;=220,"I юн",IF(L93&lt;=231.2,"II юн",IF(L93&lt;=242.2,"III юн","б/р")))))))))))</f>
        <v>МСМК</v>
      </c>
      <c r="P93" s="537"/>
      <c r="Q93" s="537"/>
      <c r="R93" s="537"/>
      <c r="S93" s="537"/>
      <c r="T93" s="537"/>
      <c r="U93" s="537"/>
      <c r="V93" s="537"/>
      <c r="W93" s="537"/>
      <c r="X93" s="537"/>
      <c r="Y93" s="537"/>
      <c r="Z93" s="537"/>
      <c r="AA93" s="537"/>
      <c r="AB93" s="537"/>
      <c r="AC93" s="537"/>
      <c r="AD93" s="537"/>
      <c r="AE93" s="537"/>
      <c r="AF93" s="537"/>
      <c r="AG93" s="537"/>
      <c r="AH93" s="537"/>
    </row>
    <row r="94" spans="3:34" x14ac:dyDescent="0.25">
      <c r="C94" s="546"/>
      <c r="D94" s="355"/>
      <c r="E94" s="406"/>
      <c r="F94" s="546"/>
      <c r="G94" s="546"/>
      <c r="H94" s="116">
        <v>136.19999999999999</v>
      </c>
      <c r="I94" s="362" t="str">
        <f t="shared" si="40"/>
        <v>МС</v>
      </c>
      <c r="J94" s="362" t="str">
        <f t="shared" si="41"/>
        <v>МС</v>
      </c>
      <c r="K94" s="626"/>
      <c r="L94" s="532">
        <f>H94</f>
        <v>136.19999999999999</v>
      </c>
      <c r="M94" s="531" t="str">
        <f t="shared" ref="M94:M101" si="42">IF(ISBLANK(L94)," ",IF(ISTEXT(L94)," ",IF(L94&lt;=130.8,"МСМК",IF(L94&lt;=136.2,"МС",IF(L94&lt;=141,"КМС",IF(L94&lt;=147.5,"I",IF(L94&lt;=157.5,"II",IF(L94&lt;=206.2,"III",IF(L94&lt;=220,"I юн",IF(L94&lt;=231.2,"II юн",IF(L94&lt;=242.2,"III юн","б/р")))))))))))</f>
        <v>МС</v>
      </c>
      <c r="N94" s="531" t="str">
        <f t="shared" ref="N94:N101" si="43">IF(ISBLANK(L94)," ",IF(ISTEXT(L94)," ",IF(L94&lt;=130.8,"МСМК",IF(L94&lt;=136.2,"МС",IF(L94&lt;=141,"КМС",IF(L94&lt;=147.5,"I",IF(L94&lt;=157.5,"II",IF(L94&lt;=206.2,"III",IF(L94&lt;=220,"I юн",IF(L94&lt;=231.2,"II юн",IF(L94&lt;=242.2,"III юн","б/р")))))))))))</f>
        <v>МС</v>
      </c>
      <c r="P94" s="537"/>
      <c r="Q94" s="537"/>
      <c r="R94" s="537"/>
      <c r="S94" s="537"/>
      <c r="T94" s="537"/>
      <c r="U94" s="537"/>
      <c r="V94" s="537"/>
      <c r="W94" s="537"/>
      <c r="X94" s="537"/>
      <c r="Y94" s="537"/>
      <c r="Z94" s="537"/>
      <c r="AA94" s="537"/>
      <c r="AB94" s="537"/>
      <c r="AC94" s="537"/>
      <c r="AD94" s="537"/>
      <c r="AE94" s="537"/>
      <c r="AF94" s="537"/>
      <c r="AG94" s="537"/>
      <c r="AH94" s="537"/>
    </row>
    <row r="95" spans="3:34" x14ac:dyDescent="0.25">
      <c r="C95" s="546"/>
      <c r="D95" s="355"/>
      <c r="E95" s="406"/>
      <c r="F95" s="546"/>
      <c r="G95" s="546"/>
      <c r="H95" s="116">
        <v>141.19999999999999</v>
      </c>
      <c r="I95" s="362" t="str">
        <f t="shared" si="40"/>
        <v>КМС</v>
      </c>
      <c r="J95" s="362" t="str">
        <f t="shared" si="41"/>
        <v>КМС</v>
      </c>
      <c r="K95" s="626"/>
      <c r="L95" s="116">
        <f>H95-0.2</f>
        <v>141</v>
      </c>
      <c r="M95" s="362" t="str">
        <f t="shared" si="42"/>
        <v>КМС</v>
      </c>
      <c r="N95" s="362" t="str">
        <f t="shared" si="43"/>
        <v>КМС</v>
      </c>
      <c r="P95" s="537"/>
      <c r="Q95" s="537"/>
      <c r="R95" s="537"/>
      <c r="S95" s="537"/>
      <c r="T95" s="537"/>
      <c r="U95" s="537"/>
      <c r="V95" s="537"/>
      <c r="W95" s="537"/>
      <c r="X95" s="537"/>
      <c r="Y95" s="537"/>
      <c r="Z95" s="537"/>
      <c r="AA95" s="537"/>
      <c r="AB95" s="537"/>
      <c r="AC95" s="537"/>
      <c r="AD95" s="537"/>
      <c r="AE95" s="537"/>
      <c r="AF95" s="537"/>
      <c r="AG95" s="537"/>
      <c r="AH95" s="537"/>
    </row>
    <row r="96" spans="3:34" x14ac:dyDescent="0.25">
      <c r="C96" s="546"/>
      <c r="D96" s="355"/>
      <c r="E96" s="406"/>
      <c r="F96" s="546"/>
      <c r="G96" s="546"/>
      <c r="H96" s="116">
        <v>147.69999999999999</v>
      </c>
      <c r="I96" s="362" t="str">
        <f t="shared" si="40"/>
        <v>I</v>
      </c>
      <c r="J96" s="362" t="str">
        <f t="shared" si="41"/>
        <v>I</v>
      </c>
      <c r="K96" s="626"/>
      <c r="L96" s="116">
        <f t="shared" ref="L96:L101" si="44">H96-0.2</f>
        <v>147.5</v>
      </c>
      <c r="M96" s="362" t="str">
        <f t="shared" si="42"/>
        <v>I</v>
      </c>
      <c r="N96" s="362" t="str">
        <f t="shared" si="43"/>
        <v>I</v>
      </c>
      <c r="P96" s="537"/>
      <c r="Q96" s="537"/>
      <c r="R96" s="537"/>
      <c r="S96" s="537"/>
      <c r="T96" s="537"/>
      <c r="U96" s="537"/>
      <c r="V96" s="537"/>
      <c r="W96" s="537"/>
      <c r="X96" s="537"/>
      <c r="Y96" s="537"/>
      <c r="Z96" s="537"/>
      <c r="AA96" s="537"/>
      <c r="AB96" s="537"/>
      <c r="AC96" s="537"/>
      <c r="AD96" s="537"/>
      <c r="AE96" s="537"/>
      <c r="AF96" s="537"/>
      <c r="AG96" s="537"/>
      <c r="AH96" s="537"/>
    </row>
    <row r="97" spans="3:34" x14ac:dyDescent="0.25">
      <c r="C97" s="546"/>
      <c r="D97" s="355"/>
      <c r="E97" s="406"/>
      <c r="F97" s="546"/>
      <c r="G97" s="546"/>
      <c r="H97" s="116">
        <v>157.69999999999999</v>
      </c>
      <c r="I97" s="362" t="str">
        <f t="shared" si="40"/>
        <v>II</v>
      </c>
      <c r="J97" s="362" t="str">
        <f t="shared" si="41"/>
        <v>II</v>
      </c>
      <c r="K97" s="626"/>
      <c r="L97" s="116">
        <f t="shared" si="44"/>
        <v>157.5</v>
      </c>
      <c r="M97" s="362" t="str">
        <f t="shared" si="42"/>
        <v>II</v>
      </c>
      <c r="N97" s="362" t="str">
        <f t="shared" si="43"/>
        <v>II</v>
      </c>
      <c r="P97" s="537"/>
      <c r="Q97" s="537"/>
      <c r="R97" s="537"/>
      <c r="S97" s="537"/>
      <c r="T97" s="537"/>
      <c r="U97" s="537"/>
      <c r="V97" s="537"/>
      <c r="W97" s="537"/>
      <c r="X97" s="537"/>
      <c r="Y97" s="537"/>
      <c r="Z97" s="537"/>
      <c r="AA97" s="537"/>
      <c r="AB97" s="537"/>
      <c r="AC97" s="537"/>
      <c r="AD97" s="537"/>
      <c r="AE97" s="537"/>
      <c r="AF97" s="537"/>
      <c r="AG97" s="537"/>
      <c r="AH97" s="537"/>
    </row>
    <row r="98" spans="3:34" x14ac:dyDescent="0.25">
      <c r="C98" s="546"/>
      <c r="D98" s="355"/>
      <c r="E98" s="406"/>
      <c r="F98" s="546"/>
      <c r="G98" s="546"/>
      <c r="H98" s="116">
        <v>206.4</v>
      </c>
      <c r="I98" s="362" t="str">
        <f t="shared" si="40"/>
        <v>III</v>
      </c>
      <c r="J98" s="362" t="str">
        <f t="shared" si="41"/>
        <v>III</v>
      </c>
      <c r="K98" s="626"/>
      <c r="L98" s="116">
        <f t="shared" si="44"/>
        <v>206.20000000000002</v>
      </c>
      <c r="M98" s="362" t="str">
        <f t="shared" si="42"/>
        <v>III</v>
      </c>
      <c r="N98" s="362" t="str">
        <f t="shared" si="43"/>
        <v>III</v>
      </c>
      <c r="P98" s="537"/>
      <c r="Q98" s="537"/>
      <c r="R98" s="537"/>
      <c r="S98" s="537"/>
      <c r="T98" s="537"/>
      <c r="U98" s="537"/>
      <c r="V98" s="537"/>
      <c r="W98" s="537"/>
      <c r="X98" s="537"/>
      <c r="Y98" s="537"/>
      <c r="Z98" s="537"/>
      <c r="AA98" s="537"/>
      <c r="AB98" s="537"/>
      <c r="AC98" s="537"/>
      <c r="AD98" s="537"/>
      <c r="AE98" s="537"/>
      <c r="AF98" s="537"/>
      <c r="AG98" s="537"/>
      <c r="AH98" s="537"/>
    </row>
    <row r="99" spans="3:34" x14ac:dyDescent="0.25">
      <c r="C99" s="546"/>
      <c r="D99" s="355"/>
      <c r="E99" s="406"/>
      <c r="F99" s="546"/>
      <c r="G99" s="546"/>
      <c r="H99" s="115">
        <v>220.2</v>
      </c>
      <c r="I99" s="362" t="str">
        <f t="shared" si="40"/>
        <v>I юн</v>
      </c>
      <c r="J99" s="362" t="str">
        <f t="shared" si="41"/>
        <v>I юн</v>
      </c>
      <c r="K99" s="626"/>
      <c r="L99" s="116">
        <f t="shared" si="44"/>
        <v>220</v>
      </c>
      <c r="M99" s="362" t="str">
        <f t="shared" si="42"/>
        <v>I юн</v>
      </c>
      <c r="N99" s="362" t="str">
        <f t="shared" si="43"/>
        <v>I юн</v>
      </c>
      <c r="P99" s="537"/>
      <c r="Q99" s="537"/>
      <c r="R99" s="537"/>
      <c r="S99" s="537"/>
      <c r="T99" s="537"/>
      <c r="U99" s="537"/>
      <c r="V99" s="537"/>
      <c r="W99" s="537"/>
      <c r="X99" s="537"/>
      <c r="Y99" s="537"/>
      <c r="Z99" s="537"/>
      <c r="AA99" s="537"/>
      <c r="AB99" s="537"/>
      <c r="AC99" s="537"/>
      <c r="AD99" s="537"/>
      <c r="AE99" s="537"/>
      <c r="AF99" s="537"/>
      <c r="AG99" s="537"/>
      <c r="AH99" s="537"/>
    </row>
    <row r="100" spans="3:34" x14ac:dyDescent="0.25">
      <c r="C100" s="546"/>
      <c r="D100" s="355"/>
      <c r="E100" s="406"/>
      <c r="F100" s="546"/>
      <c r="G100" s="546"/>
      <c r="H100" s="115">
        <v>231.4</v>
      </c>
      <c r="I100" s="362" t="str">
        <f t="shared" si="40"/>
        <v>II юн</v>
      </c>
      <c r="J100" s="362" t="str">
        <f t="shared" si="41"/>
        <v>II юн</v>
      </c>
      <c r="K100" s="626"/>
      <c r="L100" s="116">
        <f t="shared" si="44"/>
        <v>231.20000000000002</v>
      </c>
      <c r="M100" s="362" t="str">
        <f t="shared" si="42"/>
        <v>II юн</v>
      </c>
      <c r="N100" s="362" t="str">
        <f t="shared" si="43"/>
        <v>II юн</v>
      </c>
      <c r="P100" s="537"/>
      <c r="Q100" s="537"/>
      <c r="R100" s="537"/>
      <c r="S100" s="537"/>
      <c r="T100" s="537"/>
      <c r="U100" s="537"/>
      <c r="V100" s="537"/>
      <c r="W100" s="537"/>
      <c r="X100" s="537"/>
      <c r="Y100" s="537"/>
      <c r="Z100" s="537"/>
      <c r="AA100" s="537"/>
      <c r="AB100" s="537"/>
      <c r="AC100" s="537"/>
      <c r="AD100" s="537"/>
      <c r="AE100" s="537"/>
      <c r="AF100" s="537"/>
      <c r="AG100" s="537"/>
      <c r="AH100" s="537"/>
    </row>
    <row r="101" spans="3:34" x14ac:dyDescent="0.25">
      <c r="C101" s="546"/>
      <c r="D101" s="355"/>
      <c r="E101" s="406"/>
      <c r="F101" s="546"/>
      <c r="G101" s="546"/>
      <c r="H101" s="115">
        <v>242.4</v>
      </c>
      <c r="I101" s="362" t="str">
        <f>IF(ISBLANK(H101)," ",IF(ISTEXT(H101)," ",IF(H101&lt;=130.89,"МСМК",IF(H101&lt;=136.2,"МС",IF(H101&lt;=141.2,"КМС",IF(H101&lt;=147.7,"I",IF(H101&lt;=157.7,"II",IF(H101&lt;=206.4,"III",IF(H101&lt;=220.2,"I юн",IF(H101&lt;=231.4,"II юн",IF(H101&lt;=242.4,"III юн","б/р")))))))))))</f>
        <v>III юн</v>
      </c>
      <c r="J101" s="362" t="str">
        <f>IF(ISBLANK(H101)," ",IF(ISTEXT(H101)," ",IF(H101&lt;=130.89,"МСМК",IF(H101&lt;=136.2,"МС",IF(H101&lt;=141.2,"КМС",IF(H101&lt;=147.7,"I",IF(H101&lt;=157.7,"II",IF(H101&lt;=206.4,"III",IF(H101&lt;=220.2,"I юн",IF(H101&lt;=231.4,"II юн",IF(H101&lt;=242.4,"III юн","б/р")))))))))))</f>
        <v>III юн</v>
      </c>
      <c r="K101" s="626"/>
      <c r="L101" s="116">
        <f t="shared" si="44"/>
        <v>242.20000000000002</v>
      </c>
      <c r="M101" s="362" t="str">
        <f t="shared" si="42"/>
        <v>III юн</v>
      </c>
      <c r="N101" s="362" t="str">
        <f t="shared" si="43"/>
        <v>III юн</v>
      </c>
      <c r="P101" s="537"/>
      <c r="Q101" s="537"/>
      <c r="R101" s="537"/>
      <c r="S101" s="537"/>
      <c r="T101" s="537"/>
      <c r="U101" s="537"/>
      <c r="V101" s="537"/>
      <c r="W101" s="537"/>
      <c r="X101" s="537"/>
      <c r="Y101" s="537"/>
      <c r="Z101" s="537"/>
      <c r="AA101" s="537"/>
      <c r="AB101" s="537"/>
      <c r="AC101" s="537"/>
      <c r="AD101" s="537"/>
      <c r="AE101" s="537"/>
      <c r="AF101" s="537"/>
      <c r="AG101" s="537"/>
      <c r="AH101" s="537"/>
    </row>
    <row r="102" spans="3:34" x14ac:dyDescent="0.25">
      <c r="C102" s="364"/>
      <c r="D102" s="364"/>
      <c r="E102" s="364"/>
      <c r="F102" s="364"/>
      <c r="G102" s="364"/>
      <c r="H102" s="115"/>
      <c r="I102" s="362" t="str">
        <f>IF(ISBLANK(H102)," ",IF(ISTEXT(H102)," ",IF(H102&lt;=132.9,"МСМК",IF(H102&lt;=137.5,"МС",IF(H102&lt;=142.2,"КМС",IF(H102&lt;=149.6,"I",IF(H102&lt;=158.9,"II",IF(H102&lt;=209.1,"III",IF(H102&lt;=221.2,"I юн",IF(H102&lt;=234.2,"II юн",IF(H102&lt;=247.2,"III юн","б/р")))))))))))</f>
        <v xml:space="preserve"> </v>
      </c>
      <c r="J102" s="362" t="str">
        <f>IF(ISBLANK(H102)," ",IF(ISTEXT(H102)," ",IF(H102&lt;=132.9,"МСМК",IF(H102&lt;=137.5,"МС",IF(H102&lt;=142.2,"КМС",IF(H102&lt;=149.6,"I",IF(H102&lt;=158.9,"II",IF(H102&lt;=209.1,"III",IF(H102&lt;=221.2,"I юн",IF(H102&lt;=234.2,"II юн",IF(H102&lt;=247.2,"III юн","б/р")))))))))))</f>
        <v xml:space="preserve"> </v>
      </c>
      <c r="K102" s="626"/>
      <c r="L102" s="363"/>
      <c r="M102" s="362" t="str">
        <f>IF(ISBLANK(L102)," ",IF(ISTEXT(L102)," ",IF(L102&lt;=132.9,"МСМК",IF(L102&lt;=137.5,"МС",IF(L102&lt;=142.2,"КМС",IF(L102&lt;=149.6,"I",IF(L102&lt;=158.9,"II",IF(L102&lt;=209.1,"III",IF(L102&lt;=221.2,"I юн",IF(L102&lt;=234.2,"II юн",IF(L102&lt;=247.2,"III юн","б/р")))))))))))</f>
        <v xml:space="preserve"> </v>
      </c>
      <c r="N102" s="355" t="str">
        <f>IF(ISBLANK(L102)," ",IF(ISTEXT(L102)," ",IF(L102&lt;=132.9,"МСМК",IF(L102&lt;=137.5,"МС",IF(L102&lt;=142.2,"КМС",IF(L102&lt;=149.6,"I",IF(L102&lt;=158.9,"II",IF(L102&lt;=209.1,"III",IF(L102&lt;=221.2,"I юн",IF(L102&lt;=234.2,"II юн",IF(L102&lt;=247.2,"III юн","б/р")))))))))))</f>
        <v xml:space="preserve"> </v>
      </c>
      <c r="P102" s="528"/>
      <c r="Q102" s="528"/>
      <c r="R102" s="528"/>
      <c r="S102" s="528"/>
      <c r="T102" s="528"/>
      <c r="U102" s="528"/>
      <c r="V102" s="528"/>
      <c r="W102" s="528"/>
      <c r="X102" s="528"/>
      <c r="Y102" s="528"/>
      <c r="Z102" s="528"/>
      <c r="AA102" s="528"/>
      <c r="AB102" s="527"/>
      <c r="AC102" s="527"/>
      <c r="AD102" s="527"/>
      <c r="AE102" s="527"/>
      <c r="AF102" s="527"/>
      <c r="AG102" s="527"/>
      <c r="AH102" s="537"/>
    </row>
    <row r="103" spans="3:34" x14ac:dyDescent="0.25">
      <c r="C103" s="349" t="s">
        <v>80</v>
      </c>
      <c r="D103" s="350"/>
      <c r="E103" s="351"/>
      <c r="F103" s="349"/>
      <c r="G103" s="349"/>
      <c r="H103" s="115"/>
      <c r="I103" s="362"/>
      <c r="J103" s="362"/>
      <c r="K103" s="627"/>
      <c r="P103" s="527"/>
      <c r="Q103" s="527"/>
      <c r="R103" s="527"/>
      <c r="S103" s="527"/>
      <c r="T103" s="527"/>
      <c r="U103" s="527"/>
      <c r="V103" s="527"/>
      <c r="W103" s="527"/>
      <c r="X103" s="527"/>
      <c r="Y103" s="527"/>
      <c r="Z103" s="527"/>
      <c r="AA103" s="527"/>
      <c r="AB103" s="527"/>
      <c r="AC103" s="527"/>
      <c r="AD103" s="527"/>
      <c r="AE103" s="527"/>
      <c r="AF103" s="527"/>
      <c r="AG103" s="527"/>
      <c r="AH103" s="537"/>
    </row>
    <row r="104" spans="3:34" x14ac:dyDescent="0.25">
      <c r="C104" s="546"/>
      <c r="D104" s="355"/>
      <c r="E104" s="406"/>
      <c r="F104" s="546"/>
      <c r="G104" s="546"/>
      <c r="H104" s="116">
        <v>123.2</v>
      </c>
      <c r="I104" s="362" t="str">
        <f t="shared" ref="I104:I111" si="45">IF(ISBLANK(H104)," ",IF(ISTEXT(H104)," ",IF(H104&lt;=123.2,"МСМК",IF(H104&lt;=127.4,"МС",IF(H104&lt;=131.7,"КМС",IF(H104&lt;=138.2,"I",IF(H104&lt;=147.2,"II",IF(H104&lt;=157.7,"III",IF(H104&lt;=207.7,"I юн",IF(H104&lt;=219.5,"II юн",IF(H104&lt;=231.2,"III юн","б/р")))))))))))</f>
        <v>МСМК</v>
      </c>
      <c r="J104" s="362" t="str">
        <f t="shared" ref="J104:J111" si="46">IF(ISBLANK(H104)," ",IF(ISTEXT(H104)," ",IF(H104&lt;=123.2,"МСМК",IF(H104&lt;=127.4,"МС",IF(H104&lt;=131.7,"КМС",IF(H104&lt;=138.2,"I",IF(H104&lt;=147.2,"II",IF(H104&lt;=157.7,"III",IF(H104&lt;=207.7,"I юн",IF(H104&lt;=219.5,"II юн",IF(H104&lt;=231.2,"III юн","б/р")))))))))))</f>
        <v>МСМК</v>
      </c>
      <c r="K104" s="626"/>
      <c r="L104" s="532">
        <f>H104</f>
        <v>123.2</v>
      </c>
      <c r="M104" s="531" t="str">
        <f>IF(ISBLANK(L104)," ",IF(ISTEXT(L104)," ",IF(L104&lt;=123.2,"МСМК",IF(L104&lt;=127.4,"МС",IF(L104&lt;=131.5,"КМС",IF(L104&lt;=138,"I",IF(L104&lt;=147,"II",IF(L104&lt;=155.5,"III",IF(L104&lt;=207.5,"I юн",IF(L104&lt;=219.3,"II юн",IF(L104&lt;=231,"III юн","б/р")))))))))))</f>
        <v>МСМК</v>
      </c>
      <c r="N104" s="531" t="str">
        <f>IF(ISBLANK(L104)," ",IF(ISTEXT(L104)," ",IF(L104&lt;=123.2,"МСМК",IF(L104&lt;=127.4,"МС",IF(L104&lt;=131.5,"КМС",IF(L104&lt;=138,"I",IF(L104&lt;=147,"II",IF(L104&lt;=155.5,"III",IF(L104&lt;=207.5,"I юн",IF(L104&lt;=219.3,"II юн",IF(L104&lt;=231,"III юн","б/р")))))))))))</f>
        <v>МСМК</v>
      </c>
      <c r="P104" s="537"/>
      <c r="Q104" s="537"/>
      <c r="R104" s="537"/>
      <c r="S104" s="537"/>
      <c r="T104" s="537"/>
      <c r="U104" s="537"/>
      <c r="V104" s="537"/>
      <c r="W104" s="537"/>
      <c r="X104" s="537"/>
      <c r="Y104" s="537"/>
      <c r="Z104" s="537"/>
      <c r="AA104" s="537"/>
      <c r="AB104" s="537"/>
      <c r="AC104" s="537"/>
      <c r="AD104" s="537"/>
      <c r="AE104" s="537"/>
      <c r="AF104" s="537"/>
      <c r="AG104" s="537"/>
      <c r="AH104" s="537"/>
    </row>
    <row r="105" spans="3:34" x14ac:dyDescent="0.25">
      <c r="C105" s="546"/>
      <c r="D105" s="355"/>
      <c r="E105" s="406"/>
      <c r="F105" s="546"/>
      <c r="G105" s="546"/>
      <c r="H105" s="116">
        <v>127.4</v>
      </c>
      <c r="I105" s="362" t="str">
        <f t="shared" si="45"/>
        <v>МС</v>
      </c>
      <c r="J105" s="362" t="str">
        <f t="shared" si="46"/>
        <v>МС</v>
      </c>
      <c r="K105" s="626"/>
      <c r="L105" s="532">
        <f>H105</f>
        <v>127.4</v>
      </c>
      <c r="M105" s="531" t="str">
        <f t="shared" ref="M105:M112" si="47">IF(ISBLANK(L105)," ",IF(ISTEXT(L105)," ",IF(L105&lt;=123.2,"МСМК",IF(L105&lt;=127.4,"МС",IF(L105&lt;=131.5,"КМС",IF(L105&lt;=138,"I",IF(L105&lt;=147,"II",IF(L105&lt;=155.5,"III",IF(L105&lt;=207.5,"I юн",IF(L105&lt;=219.3,"II юн",IF(L105&lt;=231,"III юн","б/р")))))))))))</f>
        <v>МС</v>
      </c>
      <c r="N105" s="531" t="str">
        <f t="shared" ref="N105:N112" si="48">IF(ISBLANK(L105)," ",IF(ISTEXT(L105)," ",IF(L105&lt;=123.2,"МСМК",IF(L105&lt;=127.4,"МС",IF(L105&lt;=131.5,"КМС",IF(L105&lt;=138,"I",IF(L105&lt;=147,"II",IF(L105&lt;=155.5,"III",IF(L105&lt;=207.5,"I юн",IF(L105&lt;=219.3,"II юн",IF(L105&lt;=231,"III юн","б/р")))))))))))</f>
        <v>МС</v>
      </c>
      <c r="P105" s="537"/>
      <c r="Q105" s="537"/>
      <c r="R105" s="537"/>
      <c r="S105" s="537"/>
      <c r="T105" s="537"/>
      <c r="U105" s="537"/>
      <c r="V105" s="537"/>
      <c r="W105" s="537"/>
      <c r="X105" s="537"/>
      <c r="Y105" s="537"/>
      <c r="Z105" s="537"/>
      <c r="AA105" s="537"/>
      <c r="AB105" s="537"/>
      <c r="AC105" s="537"/>
      <c r="AD105" s="537"/>
      <c r="AE105" s="537"/>
      <c r="AF105" s="537"/>
      <c r="AG105" s="537"/>
      <c r="AH105" s="537"/>
    </row>
    <row r="106" spans="3:34" x14ac:dyDescent="0.25">
      <c r="C106" s="546"/>
      <c r="D106" s="355"/>
      <c r="E106" s="406"/>
      <c r="F106" s="546"/>
      <c r="G106" s="546"/>
      <c r="H106" s="116">
        <v>131.69999999999999</v>
      </c>
      <c r="I106" s="362" t="str">
        <f t="shared" si="45"/>
        <v>КМС</v>
      </c>
      <c r="J106" s="362" t="str">
        <f t="shared" si="46"/>
        <v>КМС</v>
      </c>
      <c r="K106" s="626"/>
      <c r="L106" s="116">
        <f>H106-0.2</f>
        <v>131.5</v>
      </c>
      <c r="M106" s="362" t="str">
        <f t="shared" si="47"/>
        <v>КМС</v>
      </c>
      <c r="N106" s="362" t="str">
        <f t="shared" si="48"/>
        <v>КМС</v>
      </c>
      <c r="P106" s="537"/>
      <c r="Q106" s="537"/>
      <c r="R106" s="537"/>
      <c r="S106" s="537"/>
      <c r="T106" s="537"/>
      <c r="U106" s="537"/>
      <c r="V106" s="537"/>
      <c r="W106" s="537"/>
      <c r="X106" s="537"/>
      <c r="Y106" s="537"/>
      <c r="Z106" s="537"/>
      <c r="AA106" s="537"/>
      <c r="AB106" s="537"/>
      <c r="AC106" s="537"/>
      <c r="AD106" s="537"/>
      <c r="AE106" s="537"/>
      <c r="AF106" s="537"/>
      <c r="AG106" s="537"/>
      <c r="AH106" s="537"/>
    </row>
    <row r="107" spans="3:34" x14ac:dyDescent="0.25">
      <c r="C107" s="546"/>
      <c r="D107" s="355"/>
      <c r="E107" s="406"/>
      <c r="F107" s="546"/>
      <c r="G107" s="546"/>
      <c r="H107" s="116">
        <v>138.19999999999999</v>
      </c>
      <c r="I107" s="362" t="str">
        <f t="shared" si="45"/>
        <v>I</v>
      </c>
      <c r="J107" s="362" t="str">
        <f t="shared" si="46"/>
        <v>I</v>
      </c>
      <c r="K107" s="626"/>
      <c r="L107" s="116">
        <f t="shared" ref="L107:L112" si="49">H107-0.2</f>
        <v>138</v>
      </c>
      <c r="M107" s="362" t="str">
        <f t="shared" si="47"/>
        <v>I</v>
      </c>
      <c r="N107" s="362" t="str">
        <f t="shared" si="48"/>
        <v>I</v>
      </c>
      <c r="P107" s="537"/>
      <c r="Q107" s="537"/>
      <c r="R107" s="537"/>
      <c r="S107" s="537"/>
      <c r="T107" s="537"/>
      <c r="U107" s="537"/>
      <c r="V107" s="537"/>
      <c r="W107" s="537"/>
      <c r="X107" s="537"/>
      <c r="Y107" s="537"/>
      <c r="Z107" s="537"/>
      <c r="AA107" s="537"/>
      <c r="AB107" s="537"/>
      <c r="AC107" s="537"/>
      <c r="AD107" s="537"/>
      <c r="AE107" s="537"/>
      <c r="AF107" s="537"/>
      <c r="AG107" s="537"/>
      <c r="AH107" s="537"/>
    </row>
    <row r="108" spans="3:34" x14ac:dyDescent="0.25">
      <c r="C108" s="546"/>
      <c r="D108" s="355"/>
      <c r="E108" s="406"/>
      <c r="F108" s="546"/>
      <c r="G108" s="546"/>
      <c r="H108" s="116">
        <v>147.19999999999999</v>
      </c>
      <c r="I108" s="362" t="str">
        <f t="shared" si="45"/>
        <v>II</v>
      </c>
      <c r="J108" s="362" t="str">
        <f t="shared" si="46"/>
        <v>II</v>
      </c>
      <c r="K108" s="626"/>
      <c r="L108" s="116">
        <f t="shared" si="49"/>
        <v>147</v>
      </c>
      <c r="M108" s="362" t="str">
        <f t="shared" si="47"/>
        <v>II</v>
      </c>
      <c r="N108" s="362" t="str">
        <f t="shared" si="48"/>
        <v>II</v>
      </c>
      <c r="P108" s="537"/>
      <c r="Q108" s="537"/>
      <c r="R108" s="537"/>
      <c r="S108" s="537"/>
      <c r="T108" s="537"/>
      <c r="U108" s="537"/>
      <c r="V108" s="537"/>
      <c r="W108" s="537"/>
      <c r="X108" s="537"/>
      <c r="Y108" s="537"/>
      <c r="Z108" s="537"/>
      <c r="AA108" s="537"/>
      <c r="AB108" s="537"/>
      <c r="AC108" s="537"/>
      <c r="AD108" s="537"/>
      <c r="AE108" s="537"/>
      <c r="AF108" s="537"/>
      <c r="AG108" s="537"/>
      <c r="AH108" s="537"/>
    </row>
    <row r="109" spans="3:34" x14ac:dyDescent="0.25">
      <c r="C109" s="546"/>
      <c r="D109" s="355"/>
      <c r="E109" s="406"/>
      <c r="F109" s="546"/>
      <c r="G109" s="546"/>
      <c r="H109" s="116">
        <v>155.69999999999999</v>
      </c>
      <c r="I109" s="362" t="str">
        <f t="shared" si="45"/>
        <v>III</v>
      </c>
      <c r="J109" s="362" t="str">
        <f t="shared" si="46"/>
        <v>III</v>
      </c>
      <c r="K109" s="626"/>
      <c r="L109" s="116">
        <f t="shared" si="49"/>
        <v>155.5</v>
      </c>
      <c r="M109" s="362" t="str">
        <f t="shared" si="47"/>
        <v>III</v>
      </c>
      <c r="N109" s="362" t="str">
        <f t="shared" si="48"/>
        <v>III</v>
      </c>
      <c r="P109" s="537"/>
      <c r="Q109" s="537"/>
      <c r="R109" s="537"/>
      <c r="S109" s="537"/>
      <c r="T109" s="537"/>
      <c r="U109" s="537"/>
      <c r="V109" s="537"/>
      <c r="W109" s="537"/>
      <c r="X109" s="537"/>
      <c r="Y109" s="537"/>
      <c r="Z109" s="537"/>
      <c r="AA109" s="537"/>
      <c r="AB109" s="537"/>
      <c r="AC109" s="537"/>
      <c r="AD109" s="537"/>
      <c r="AE109" s="537"/>
      <c r="AF109" s="537"/>
      <c r="AG109" s="537"/>
      <c r="AH109" s="537"/>
    </row>
    <row r="110" spans="3:34" x14ac:dyDescent="0.25">
      <c r="C110" s="546"/>
      <c r="D110" s="355"/>
      <c r="E110" s="406"/>
      <c r="F110" s="546"/>
      <c r="G110" s="546"/>
      <c r="H110" s="115">
        <v>207.7</v>
      </c>
      <c r="I110" s="362" t="str">
        <f t="shared" si="45"/>
        <v>I юн</v>
      </c>
      <c r="J110" s="362" t="str">
        <f t="shared" si="46"/>
        <v>I юн</v>
      </c>
      <c r="K110" s="626"/>
      <c r="L110" s="116">
        <f t="shared" si="49"/>
        <v>207.5</v>
      </c>
      <c r="M110" s="362" t="str">
        <f t="shared" si="47"/>
        <v>I юн</v>
      </c>
      <c r="N110" s="362" t="str">
        <f t="shared" si="48"/>
        <v>I юн</v>
      </c>
      <c r="P110" s="537"/>
      <c r="Q110" s="537"/>
      <c r="R110" s="537"/>
      <c r="S110" s="537"/>
      <c r="T110" s="537"/>
      <c r="U110" s="537"/>
      <c r="V110" s="537"/>
      <c r="W110" s="537"/>
      <c r="X110" s="537"/>
      <c r="Y110" s="537"/>
      <c r="Z110" s="537"/>
      <c r="AA110" s="537"/>
      <c r="AB110" s="537"/>
      <c r="AC110" s="537"/>
      <c r="AD110" s="537"/>
      <c r="AE110" s="537"/>
      <c r="AF110" s="537"/>
      <c r="AG110" s="537"/>
      <c r="AH110" s="537"/>
    </row>
    <row r="111" spans="3:34" x14ac:dyDescent="0.25">
      <c r="C111" s="546"/>
      <c r="D111" s="355"/>
      <c r="E111" s="406"/>
      <c r="F111" s="546"/>
      <c r="G111" s="546"/>
      <c r="H111" s="115">
        <v>219.5</v>
      </c>
      <c r="I111" s="362" t="str">
        <f t="shared" si="45"/>
        <v>II юн</v>
      </c>
      <c r="J111" s="362" t="str">
        <f t="shared" si="46"/>
        <v>II юн</v>
      </c>
      <c r="K111" s="626"/>
      <c r="L111" s="116">
        <f t="shared" si="49"/>
        <v>219.3</v>
      </c>
      <c r="M111" s="362" t="str">
        <f t="shared" si="47"/>
        <v>II юн</v>
      </c>
      <c r="N111" s="362" t="str">
        <f t="shared" si="48"/>
        <v>II юн</v>
      </c>
      <c r="P111" s="537"/>
      <c r="Q111" s="537"/>
      <c r="R111" s="537"/>
      <c r="S111" s="537"/>
      <c r="T111" s="537"/>
      <c r="U111" s="537"/>
      <c r="V111" s="537"/>
      <c r="W111" s="537"/>
      <c r="X111" s="537"/>
      <c r="Y111" s="537"/>
      <c r="Z111" s="537"/>
      <c r="AA111" s="537"/>
      <c r="AB111" s="537"/>
      <c r="AC111" s="537"/>
      <c r="AD111" s="537"/>
      <c r="AE111" s="537"/>
      <c r="AF111" s="537"/>
      <c r="AG111" s="537"/>
      <c r="AH111" s="537"/>
    </row>
    <row r="112" spans="3:34" x14ac:dyDescent="0.25">
      <c r="C112" s="546"/>
      <c r="D112" s="355"/>
      <c r="E112" s="406"/>
      <c r="F112" s="546"/>
      <c r="G112" s="546"/>
      <c r="H112" s="115">
        <v>231.2</v>
      </c>
      <c r="I112" s="362" t="str">
        <f>IF(ISBLANK(H112)," ",IF(ISTEXT(H112)," ",IF(H112&lt;=123.2,"МСМК",IF(H112&lt;=127.4,"МС",IF(H112&lt;=131.7,"КМС",IF(H112&lt;=138.2,"I",IF(H112&lt;=147.2,"II",IF(H112&lt;=157.7,"III",IF(H112&lt;=207.7,"I юн",IF(H112&lt;=219.5,"II юн",IF(H112&lt;=231.2,"III юн","б/р")))))))))))</f>
        <v>III юн</v>
      </c>
      <c r="J112" s="362" t="str">
        <f>IF(ISBLANK(H112)," ",IF(ISTEXT(H112)," ",IF(H112&lt;=123.2,"МСМК",IF(H112&lt;=127.4,"МС",IF(H112&lt;=131.7,"КМС",IF(H112&lt;=138.2,"I",IF(H112&lt;=147.2,"II",IF(H112&lt;=157.7,"III",IF(H112&lt;=207.7,"I юн",IF(H112&lt;=219.5,"II юн",IF(H112&lt;=231.2,"III юн","б/р")))))))))))</f>
        <v>III юн</v>
      </c>
      <c r="K112" s="626"/>
      <c r="L112" s="116">
        <f t="shared" si="49"/>
        <v>231</v>
      </c>
      <c r="M112" s="362" t="str">
        <f t="shared" si="47"/>
        <v>III юн</v>
      </c>
      <c r="N112" s="362" t="str">
        <f t="shared" si="48"/>
        <v>III юн</v>
      </c>
      <c r="P112" s="537"/>
      <c r="Q112" s="537"/>
      <c r="R112" s="537"/>
      <c r="S112" s="537"/>
      <c r="T112" s="537"/>
      <c r="U112" s="537"/>
      <c r="V112" s="537"/>
      <c r="W112" s="537"/>
      <c r="X112" s="537"/>
      <c r="Y112" s="537"/>
      <c r="Z112" s="537"/>
      <c r="AA112" s="537"/>
      <c r="AB112" s="537"/>
      <c r="AC112" s="537"/>
      <c r="AD112" s="537"/>
      <c r="AE112" s="537"/>
      <c r="AF112" s="537"/>
      <c r="AG112" s="537"/>
      <c r="AH112" s="537"/>
    </row>
    <row r="113" spans="3:34" x14ac:dyDescent="0.25">
      <c r="C113" s="813"/>
      <c r="D113" s="355"/>
      <c r="E113" s="406"/>
      <c r="F113" s="813"/>
      <c r="G113" s="813"/>
      <c r="H113" s="115"/>
      <c r="I113" s="362"/>
      <c r="J113" s="362"/>
      <c r="K113" s="626"/>
      <c r="L113" s="116"/>
      <c r="M113" s="362"/>
      <c r="N113" s="362"/>
      <c r="P113" s="537"/>
      <c r="Q113" s="537"/>
      <c r="R113" s="537"/>
      <c r="S113" s="537"/>
      <c r="T113" s="537"/>
      <c r="U113" s="537"/>
      <c r="V113" s="537"/>
      <c r="W113" s="537"/>
      <c r="X113" s="537"/>
      <c r="Y113" s="537"/>
      <c r="Z113" s="537"/>
      <c r="AA113" s="537"/>
      <c r="AB113" s="537"/>
      <c r="AC113" s="537"/>
      <c r="AD113" s="537"/>
      <c r="AE113" s="537"/>
      <c r="AF113" s="537"/>
      <c r="AG113" s="537"/>
      <c r="AH113" s="537"/>
    </row>
    <row r="114" spans="3:34" x14ac:dyDescent="0.25">
      <c r="C114" s="349" t="s">
        <v>100</v>
      </c>
      <c r="D114" s="364"/>
      <c r="E114" s="364"/>
      <c r="F114" s="364"/>
      <c r="G114" s="364"/>
      <c r="H114" s="363"/>
      <c r="I114" s="363"/>
      <c r="J114" s="364"/>
      <c r="K114" s="627"/>
      <c r="P114" s="537"/>
      <c r="Q114" s="537"/>
      <c r="R114" s="537"/>
      <c r="S114" s="537"/>
      <c r="T114" s="537"/>
      <c r="U114" s="537"/>
      <c r="V114" s="537"/>
      <c r="W114" s="537"/>
      <c r="X114" s="537"/>
      <c r="Y114" s="537"/>
      <c r="Z114" s="537"/>
      <c r="AA114" s="537"/>
      <c r="AB114" s="537"/>
      <c r="AC114" s="537"/>
      <c r="AD114" s="537"/>
      <c r="AE114" s="537"/>
      <c r="AF114" s="537"/>
      <c r="AG114" s="537"/>
      <c r="AH114" s="537"/>
    </row>
    <row r="115" spans="3:34" x14ac:dyDescent="0.25">
      <c r="C115" s="364"/>
      <c r="D115" s="364"/>
      <c r="E115" s="364"/>
      <c r="F115" s="364"/>
      <c r="G115" s="364"/>
      <c r="H115" s="356">
        <v>147.5</v>
      </c>
      <c r="I115" s="362" t="str">
        <f t="shared" ref="I115:I122" si="50">IF(ISBLANK(H115)," ",IF(ISTEXT(H115)," ",IF(H115&lt;=147.5,"МСМК",IF(H115&lt;=152.6,"МС",IF(H115&lt;=157.8,"КМС",IF(H115&lt;=207.5,"I",IF(H115&lt;=216.5,"II",IF(H115&lt;=228.2,"III",IF(H115&lt;=244.2,"I юн",IF(H115&lt;=258.7,"II юн",IF(H115&lt;=312.2,"III юн","б/р")))))))))))</f>
        <v>МСМК</v>
      </c>
      <c r="J115" s="362" t="str">
        <f t="shared" ref="J115:J122" si="51">IF(ISBLANK(H115)," ",IF(ISTEXT(H115)," ",IF(H115&lt;=147.5,"МСМК",IF(H115&lt;=152.6,"МС",IF(H115&lt;=157.8,"КМС",IF(H115&lt;=207.5,"I",IF(H115&lt;=216.5,"II",IF(H115&lt;=228.2,"III",IF(H115&lt;=244.2,"I юн",IF(H115&lt;=258.7,"II юн",IF(H115&lt;=312.2,"III юн","б/р")))))))))))</f>
        <v>МСМК</v>
      </c>
      <c r="K115" s="626"/>
      <c r="L115" s="533">
        <f>H115</f>
        <v>147.5</v>
      </c>
      <c r="M115" s="531" t="str">
        <f t="shared" ref="M115:M122" si="52">IF(ISBLANK(L115)," ",IF(ISTEXT(L115)," ",IF(L115&lt;=147.5,"МСМК",IF(L115&lt;=152.6,"МС",IF(L115&lt;=157.6,"КМС",IF(L115&lt;=207.3,"I",IF(L115&lt;=216.3,"II",IF(L115&lt;=228,"III",IF(L115&lt;=244,"I юн",IF(L115&lt;=258.5,"II юн",IF(L115&lt;=312,"III юн","б/р")))))))))))</f>
        <v>МСМК</v>
      </c>
      <c r="N115" s="531" t="str">
        <f t="shared" ref="N115:N122" si="53">IF(ISBLANK(L115)," ",IF(ISTEXT(L115)," ",IF(L115&lt;=147.5,"МСМК",IF(L115&lt;=152.6,"МС",IF(L115&lt;=157.6,"КМС",IF(L115&lt;=207.3,"I",IF(L115&lt;=216.3,"II",IF(L115&lt;=228,"III",IF(L115&lt;=244,"I юн",IF(L115&lt;=258.5,"II юн",IF(L115&lt;=312,"III юн","б/р")))))))))))</f>
        <v>МСМК</v>
      </c>
      <c r="O115" s="362"/>
      <c r="P115" s="537"/>
      <c r="Q115" s="537"/>
      <c r="R115" s="537"/>
      <c r="S115" s="537"/>
      <c r="T115" s="537"/>
      <c r="U115" s="537"/>
      <c r="V115" s="537"/>
      <c r="W115" s="537"/>
      <c r="X115" s="537"/>
      <c r="Y115" s="537"/>
      <c r="Z115" s="537"/>
      <c r="AA115" s="537"/>
      <c r="AB115" s="537"/>
      <c r="AC115" s="537"/>
      <c r="AD115" s="537"/>
      <c r="AE115" s="537"/>
      <c r="AF115" s="537"/>
      <c r="AG115" s="537"/>
      <c r="AH115" s="537"/>
    </row>
    <row r="116" spans="3:34" x14ac:dyDescent="0.25">
      <c r="C116" s="364"/>
      <c r="D116" s="364"/>
      <c r="E116" s="364"/>
      <c r="F116" s="364"/>
      <c r="G116" s="364"/>
      <c r="H116" s="356">
        <v>152.6</v>
      </c>
      <c r="I116" s="362" t="str">
        <f t="shared" si="50"/>
        <v>МС</v>
      </c>
      <c r="J116" s="362" t="str">
        <f t="shared" si="51"/>
        <v>МС</v>
      </c>
      <c r="K116" s="626"/>
      <c r="L116" s="533">
        <f>H116</f>
        <v>152.6</v>
      </c>
      <c r="M116" s="531" t="str">
        <f t="shared" si="52"/>
        <v>МС</v>
      </c>
      <c r="N116" s="531" t="str">
        <f t="shared" si="53"/>
        <v>МС</v>
      </c>
      <c r="O116" s="362"/>
      <c r="P116" s="537"/>
      <c r="Q116" s="537"/>
      <c r="R116" s="537"/>
      <c r="S116" s="537"/>
      <c r="T116" s="537"/>
      <c r="U116" s="537"/>
      <c r="V116" s="537"/>
      <c r="W116" s="537"/>
      <c r="X116" s="537"/>
      <c r="Y116" s="537"/>
      <c r="Z116" s="537"/>
      <c r="AA116" s="537"/>
      <c r="AB116" s="537"/>
      <c r="AC116" s="537"/>
      <c r="AD116" s="537"/>
      <c r="AE116" s="537"/>
      <c r="AF116" s="537"/>
      <c r="AG116" s="537"/>
      <c r="AH116" s="537"/>
    </row>
    <row r="117" spans="3:34" x14ac:dyDescent="0.25">
      <c r="C117" s="364"/>
      <c r="D117" s="364"/>
      <c r="E117" s="364"/>
      <c r="F117" s="364"/>
      <c r="G117" s="364"/>
      <c r="H117" s="356">
        <v>157.80000000000001</v>
      </c>
      <c r="I117" s="362" t="str">
        <f t="shared" si="50"/>
        <v>КМС</v>
      </c>
      <c r="J117" s="362" t="str">
        <f t="shared" si="51"/>
        <v>КМС</v>
      </c>
      <c r="K117" s="626"/>
      <c r="L117" s="356">
        <f>H117-0.2</f>
        <v>157.60000000000002</v>
      </c>
      <c r="M117" s="362" t="str">
        <f t="shared" si="52"/>
        <v>КМС</v>
      </c>
      <c r="N117" s="362" t="str">
        <f t="shared" si="53"/>
        <v>КМС</v>
      </c>
      <c r="O117" s="362"/>
      <c r="P117" s="537"/>
      <c r="Q117" s="537"/>
      <c r="R117" s="537"/>
      <c r="S117" s="537"/>
      <c r="T117" s="537"/>
      <c r="U117" s="537"/>
      <c r="V117" s="537"/>
      <c r="W117" s="537"/>
      <c r="X117" s="537"/>
      <c r="Y117" s="537"/>
      <c r="Z117" s="537"/>
      <c r="AA117" s="537"/>
      <c r="AB117" s="537"/>
      <c r="AC117" s="537"/>
      <c r="AD117" s="537"/>
      <c r="AE117" s="537"/>
      <c r="AF117" s="537"/>
      <c r="AG117" s="537"/>
      <c r="AH117" s="537"/>
    </row>
    <row r="118" spans="3:34" x14ac:dyDescent="0.25">
      <c r="C118" s="364"/>
      <c r="D118" s="364"/>
      <c r="E118" s="364"/>
      <c r="F118" s="364"/>
      <c r="G118" s="364"/>
      <c r="H118" s="356">
        <v>207.5</v>
      </c>
      <c r="I118" s="362" t="str">
        <f t="shared" si="50"/>
        <v>I</v>
      </c>
      <c r="J118" s="362" t="str">
        <f t="shared" si="51"/>
        <v>I</v>
      </c>
      <c r="K118" s="626"/>
      <c r="L118" s="356">
        <f t="shared" ref="L118:L123" si="54">H118-0.2</f>
        <v>207.3</v>
      </c>
      <c r="M118" s="362" t="str">
        <f t="shared" si="52"/>
        <v>I</v>
      </c>
      <c r="N118" s="362" t="str">
        <f t="shared" si="53"/>
        <v>I</v>
      </c>
      <c r="O118" s="362"/>
      <c r="P118" s="537"/>
      <c r="Q118" s="537"/>
      <c r="R118" s="537"/>
      <c r="S118" s="537"/>
      <c r="T118" s="537"/>
      <c r="U118" s="537"/>
      <c r="V118" s="537"/>
      <c r="W118" s="537"/>
      <c r="X118" s="537"/>
      <c r="Y118" s="537"/>
      <c r="Z118" s="537"/>
      <c r="AA118" s="537"/>
      <c r="AB118" s="537"/>
      <c r="AC118" s="537"/>
      <c r="AD118" s="537"/>
      <c r="AE118" s="537"/>
      <c r="AF118" s="537"/>
      <c r="AG118" s="537"/>
      <c r="AH118" s="537"/>
    </row>
    <row r="119" spans="3:34" x14ac:dyDescent="0.25">
      <c r="C119" s="364"/>
      <c r="D119" s="364"/>
      <c r="E119" s="364"/>
      <c r="F119" s="364"/>
      <c r="G119" s="364"/>
      <c r="H119" s="356">
        <v>216.5</v>
      </c>
      <c r="I119" s="362" t="str">
        <f t="shared" si="50"/>
        <v>II</v>
      </c>
      <c r="J119" s="362" t="str">
        <f t="shared" si="51"/>
        <v>II</v>
      </c>
      <c r="K119" s="626"/>
      <c r="L119" s="356">
        <f t="shared" si="54"/>
        <v>216.3</v>
      </c>
      <c r="M119" s="362" t="str">
        <f t="shared" si="52"/>
        <v>II</v>
      </c>
      <c r="N119" s="362" t="str">
        <f t="shared" si="53"/>
        <v>II</v>
      </c>
      <c r="O119" s="362"/>
      <c r="P119" s="537"/>
      <c r="Q119" s="537"/>
      <c r="R119" s="537"/>
      <c r="S119" s="537"/>
      <c r="T119" s="537"/>
      <c r="U119" s="537"/>
      <c r="V119" s="537"/>
      <c r="W119" s="537"/>
      <c r="X119" s="537"/>
      <c r="Y119" s="537"/>
      <c r="Z119" s="537"/>
      <c r="AA119" s="537"/>
      <c r="AB119" s="537"/>
      <c r="AC119" s="537"/>
      <c r="AD119" s="537"/>
      <c r="AE119" s="537"/>
      <c r="AF119" s="537"/>
      <c r="AG119" s="537"/>
      <c r="AH119" s="537"/>
    </row>
    <row r="120" spans="3:34" x14ac:dyDescent="0.25">
      <c r="C120" s="364"/>
      <c r="D120" s="364"/>
      <c r="E120" s="364"/>
      <c r="F120" s="364"/>
      <c r="G120" s="364"/>
      <c r="H120" s="356">
        <v>228.2</v>
      </c>
      <c r="I120" s="362" t="str">
        <f t="shared" si="50"/>
        <v>III</v>
      </c>
      <c r="J120" s="362" t="str">
        <f t="shared" si="51"/>
        <v>III</v>
      </c>
      <c r="K120" s="626"/>
      <c r="L120" s="356">
        <f t="shared" si="54"/>
        <v>228</v>
      </c>
      <c r="M120" s="362" t="str">
        <f t="shared" si="52"/>
        <v>III</v>
      </c>
      <c r="N120" s="362" t="str">
        <f t="shared" si="53"/>
        <v>III</v>
      </c>
      <c r="O120" s="362"/>
      <c r="P120" s="537"/>
      <c r="Q120" s="537"/>
      <c r="R120" s="537"/>
      <c r="S120" s="537"/>
      <c r="T120" s="537"/>
      <c r="U120" s="537"/>
      <c r="V120" s="537"/>
      <c r="W120" s="537"/>
      <c r="X120" s="537"/>
      <c r="Y120" s="537"/>
      <c r="Z120" s="537"/>
      <c r="AA120" s="537"/>
      <c r="AB120" s="537"/>
      <c r="AC120" s="537"/>
      <c r="AD120" s="537"/>
      <c r="AE120" s="537"/>
      <c r="AF120" s="537"/>
      <c r="AG120" s="537"/>
      <c r="AH120" s="537"/>
    </row>
    <row r="121" spans="3:34" x14ac:dyDescent="0.25">
      <c r="C121" s="364"/>
      <c r="D121" s="364"/>
      <c r="E121" s="364"/>
      <c r="F121" s="364"/>
      <c r="G121" s="364"/>
      <c r="H121" s="115">
        <v>244.2</v>
      </c>
      <c r="I121" s="362" t="str">
        <f t="shared" si="50"/>
        <v>I юн</v>
      </c>
      <c r="J121" s="362" t="str">
        <f t="shared" si="51"/>
        <v>I юн</v>
      </c>
      <c r="K121" s="626"/>
      <c r="L121" s="356">
        <f t="shared" si="54"/>
        <v>244</v>
      </c>
      <c r="M121" s="362" t="str">
        <f t="shared" si="52"/>
        <v>I юн</v>
      </c>
      <c r="N121" s="362" t="str">
        <f t="shared" si="53"/>
        <v>I юн</v>
      </c>
      <c r="O121" s="362"/>
      <c r="P121" s="537"/>
      <c r="Q121" s="537"/>
      <c r="R121" s="537"/>
      <c r="S121" s="537"/>
      <c r="T121" s="537"/>
      <c r="U121" s="537"/>
      <c r="V121" s="537"/>
      <c r="W121" s="537"/>
      <c r="X121" s="537"/>
      <c r="Y121" s="537"/>
      <c r="Z121" s="537"/>
      <c r="AA121" s="537"/>
      <c r="AB121" s="537"/>
      <c r="AC121" s="537"/>
      <c r="AD121" s="537"/>
      <c r="AE121" s="537"/>
      <c r="AF121" s="537"/>
      <c r="AG121" s="537"/>
      <c r="AH121" s="537"/>
    </row>
    <row r="122" spans="3:34" x14ac:dyDescent="0.25">
      <c r="C122" s="364"/>
      <c r="D122" s="364"/>
      <c r="E122" s="364"/>
      <c r="F122" s="364"/>
      <c r="G122" s="364"/>
      <c r="H122" s="115">
        <v>258.7</v>
      </c>
      <c r="I122" s="362" t="str">
        <f t="shared" si="50"/>
        <v>II юн</v>
      </c>
      <c r="J122" s="362" t="str">
        <f t="shared" si="51"/>
        <v>II юн</v>
      </c>
      <c r="K122" s="626"/>
      <c r="L122" s="356">
        <f t="shared" si="54"/>
        <v>258.5</v>
      </c>
      <c r="M122" s="362" t="str">
        <f t="shared" si="52"/>
        <v>II юн</v>
      </c>
      <c r="N122" s="362" t="str">
        <f t="shared" si="53"/>
        <v>II юн</v>
      </c>
      <c r="O122" s="362"/>
      <c r="P122" s="537"/>
      <c r="Q122" s="537"/>
      <c r="R122" s="537"/>
      <c r="S122" s="537"/>
      <c r="T122" s="537"/>
      <c r="U122" s="537"/>
      <c r="V122" s="537"/>
      <c r="W122" s="537"/>
      <c r="X122" s="537"/>
      <c r="Y122" s="537"/>
      <c r="Z122" s="537"/>
      <c r="AA122" s="537"/>
      <c r="AB122" s="537"/>
      <c r="AC122" s="537"/>
      <c r="AD122" s="537"/>
      <c r="AE122" s="537"/>
      <c r="AF122" s="537"/>
      <c r="AG122" s="537"/>
      <c r="AH122" s="537"/>
    </row>
    <row r="123" spans="3:34" x14ac:dyDescent="0.25">
      <c r="C123" s="364"/>
      <c r="D123" s="364"/>
      <c r="E123" s="364"/>
      <c r="F123" s="364"/>
      <c r="G123" s="364"/>
      <c r="H123" s="115">
        <v>312.2</v>
      </c>
      <c r="I123" s="362" t="str">
        <f>IF(ISBLANK(H123)," ",IF(ISTEXT(H123)," ",IF(H123&lt;=147.5,"МСМК",IF(H123&lt;=152.6,"МС",IF(H123&lt;=157.8,"КМС",IF(H123&lt;=207.5,"I",IF(H123&lt;=216.5,"II",IF(H123&lt;=228.2,"III",IF(H123&lt;=244.2,"I юн",IF(H123&lt;=258.7,"II юн",IF(H123&lt;=312.2,"III юн","б/р")))))))))))</f>
        <v>III юн</v>
      </c>
      <c r="J123" s="362" t="str">
        <f>IF(ISBLANK(H123)," ",IF(ISTEXT(H123)," ",IF(H123&lt;=147.5,"МСМК",IF(H123&lt;=152.6,"МС",IF(H123&lt;=157.8,"КМС",IF(H123&lt;=207.5,"I",IF(H123&lt;=216.5,"II",IF(H123&lt;=228.2,"III",IF(H123&lt;=244.2,"I юн",IF(H123&lt;=258.7,"II юн",IF(H123&lt;=312.2,"III юн","б/р")))))))))))</f>
        <v>III юн</v>
      </c>
      <c r="K123" s="626"/>
      <c r="L123" s="356">
        <f t="shared" si="54"/>
        <v>312</v>
      </c>
      <c r="M123" s="362" t="str">
        <f>IF(ISBLANK(L123)," ",IF(ISTEXT(L123)," ",IF(L123&lt;=147.5,"МСМК",IF(L123&lt;=152.6,"МС",IF(L123&lt;=157.6,"КМС",IF(L123&lt;=207.3,"I",IF(L123&lt;=216.3,"II",IF(L123&lt;=228,"III",IF(L123&lt;=244,"I юн",IF(L123&lt;=258.5,"II юн",IF(L123&lt;=312,"III юн","б/р")))))))))))</f>
        <v>III юн</v>
      </c>
      <c r="N123" s="362" t="str">
        <f>IF(ISBLANK(L123)," ",IF(ISTEXT(L123)," ",IF(L123&lt;=147.5,"МСМК",IF(L123&lt;=152.6,"МС",IF(L123&lt;=157.6,"КМС",IF(L123&lt;=207.3,"I",IF(L123&lt;=216.3,"II",IF(L123&lt;=228,"III",IF(L123&lt;=244,"I юн",IF(L123&lt;=258.5,"II юн",IF(L123&lt;=312,"III юн","б/р")))))))))))</f>
        <v>III юн</v>
      </c>
      <c r="O123" s="362"/>
      <c r="P123" s="537"/>
      <c r="Q123" s="537"/>
      <c r="R123" s="537"/>
      <c r="S123" s="537"/>
      <c r="T123" s="537"/>
      <c r="U123" s="537"/>
      <c r="V123" s="537"/>
      <c r="W123" s="537"/>
      <c r="X123" s="537"/>
      <c r="Y123" s="537"/>
      <c r="Z123" s="537"/>
      <c r="AA123" s="537"/>
      <c r="AB123" s="537"/>
      <c r="AC123" s="537"/>
      <c r="AD123" s="537"/>
      <c r="AE123" s="537"/>
      <c r="AF123" s="537"/>
      <c r="AG123" s="537"/>
      <c r="AH123" s="537"/>
    </row>
    <row r="124" spans="3:34" x14ac:dyDescent="0.25">
      <c r="C124" s="364"/>
      <c r="D124" s="364"/>
      <c r="E124" s="364"/>
      <c r="F124" s="364"/>
      <c r="G124" s="364"/>
      <c r="H124" s="356"/>
      <c r="I124" s="362" t="str">
        <f>IF(ISBLANK(H124)," ",IF(ISTEXT(H124)," ",IF(H124&lt;=148.7,"МСМК",IF(H124&lt;=154.7,"МС",IF(H124&lt;=159.8,"КМС",IF(H124&lt;=208.6,"I",IF(H124&lt;=217.7,"II",IF(H124&lt;=229.7,"III","б/р"))))))))</f>
        <v xml:space="preserve"> </v>
      </c>
      <c r="J124" s="362" t="str">
        <f>IF(ISBLANK(H124)," ",IF(ISTEXT(H124)," ",IF(H124&lt;=148.7,"МСМК",IF(H124&lt;=154.7,"МС",IF(H124&lt;=159.8,"КМС",IF(H124&lt;=208.6,"I",IF(H124&lt;=217.7,"II",IF(H124&lt;=229.7,"III","б/р"))))))))</f>
        <v xml:space="preserve"> </v>
      </c>
      <c r="K124" s="626"/>
      <c r="P124" s="528"/>
      <c r="Q124" s="528"/>
      <c r="R124" s="528"/>
      <c r="S124" s="528"/>
      <c r="T124" s="528"/>
      <c r="U124" s="528"/>
      <c r="V124" s="528"/>
      <c r="W124" s="528"/>
      <c r="X124" s="528"/>
      <c r="Y124" s="528"/>
      <c r="Z124" s="528"/>
      <c r="AA124" s="528"/>
      <c r="AB124" s="528"/>
      <c r="AC124" s="528"/>
      <c r="AD124" s="528"/>
      <c r="AE124" s="528"/>
      <c r="AF124" s="528"/>
      <c r="AG124" s="528"/>
      <c r="AH124" s="537"/>
    </row>
    <row r="125" spans="3:34" x14ac:dyDescent="0.25">
      <c r="C125" s="349" t="s">
        <v>101</v>
      </c>
      <c r="D125" s="364"/>
      <c r="E125" s="364"/>
      <c r="F125" s="364"/>
      <c r="G125" s="364"/>
      <c r="H125" s="356"/>
      <c r="I125" s="363"/>
      <c r="J125" s="364"/>
      <c r="K125" s="627"/>
      <c r="P125" s="527"/>
      <c r="Q125" s="527"/>
      <c r="R125" s="527"/>
      <c r="S125" s="527"/>
      <c r="T125" s="527"/>
      <c r="U125" s="527"/>
      <c r="V125" s="527"/>
      <c r="W125" s="527"/>
      <c r="X125" s="527"/>
      <c r="Y125" s="527"/>
      <c r="Z125" s="527"/>
      <c r="AA125" s="527"/>
      <c r="AB125" s="527"/>
      <c r="AC125" s="527"/>
      <c r="AD125" s="527"/>
      <c r="AE125" s="527"/>
      <c r="AF125" s="527"/>
      <c r="AG125" s="527"/>
      <c r="AH125" s="537"/>
    </row>
    <row r="126" spans="3:34" x14ac:dyDescent="0.25">
      <c r="C126" s="364"/>
      <c r="D126" s="364"/>
      <c r="E126" s="364"/>
      <c r="F126" s="364"/>
      <c r="G126" s="364"/>
      <c r="H126" s="356">
        <v>136.5</v>
      </c>
      <c r="I126" s="362" t="str">
        <f t="shared" ref="I126:I133" si="55">IF(ISBLANK(H126)," ",IF(ISTEXT(H126)," ",IF(H126&lt;=136.5,"МСМК",IF(H126&lt;=141.4,"МС",IF(H126&lt;=146,"КМС",IF(H126&lt;=154.8,"I",IF(H126&lt;=204,"II",IF(H126&lt;=214.8,"III",IF(H126&lt;=228.7,"I юн",IF(H126&lt;=242.2,"II юн",IF(H126&lt;=255.2,"III юн","б/р")))))))))))</f>
        <v>МСМК</v>
      </c>
      <c r="J126" s="362" t="str">
        <f t="shared" ref="J126:J133" si="56">IF(ISBLANK(H126)," ",IF(ISTEXT(H126)," ",IF(H126&lt;=136.5,"МСМК",IF(H126&lt;=141.4,"МС",IF(H126&lt;=146,"КМС",IF(H126&lt;=154.8,"I",IF(H126&lt;=204,"II",IF(H126&lt;=214.8,"III",IF(H126&lt;=228.7,"I юн",IF(H126&lt;=242.2,"II юн",IF(H126&lt;=255.2,"III юн","б/р")))))))))))</f>
        <v>МСМК</v>
      </c>
      <c r="K126" s="629"/>
      <c r="L126" s="533">
        <f>H126</f>
        <v>136.5</v>
      </c>
      <c r="M126" s="531" t="str">
        <f t="shared" ref="M126:M133" si="57">IF(ISBLANK(L126)," ",IF(ISTEXT(L126)," ",IF(L126&lt;=136.5,"МСМК",IF(L126&lt;=141.4,"МС",IF(L126&lt;=145.8,"КМС",IF(L126&lt;=154.6,"I",IF(L126&lt;=203.8,"II",IF(L126&lt;=214.6,"III",IF(L126&lt;=228.5,"I юн",IF(L126&lt;=242,"II юн",IF(L126&lt;=255,"III юн","б/р")))))))))))</f>
        <v>МСМК</v>
      </c>
      <c r="N126" s="531" t="str">
        <f t="shared" ref="N126:N133" si="58">IF(ISBLANK(L126)," ",IF(ISTEXT(L126)," ",IF(L126&lt;=136.5,"МСМК",IF(L126&lt;=141.4,"МС",IF(L126&lt;=145.8,"КМС",IF(L126&lt;=154.6,"I",IF(L126&lt;=203.8,"II",IF(L126&lt;=214.6,"III",IF(L126&lt;=228.5,"I юн",IF(L126&lt;=242,"II юн",IF(L126&lt;=255,"III юн","б/р")))))))))))</f>
        <v>МСМК</v>
      </c>
      <c r="O126" s="362"/>
      <c r="P126" s="537"/>
      <c r="Q126" s="537"/>
      <c r="R126" s="537"/>
      <c r="S126" s="537"/>
      <c r="T126" s="537"/>
      <c r="U126" s="537"/>
      <c r="V126" s="537"/>
      <c r="W126" s="537"/>
      <c r="X126" s="537"/>
      <c r="Y126" s="537"/>
      <c r="Z126" s="537"/>
      <c r="AA126" s="537"/>
      <c r="AB126" s="537"/>
      <c r="AC126" s="537"/>
      <c r="AD126" s="537"/>
      <c r="AE126" s="537"/>
      <c r="AF126" s="537"/>
      <c r="AG126" s="537"/>
      <c r="AH126" s="537"/>
    </row>
    <row r="127" spans="3:34" x14ac:dyDescent="0.25">
      <c r="C127" s="364"/>
      <c r="D127" s="364"/>
      <c r="E127" s="364"/>
      <c r="F127" s="364"/>
      <c r="G127" s="364"/>
      <c r="H127" s="356">
        <v>141.4</v>
      </c>
      <c r="I127" s="362" t="str">
        <f t="shared" si="55"/>
        <v>МС</v>
      </c>
      <c r="J127" s="362" t="str">
        <f t="shared" si="56"/>
        <v>МС</v>
      </c>
      <c r="K127" s="629"/>
      <c r="L127" s="533">
        <f>H127</f>
        <v>141.4</v>
      </c>
      <c r="M127" s="531" t="str">
        <f t="shared" si="57"/>
        <v>МС</v>
      </c>
      <c r="N127" s="531" t="str">
        <f t="shared" si="58"/>
        <v>МС</v>
      </c>
      <c r="O127" s="362"/>
      <c r="P127" s="537"/>
      <c r="Q127" s="537"/>
      <c r="R127" s="537"/>
      <c r="S127" s="537"/>
      <c r="T127" s="537"/>
      <c r="U127" s="537"/>
      <c r="V127" s="537"/>
      <c r="W127" s="537"/>
      <c r="X127" s="537"/>
      <c r="Y127" s="537"/>
      <c r="Z127" s="537"/>
      <c r="AA127" s="537"/>
      <c r="AB127" s="537"/>
      <c r="AC127" s="537"/>
      <c r="AD127" s="537"/>
      <c r="AE127" s="537"/>
      <c r="AF127" s="537"/>
      <c r="AG127" s="537"/>
      <c r="AH127" s="537"/>
    </row>
    <row r="128" spans="3:34" x14ac:dyDescent="0.25">
      <c r="C128" s="364"/>
      <c r="D128" s="364"/>
      <c r="E128" s="364"/>
      <c r="F128" s="364"/>
      <c r="G128" s="364"/>
      <c r="H128" s="356">
        <v>146</v>
      </c>
      <c r="I128" s="362" t="str">
        <f t="shared" si="55"/>
        <v>КМС</v>
      </c>
      <c r="J128" s="362" t="str">
        <f t="shared" si="56"/>
        <v>КМС</v>
      </c>
      <c r="K128" s="629"/>
      <c r="L128" s="356">
        <f>H128-0.2</f>
        <v>145.80000000000001</v>
      </c>
      <c r="M128" s="362" t="str">
        <f t="shared" si="57"/>
        <v>КМС</v>
      </c>
      <c r="N128" s="362" t="str">
        <f t="shared" si="58"/>
        <v>КМС</v>
      </c>
      <c r="O128" s="362"/>
      <c r="P128" s="537"/>
      <c r="Q128" s="537"/>
      <c r="R128" s="537"/>
      <c r="S128" s="537"/>
      <c r="T128" s="537"/>
      <c r="U128" s="537"/>
      <c r="V128" s="537"/>
      <c r="W128" s="537"/>
      <c r="X128" s="537"/>
      <c r="Y128" s="537"/>
      <c r="Z128" s="537"/>
      <c r="AA128" s="537"/>
      <c r="AB128" s="537"/>
      <c r="AC128" s="537"/>
      <c r="AD128" s="537"/>
      <c r="AE128" s="537"/>
      <c r="AF128" s="537"/>
      <c r="AG128" s="537"/>
      <c r="AH128" s="537"/>
    </row>
    <row r="129" spans="3:34" x14ac:dyDescent="0.25">
      <c r="C129" s="364"/>
      <c r="D129" s="364"/>
      <c r="E129" s="364"/>
      <c r="F129" s="364"/>
      <c r="G129" s="364"/>
      <c r="H129" s="356">
        <v>154.80000000000001</v>
      </c>
      <c r="I129" s="362" t="str">
        <f t="shared" si="55"/>
        <v>I</v>
      </c>
      <c r="J129" s="362" t="str">
        <f t="shared" si="56"/>
        <v>I</v>
      </c>
      <c r="K129" s="629"/>
      <c r="L129" s="356">
        <f t="shared" ref="L129:L134" si="59">H129-0.2</f>
        <v>154.60000000000002</v>
      </c>
      <c r="M129" s="362" t="str">
        <f t="shared" si="57"/>
        <v>I</v>
      </c>
      <c r="N129" s="362" t="str">
        <f t="shared" si="58"/>
        <v>I</v>
      </c>
      <c r="O129" s="362"/>
      <c r="P129" s="537"/>
      <c r="Q129" s="537"/>
      <c r="R129" s="537"/>
      <c r="S129" s="537"/>
      <c r="T129" s="537"/>
      <c r="U129" s="537"/>
      <c r="V129" s="537"/>
      <c r="W129" s="537"/>
      <c r="X129" s="537"/>
      <c r="Y129" s="537"/>
      <c r="Z129" s="537"/>
      <c r="AA129" s="537"/>
      <c r="AB129" s="537"/>
      <c r="AC129" s="537"/>
      <c r="AD129" s="537"/>
      <c r="AE129" s="537"/>
      <c r="AF129" s="537"/>
      <c r="AG129" s="537"/>
      <c r="AH129" s="537"/>
    </row>
    <row r="130" spans="3:34" x14ac:dyDescent="0.25">
      <c r="C130" s="364"/>
      <c r="D130" s="364"/>
      <c r="E130" s="364"/>
      <c r="F130" s="364"/>
      <c r="G130" s="364"/>
      <c r="H130" s="356">
        <v>204</v>
      </c>
      <c r="I130" s="362" t="str">
        <f t="shared" si="55"/>
        <v>II</v>
      </c>
      <c r="J130" s="362" t="str">
        <f t="shared" si="56"/>
        <v>II</v>
      </c>
      <c r="K130" s="629"/>
      <c r="L130" s="356">
        <f t="shared" si="59"/>
        <v>203.8</v>
      </c>
      <c r="M130" s="362" t="str">
        <f t="shared" si="57"/>
        <v>II</v>
      </c>
      <c r="N130" s="362" t="str">
        <f t="shared" si="58"/>
        <v>II</v>
      </c>
      <c r="O130" s="362"/>
      <c r="P130" s="537"/>
      <c r="Q130" s="537"/>
      <c r="R130" s="537"/>
      <c r="S130" s="537"/>
      <c r="T130" s="537"/>
      <c r="U130" s="537"/>
      <c r="V130" s="537"/>
      <c r="W130" s="537"/>
      <c r="X130" s="537"/>
      <c r="Y130" s="537"/>
      <c r="Z130" s="537"/>
      <c r="AA130" s="537"/>
      <c r="AB130" s="537"/>
      <c r="AC130" s="537"/>
      <c r="AD130" s="537"/>
      <c r="AE130" s="537"/>
      <c r="AF130" s="537"/>
      <c r="AG130" s="537"/>
      <c r="AH130" s="537"/>
    </row>
    <row r="131" spans="3:34" x14ac:dyDescent="0.25">
      <c r="C131" s="364"/>
      <c r="D131" s="364"/>
      <c r="E131" s="364"/>
      <c r="F131" s="364"/>
      <c r="G131" s="364"/>
      <c r="H131" s="356">
        <v>214.8</v>
      </c>
      <c r="I131" s="362" t="str">
        <f t="shared" si="55"/>
        <v>III</v>
      </c>
      <c r="J131" s="362" t="str">
        <f t="shared" si="56"/>
        <v>III</v>
      </c>
      <c r="K131" s="629"/>
      <c r="L131" s="356">
        <f t="shared" si="59"/>
        <v>214.60000000000002</v>
      </c>
      <c r="M131" s="362" t="str">
        <f t="shared" si="57"/>
        <v>III</v>
      </c>
      <c r="N131" s="362" t="str">
        <f t="shared" si="58"/>
        <v>III</v>
      </c>
      <c r="O131" s="362"/>
      <c r="P131" s="537"/>
      <c r="Q131" s="537"/>
      <c r="R131" s="537"/>
      <c r="S131" s="537"/>
      <c r="T131" s="537"/>
      <c r="U131" s="537"/>
      <c r="V131" s="537"/>
      <c r="W131" s="537"/>
      <c r="X131" s="537"/>
      <c r="Y131" s="537"/>
      <c r="Z131" s="537"/>
      <c r="AA131" s="537"/>
      <c r="AB131" s="537"/>
      <c r="AC131" s="537"/>
      <c r="AD131" s="537"/>
      <c r="AE131" s="537"/>
      <c r="AF131" s="537"/>
      <c r="AG131" s="537"/>
      <c r="AH131" s="537"/>
    </row>
    <row r="132" spans="3:34" x14ac:dyDescent="0.25">
      <c r="C132" s="364"/>
      <c r="D132" s="364"/>
      <c r="E132" s="364"/>
      <c r="F132" s="364"/>
      <c r="G132" s="364"/>
      <c r="H132" s="115">
        <v>228.7</v>
      </c>
      <c r="I132" s="362" t="str">
        <f t="shared" si="55"/>
        <v>I юн</v>
      </c>
      <c r="J132" s="362" t="str">
        <f t="shared" si="56"/>
        <v>I юн</v>
      </c>
      <c r="K132" s="629"/>
      <c r="L132" s="356">
        <f t="shared" si="59"/>
        <v>228.5</v>
      </c>
      <c r="M132" s="362" t="str">
        <f t="shared" si="57"/>
        <v>I юн</v>
      </c>
      <c r="N132" s="362" t="str">
        <f t="shared" si="58"/>
        <v>I юн</v>
      </c>
      <c r="O132" s="362"/>
      <c r="P132" s="537"/>
      <c r="Q132" s="537"/>
      <c r="R132" s="537"/>
      <c r="S132" s="537"/>
      <c r="T132" s="537"/>
      <c r="U132" s="537"/>
      <c r="V132" s="537"/>
      <c r="W132" s="537"/>
      <c r="X132" s="537"/>
      <c r="Y132" s="537"/>
      <c r="Z132" s="537"/>
      <c r="AA132" s="537"/>
      <c r="AB132" s="537"/>
      <c r="AC132" s="537"/>
      <c r="AD132" s="537"/>
      <c r="AE132" s="537"/>
      <c r="AF132" s="537"/>
      <c r="AG132" s="537"/>
      <c r="AH132" s="537"/>
    </row>
    <row r="133" spans="3:34" x14ac:dyDescent="0.25">
      <c r="C133" s="364"/>
      <c r="D133" s="364"/>
      <c r="E133" s="364"/>
      <c r="F133" s="364"/>
      <c r="G133" s="364"/>
      <c r="H133" s="115">
        <v>242.2</v>
      </c>
      <c r="I133" s="362" t="str">
        <f t="shared" si="55"/>
        <v>II юн</v>
      </c>
      <c r="J133" s="362" t="str">
        <f t="shared" si="56"/>
        <v>II юн</v>
      </c>
      <c r="K133" s="629"/>
      <c r="L133" s="356">
        <f t="shared" si="59"/>
        <v>242</v>
      </c>
      <c r="M133" s="362" t="str">
        <f t="shared" si="57"/>
        <v>II юн</v>
      </c>
      <c r="N133" s="362" t="str">
        <f t="shared" si="58"/>
        <v>II юн</v>
      </c>
      <c r="O133" s="362"/>
      <c r="P133" s="537"/>
      <c r="Q133" s="537"/>
      <c r="R133" s="537"/>
      <c r="S133" s="537"/>
      <c r="T133" s="537"/>
      <c r="U133" s="537"/>
      <c r="V133" s="537"/>
      <c r="W133" s="537"/>
      <c r="X133" s="537"/>
      <c r="Y133" s="537"/>
      <c r="Z133" s="537"/>
      <c r="AA133" s="537"/>
      <c r="AB133" s="537"/>
      <c r="AC133" s="537"/>
      <c r="AD133" s="537"/>
      <c r="AE133" s="537"/>
      <c r="AF133" s="537"/>
      <c r="AG133" s="537"/>
      <c r="AH133" s="537"/>
    </row>
    <row r="134" spans="3:34" x14ac:dyDescent="0.25">
      <c r="C134" s="364"/>
      <c r="D134" s="364"/>
      <c r="E134" s="364"/>
      <c r="F134" s="364"/>
      <c r="G134" s="364"/>
      <c r="H134" s="115">
        <v>255.2</v>
      </c>
      <c r="I134" s="362" t="str">
        <f>IF(ISBLANK(H134)," ",IF(ISTEXT(H134)," ",IF(H134&lt;=136.5,"МСМК",IF(H134&lt;=141.4,"МС",IF(H134&lt;=146,"КМС",IF(H134&lt;=154.8,"I",IF(H134&lt;=204,"II",IF(H134&lt;=214.8,"III",IF(H134&lt;=228.7,"I юн",IF(H134&lt;=242.2,"II юн",IF(H134&lt;=255.2,"III юн","б/р")))))))))))</f>
        <v>III юн</v>
      </c>
      <c r="J134" s="362" t="str">
        <f>IF(ISBLANK(H134)," ",IF(ISTEXT(H134)," ",IF(H134&lt;=136.5,"МСМК",IF(H134&lt;=141.4,"МС",IF(H134&lt;=146,"КМС",IF(H134&lt;=154.8,"I",IF(H134&lt;=204,"II",IF(H134&lt;=214.8,"III",IF(H134&lt;=228.7,"I юн",IF(H134&lt;=242.2,"II юн",IF(H134&lt;=255.2,"III юн","б/р")))))))))))</f>
        <v>III юн</v>
      </c>
      <c r="K134" s="629"/>
      <c r="L134" s="356">
        <f t="shared" si="59"/>
        <v>255</v>
      </c>
      <c r="M134" s="362" t="str">
        <f>IF(ISBLANK(L134)," ",IF(ISTEXT(L134)," ",IF(L134&lt;=136.5,"МСМК",IF(L134&lt;=141.4,"МС",IF(L134&lt;=145.8,"КМС",IF(L134&lt;=154.6,"I",IF(L134&lt;=203.8,"II",IF(L134&lt;=214.6,"III",IF(L134&lt;=228.5,"I юн",IF(L134&lt;=242,"II юн",IF(L134&lt;=255,"III юн","б/р")))))))))))</f>
        <v>III юн</v>
      </c>
      <c r="N134" s="362" t="str">
        <f>IF(ISBLANK(L134)," ",IF(ISTEXT(L134)," ",IF(L134&lt;=136.5,"МСМК",IF(L134&lt;=141.4,"МС",IF(L134&lt;=145.8,"КМС",IF(L134&lt;=154.6,"I",IF(L134&lt;=203.8,"II",IF(L134&lt;=214.6,"III",IF(L134&lt;=228.5,"I юн",IF(L134&lt;=242,"II юн",IF(L134&lt;=255,"III юн","б/р")))))))))))</f>
        <v>III юн</v>
      </c>
      <c r="O134" s="362"/>
    </row>
    <row r="135" spans="3:34" x14ac:dyDescent="0.25">
      <c r="C135" s="364"/>
      <c r="D135" s="364"/>
      <c r="E135" s="364"/>
      <c r="F135" s="364"/>
      <c r="G135" s="364"/>
      <c r="H135" s="356"/>
      <c r="I135" s="362" t="str">
        <f>IF(ISBLANK(H135)," ",IF(ISTEXT(H135)," ",IF(H135&lt;=138.4,"МСМК",IF(H135&lt;=143.1,"МС",IF(H135&lt;=148.2,"КМС",IF(H135&lt;=156,"I",IF(H135&lt;=205.2,"II",IF(H135&lt;=216.2,"III","б/р"))))))))</f>
        <v xml:space="preserve"> </v>
      </c>
      <c r="J135" s="362" t="str">
        <f>IF(ISBLANK(H135)," ",IF(ISTEXT(H135)," ",IF(H135&lt;=138.4,"МСМК",IF(H135&lt;=143.1,"МС",IF(H135&lt;=148.2,"КМС",IF(H135&lt;=156,"I",IF(H135&lt;=205.2,"II",IF(H135&lt;=216.2,"III","б/р"))))))))</f>
        <v xml:space="preserve"> </v>
      </c>
      <c r="K135" s="629"/>
      <c r="M135" s="362" t="str">
        <f>IF(ISBLANK(L135)," ",IF(ISTEXT(L135)," ",IF(L135&lt;=148.2,"КМС",IF(L135&lt;=156.1,"I",IF(L135&lt;=206,"II",IF(L135&lt;=216.8,"III",IF(L135&lt;=226.6,"I юн",IF(L135&lt;=243.3,"II юн",IF(L135&lt;=257,"III юн","б/р")))))))))</f>
        <v xml:space="preserve"> </v>
      </c>
      <c r="N135" s="362" t="str">
        <f>IF(ISBLANK(L135)," ",IF(ISTEXT(L135)," ",IF(L135&lt;=148.2,"КМС",IF(L135&lt;=156.1,"I",IF(L135&lt;=206,"II",IF(L135&lt;=216.8,"III",IF(L135&lt;=226.6,"I юн",IF(L135&lt;=243.3,"II юн",IF(L135&lt;=257,"III юн","б/р")))))))))</f>
        <v xml:space="preserve"> </v>
      </c>
      <c r="O135" s="362"/>
    </row>
    <row r="136" spans="3:34" x14ac:dyDescent="0.25">
      <c r="C136" s="349" t="s">
        <v>38</v>
      </c>
      <c r="D136" s="350"/>
      <c r="E136" s="351"/>
      <c r="F136" s="349"/>
      <c r="G136" s="349"/>
      <c r="H136" s="352"/>
      <c r="I136" s="356"/>
      <c r="J136" s="349"/>
      <c r="K136" s="628"/>
      <c r="P136" s="537"/>
      <c r="Q136" s="537"/>
      <c r="R136" s="537"/>
      <c r="S136" s="537"/>
      <c r="T136" s="537"/>
      <c r="U136" s="537"/>
      <c r="V136" s="537"/>
      <c r="W136" s="537"/>
      <c r="X136" s="537"/>
      <c r="Y136" s="537"/>
      <c r="Z136" s="537"/>
      <c r="AA136" s="537"/>
      <c r="AB136" s="537"/>
      <c r="AC136" s="537"/>
      <c r="AD136" s="537"/>
      <c r="AE136" s="537"/>
      <c r="AF136" s="537"/>
      <c r="AG136" s="537"/>
      <c r="AH136" s="537"/>
    </row>
    <row r="137" spans="3:34" x14ac:dyDescent="0.25">
      <c r="C137" s="546"/>
      <c r="D137" s="355"/>
      <c r="E137" s="406"/>
      <c r="F137" s="546"/>
      <c r="G137" s="546"/>
      <c r="H137" s="116">
        <v>318.2</v>
      </c>
      <c r="I137" s="362" t="str">
        <f t="shared" ref="I137:I144" si="60">IF(ISBLANK(H137)," ",IF(ISTEXT(H137)," ",IF(H137&lt;=318.2,"МСМК",IF(H137&lt;=328.6,"МС",IF(H137&lt;=338.8,"КМС",IF(H137&lt;=355.4,"I",IF(H137&lt;=413.6,"II",IF(H137&lt;=433.25,"III",IF(H137&lt;=500.2,"I юн",IF(H137&lt;=530.2,"II юн",IF(H137&lt;=555.2,"III юн","б/р")))))))))))</f>
        <v>МСМК</v>
      </c>
      <c r="J137" s="362" t="str">
        <f t="shared" ref="J137:J144" si="61">IF(ISBLANK(H137)," ",IF(ISTEXT(H137)," ",IF(H137&lt;=318.2,"МСМК",IF(H137&lt;=328.6,"МС",IF(H137&lt;=338.8,"КМС",IF(H137&lt;=355.4,"I",IF(H137&lt;=413.6,"II",IF(H137&lt;=433.25,"III",IF(H137&lt;=500.2,"I юн",IF(H137&lt;=530.2,"II юн",IF(H137&lt;=555.2,"III юн","б/р")))))))))))</f>
        <v>МСМК</v>
      </c>
      <c r="K137" s="626"/>
      <c r="L137" s="532">
        <f>H137</f>
        <v>318.2</v>
      </c>
      <c r="M137" s="531" t="str">
        <f>IF(ISBLANK(L137)," ",IF(ISTEXT(L137)," ",IF(L137&lt;=318.2,"МСМК",IF(L137&lt;=328.6,"МС",IF(L137&lt;=338.6,"КМС",IF(L137&lt;=355.2,"I",IF(L137&lt;=413.4,"II",IF(L137&lt;=433,"III",IF(L137&lt;=500,"I юн",IF(L137&lt;=530,"II юн",IF(L137&lt;=555,"III юн","б/р")))))))))))</f>
        <v>МСМК</v>
      </c>
      <c r="N137" s="531" t="str">
        <f>IF(ISBLANK(L137)," ",IF(ISTEXT(L137)," ",IF(L137&lt;=318.2,"МСМК",IF(L137&lt;=328.6,"МС",IF(L137&lt;=338.6,"КМС",IF(L137&lt;=355.2,"I",IF(L137&lt;=413.4,"II",IF(L137&lt;=433,"III",IF(L137&lt;=500,"I юн",IF(L137&lt;=530,"II юн",IF(L137&lt;=555,"III юн","б/р")))))))))))</f>
        <v>МСМК</v>
      </c>
      <c r="P137" s="537"/>
      <c r="Q137" s="537"/>
      <c r="R137" s="537"/>
      <c r="S137" s="537"/>
      <c r="T137" s="537"/>
      <c r="U137" s="537"/>
      <c r="V137" s="537"/>
      <c r="W137" s="537"/>
      <c r="X137" s="537"/>
      <c r="Y137" s="537"/>
      <c r="Z137" s="537"/>
      <c r="AA137" s="537"/>
      <c r="AB137" s="537"/>
      <c r="AC137" s="537"/>
      <c r="AD137" s="537"/>
      <c r="AE137" s="537"/>
      <c r="AF137" s="537"/>
      <c r="AG137" s="537"/>
      <c r="AH137" s="537"/>
    </row>
    <row r="138" spans="3:34" x14ac:dyDescent="0.25">
      <c r="C138" s="546"/>
      <c r="D138" s="355"/>
      <c r="E138" s="406"/>
      <c r="F138" s="546"/>
      <c r="G138" s="546"/>
      <c r="H138" s="116">
        <v>328.6</v>
      </c>
      <c r="I138" s="362" t="str">
        <f t="shared" si="60"/>
        <v>МС</v>
      </c>
      <c r="J138" s="362" t="str">
        <f t="shared" si="61"/>
        <v>МС</v>
      </c>
      <c r="K138" s="626"/>
      <c r="L138" s="532">
        <f>H138</f>
        <v>328.6</v>
      </c>
      <c r="M138" s="531" t="str">
        <f t="shared" ref="M138:M145" si="62">IF(ISBLANK(L138)," ",IF(ISTEXT(L138)," ",IF(L138&lt;=318.2,"МСМК",IF(L138&lt;=328.6,"МС",IF(L138&lt;=338.6,"КМС",IF(L138&lt;=355.2,"I",IF(L138&lt;=413.4,"II",IF(L138&lt;=433,"III",IF(L138&lt;=500,"I юн",IF(L138&lt;=530,"II юн",IF(L138&lt;=555,"III юн","б/р")))))))))))</f>
        <v>МС</v>
      </c>
      <c r="N138" s="531" t="str">
        <f t="shared" ref="N138:N145" si="63">IF(ISBLANK(L138)," ",IF(ISTEXT(L138)," ",IF(L138&lt;=318.2,"МСМК",IF(L138&lt;=328.6,"МС",IF(L138&lt;=338.6,"КМС",IF(L138&lt;=355.2,"I",IF(L138&lt;=413.4,"II",IF(L138&lt;=433,"III",IF(L138&lt;=500,"I юн",IF(L138&lt;=530,"II юн",IF(L138&lt;=555,"III юн","б/р")))))))))))</f>
        <v>МС</v>
      </c>
      <c r="P138" s="537"/>
      <c r="Q138" s="537"/>
      <c r="R138" s="537"/>
      <c r="S138" s="537"/>
      <c r="T138" s="537"/>
      <c r="U138" s="537"/>
      <c r="V138" s="537"/>
      <c r="W138" s="537"/>
      <c r="X138" s="537"/>
      <c r="Y138" s="537"/>
      <c r="Z138" s="537"/>
      <c r="AA138" s="537"/>
      <c r="AB138" s="537"/>
      <c r="AC138" s="537"/>
      <c r="AD138" s="537"/>
      <c r="AE138" s="537"/>
      <c r="AF138" s="537"/>
      <c r="AG138" s="537"/>
      <c r="AH138" s="537"/>
    </row>
    <row r="139" spans="3:34" x14ac:dyDescent="0.25">
      <c r="C139" s="546"/>
      <c r="D139" s="355"/>
      <c r="E139" s="406"/>
      <c r="F139" s="546"/>
      <c r="G139" s="546"/>
      <c r="H139" s="116">
        <v>338.8</v>
      </c>
      <c r="I139" s="362" t="str">
        <f t="shared" si="60"/>
        <v>КМС</v>
      </c>
      <c r="J139" s="362" t="str">
        <f t="shared" si="61"/>
        <v>КМС</v>
      </c>
      <c r="K139" s="626"/>
      <c r="L139" s="116">
        <f>H139-0.2</f>
        <v>338.6</v>
      </c>
      <c r="M139" s="362" t="str">
        <f t="shared" si="62"/>
        <v>КМС</v>
      </c>
      <c r="N139" s="362" t="str">
        <f t="shared" si="63"/>
        <v>КМС</v>
      </c>
      <c r="P139" s="537"/>
      <c r="Q139" s="537"/>
      <c r="R139" s="537"/>
      <c r="S139" s="537"/>
      <c r="T139" s="537"/>
      <c r="U139" s="537"/>
      <c r="V139" s="537"/>
      <c r="W139" s="537"/>
      <c r="X139" s="537"/>
      <c r="Y139" s="537"/>
      <c r="Z139" s="537"/>
      <c r="AA139" s="537"/>
      <c r="AB139" s="537"/>
      <c r="AC139" s="537"/>
      <c r="AD139" s="537"/>
      <c r="AE139" s="537"/>
      <c r="AF139" s="537"/>
      <c r="AG139" s="537"/>
      <c r="AH139" s="537"/>
    </row>
    <row r="140" spans="3:34" x14ac:dyDescent="0.25">
      <c r="C140" s="546"/>
      <c r="D140" s="355"/>
      <c r="E140" s="406"/>
      <c r="F140" s="546"/>
      <c r="G140" s="546"/>
      <c r="H140" s="116">
        <v>355.4</v>
      </c>
      <c r="I140" s="362" t="str">
        <f t="shared" si="60"/>
        <v>I</v>
      </c>
      <c r="J140" s="362" t="str">
        <f t="shared" si="61"/>
        <v>I</v>
      </c>
      <c r="K140" s="626"/>
      <c r="L140" s="116">
        <f t="shared" ref="L140:L145" si="64">H140-0.2</f>
        <v>355.2</v>
      </c>
      <c r="M140" s="362" t="str">
        <f t="shared" si="62"/>
        <v>I</v>
      </c>
      <c r="N140" s="362" t="str">
        <f t="shared" si="63"/>
        <v>I</v>
      </c>
      <c r="P140" s="537"/>
      <c r="Q140" s="537"/>
      <c r="R140" s="537"/>
      <c r="S140" s="537"/>
      <c r="T140" s="537"/>
      <c r="U140" s="537"/>
      <c r="V140" s="537"/>
      <c r="W140" s="537"/>
      <c r="X140" s="537"/>
      <c r="Y140" s="537"/>
      <c r="Z140" s="537"/>
      <c r="AA140" s="537"/>
      <c r="AB140" s="537"/>
      <c r="AC140" s="537"/>
      <c r="AD140" s="537"/>
      <c r="AE140" s="537"/>
      <c r="AF140" s="537"/>
      <c r="AG140" s="537"/>
      <c r="AH140" s="537"/>
    </row>
    <row r="141" spans="3:34" x14ac:dyDescent="0.25">
      <c r="C141" s="546"/>
      <c r="D141" s="355"/>
      <c r="E141" s="406"/>
      <c r="F141" s="546"/>
      <c r="G141" s="546"/>
      <c r="H141" s="116">
        <v>413.6</v>
      </c>
      <c r="I141" s="362" t="str">
        <f t="shared" si="60"/>
        <v>II</v>
      </c>
      <c r="J141" s="362" t="str">
        <f t="shared" si="61"/>
        <v>II</v>
      </c>
      <c r="K141" s="626"/>
      <c r="L141" s="116">
        <f t="shared" si="64"/>
        <v>413.40000000000003</v>
      </c>
      <c r="M141" s="362" t="str">
        <f t="shared" si="62"/>
        <v>II</v>
      </c>
      <c r="N141" s="362" t="str">
        <f t="shared" si="63"/>
        <v>II</v>
      </c>
      <c r="P141" s="537"/>
      <c r="Q141" s="537"/>
      <c r="R141" s="537"/>
      <c r="S141" s="537"/>
      <c r="T141" s="537"/>
      <c r="U141" s="537"/>
      <c r="V141" s="537"/>
      <c r="W141" s="537"/>
      <c r="X141" s="537"/>
      <c r="Y141" s="537"/>
      <c r="Z141" s="537"/>
      <c r="AA141" s="537"/>
      <c r="AB141" s="537"/>
      <c r="AC141" s="537"/>
      <c r="AD141" s="537"/>
      <c r="AE141" s="537"/>
      <c r="AF141" s="537"/>
      <c r="AG141" s="537"/>
      <c r="AH141" s="537"/>
    </row>
    <row r="142" spans="3:34" x14ac:dyDescent="0.25">
      <c r="C142" s="546"/>
      <c r="D142" s="355"/>
      <c r="E142" s="406"/>
      <c r="F142" s="546"/>
      <c r="G142" s="546"/>
      <c r="H142" s="116">
        <v>433.2</v>
      </c>
      <c r="I142" s="362" t="str">
        <f t="shared" si="60"/>
        <v>III</v>
      </c>
      <c r="J142" s="362" t="str">
        <f t="shared" si="61"/>
        <v>III</v>
      </c>
      <c r="K142" s="626"/>
      <c r="L142" s="116">
        <f t="shared" si="64"/>
        <v>433</v>
      </c>
      <c r="M142" s="362" t="str">
        <f t="shared" si="62"/>
        <v>III</v>
      </c>
      <c r="N142" s="362" t="str">
        <f t="shared" si="63"/>
        <v>III</v>
      </c>
      <c r="P142" s="537"/>
      <c r="Q142" s="537"/>
      <c r="R142" s="537"/>
      <c r="S142" s="537"/>
      <c r="T142" s="537"/>
      <c r="U142" s="537"/>
      <c r="V142" s="537"/>
      <c r="W142" s="537"/>
      <c r="X142" s="537"/>
      <c r="Y142" s="537"/>
      <c r="Z142" s="537"/>
      <c r="AA142" s="537"/>
      <c r="AB142" s="537"/>
      <c r="AC142" s="537"/>
      <c r="AD142" s="537"/>
      <c r="AE142" s="537"/>
      <c r="AF142" s="537"/>
      <c r="AG142" s="537"/>
      <c r="AH142" s="537"/>
    </row>
    <row r="143" spans="3:34" x14ac:dyDescent="0.25">
      <c r="C143" s="546"/>
      <c r="D143" s="355"/>
      <c r="E143" s="406"/>
      <c r="F143" s="546"/>
      <c r="G143" s="546"/>
      <c r="H143" s="115">
        <v>500.2</v>
      </c>
      <c r="I143" s="362" t="str">
        <f t="shared" si="60"/>
        <v>I юн</v>
      </c>
      <c r="J143" s="362" t="str">
        <f t="shared" si="61"/>
        <v>I юн</v>
      </c>
      <c r="K143" s="626"/>
      <c r="L143" s="116">
        <f t="shared" si="64"/>
        <v>500</v>
      </c>
      <c r="M143" s="362" t="str">
        <f t="shared" si="62"/>
        <v>I юн</v>
      </c>
      <c r="N143" s="362" t="str">
        <f t="shared" si="63"/>
        <v>I юн</v>
      </c>
      <c r="P143" s="537"/>
      <c r="Q143" s="537"/>
      <c r="R143" s="537"/>
      <c r="S143" s="537"/>
      <c r="T143" s="537"/>
      <c r="U143" s="537"/>
      <c r="V143" s="537"/>
      <c r="W143" s="537"/>
      <c r="X143" s="537"/>
      <c r="Y143" s="537"/>
      <c r="Z143" s="537"/>
      <c r="AA143" s="537"/>
      <c r="AB143" s="537"/>
      <c r="AC143" s="537"/>
      <c r="AD143" s="537"/>
      <c r="AE143" s="537"/>
      <c r="AF143" s="537"/>
      <c r="AG143" s="537"/>
      <c r="AH143" s="537"/>
    </row>
    <row r="144" spans="3:34" x14ac:dyDescent="0.25">
      <c r="C144" s="546"/>
      <c r="D144" s="355"/>
      <c r="E144" s="406"/>
      <c r="F144" s="546"/>
      <c r="G144" s="546"/>
      <c r="H144" s="115">
        <v>530.20000000000005</v>
      </c>
      <c r="I144" s="362" t="str">
        <f t="shared" si="60"/>
        <v>II юн</v>
      </c>
      <c r="J144" s="362" t="str">
        <f t="shared" si="61"/>
        <v>II юн</v>
      </c>
      <c r="K144" s="626"/>
      <c r="L144" s="116">
        <f t="shared" si="64"/>
        <v>530</v>
      </c>
      <c r="M144" s="362" t="str">
        <f t="shared" si="62"/>
        <v>II юн</v>
      </c>
      <c r="N144" s="362" t="str">
        <f t="shared" si="63"/>
        <v>II юн</v>
      </c>
      <c r="P144" s="537"/>
      <c r="Q144" s="537"/>
      <c r="R144" s="537"/>
      <c r="S144" s="537"/>
      <c r="T144" s="537"/>
      <c r="U144" s="537"/>
      <c r="V144" s="537"/>
      <c r="W144" s="537"/>
      <c r="X144" s="537"/>
      <c r="Y144" s="537"/>
      <c r="Z144" s="537"/>
      <c r="AA144" s="537"/>
      <c r="AB144" s="537"/>
      <c r="AC144" s="537"/>
      <c r="AD144" s="537"/>
      <c r="AE144" s="537"/>
      <c r="AF144" s="537"/>
      <c r="AG144" s="537"/>
      <c r="AH144" s="537"/>
    </row>
    <row r="145" spans="3:34" x14ac:dyDescent="0.25">
      <c r="C145" s="546"/>
      <c r="D145" s="355"/>
      <c r="E145" s="406"/>
      <c r="F145" s="546"/>
      <c r="G145" s="546"/>
      <c r="H145" s="115">
        <v>555.20000000000005</v>
      </c>
      <c r="I145" s="362" t="str">
        <f>IF(ISBLANK(H145)," ",IF(ISTEXT(H145)," ",IF(H145&lt;=318.2,"МСМК",IF(H145&lt;=328.6,"МС",IF(H145&lt;=338.8,"КМС",IF(H145&lt;=355.4,"I",IF(H145&lt;=413.6,"II",IF(H145&lt;=433.25,"III",IF(H145&lt;=500.2,"I юн",IF(H145&lt;=530.2,"II юн",IF(H145&lt;=555.2,"III юн","б/р")))))))))))</f>
        <v>III юн</v>
      </c>
      <c r="J145" s="362" t="str">
        <f>IF(ISBLANK(H145)," ",IF(ISTEXT(H145)," ",IF(H145&lt;=318.2,"МСМК",IF(H145&lt;=328.6,"МС",IF(H145&lt;=338.8,"КМС",IF(H145&lt;=355.4,"I",IF(H145&lt;=413.6,"II",IF(H145&lt;=433.25,"III",IF(H145&lt;=500.2,"I юн",IF(H145&lt;=530.2,"II юн",IF(H145&lt;=555.2,"III юн","б/р")))))))))))</f>
        <v>III юн</v>
      </c>
      <c r="K145" s="626"/>
      <c r="L145" s="116">
        <f t="shared" si="64"/>
        <v>555</v>
      </c>
      <c r="M145" s="362" t="str">
        <f t="shared" si="62"/>
        <v>III юн</v>
      </c>
      <c r="N145" s="362" t="str">
        <f t="shared" si="63"/>
        <v>III юн</v>
      </c>
      <c r="P145" s="537"/>
      <c r="Q145" s="537"/>
      <c r="R145" s="537"/>
      <c r="S145" s="537"/>
      <c r="T145" s="537"/>
      <c r="U145" s="537"/>
      <c r="V145" s="537"/>
      <c r="W145" s="537"/>
      <c r="X145" s="537"/>
      <c r="Y145" s="537"/>
      <c r="Z145" s="537"/>
      <c r="AA145" s="537"/>
      <c r="AB145" s="537"/>
      <c r="AC145" s="537"/>
      <c r="AD145" s="537"/>
      <c r="AE145" s="537"/>
      <c r="AF145" s="537"/>
      <c r="AG145" s="537"/>
      <c r="AH145" s="537"/>
    </row>
    <row r="146" spans="3:34" x14ac:dyDescent="0.25">
      <c r="C146" s="546"/>
      <c r="D146" s="355"/>
      <c r="E146" s="406"/>
      <c r="F146" s="546"/>
      <c r="G146" s="546"/>
      <c r="H146" s="115"/>
      <c r="I146" s="362" t="str">
        <f>IF(ISBLANK(H146)," ",IF(ISTEXT(H146)," ",IF(H146&lt;=320.5,"МСМК",IF(H146&lt;=330.5,"МС",IF(H146&lt;=340.6,"КМС",IF(H146&lt;=356.5,"I",IF(H146&lt;=416.5,"II",IF(H146&lt;=438.5,"III",IF(H146&lt;=505,"I юн",IF(H146&lt;=533,"II юн",IF(H146&lt;=601,"III юн","б/р")))))))))))</f>
        <v xml:space="preserve"> </v>
      </c>
      <c r="J146" s="362" t="str">
        <f>IF(ISBLANK(H146)," ",IF(ISTEXT(H146)," ",IF(H146&lt;=320.5,"МСМК",IF(H146&lt;=330.5,"МС",IF(H146&lt;=340.6,"КМС",IF(H146&lt;=356.5,"I",IF(H146&lt;=416.5,"II",IF(H146&lt;=438.5,"III",IF(H146&lt;=505,"I юн",IF(H146&lt;=533,"II юн",IF(H146&lt;=601,"III юн","б/р")))))))))))</f>
        <v xml:space="preserve"> </v>
      </c>
      <c r="K146" s="626"/>
      <c r="P146" s="528"/>
      <c r="Q146" s="528"/>
      <c r="R146" s="528"/>
      <c r="S146" s="528"/>
      <c r="T146" s="528"/>
      <c r="U146" s="528"/>
      <c r="V146" s="528"/>
      <c r="W146" s="528"/>
      <c r="X146" s="528"/>
      <c r="Y146" s="528"/>
      <c r="Z146" s="528"/>
      <c r="AA146" s="528"/>
      <c r="AB146" s="527"/>
      <c r="AC146" s="527"/>
      <c r="AD146" s="527"/>
      <c r="AE146" s="527"/>
      <c r="AF146" s="527"/>
      <c r="AG146" s="527"/>
      <c r="AH146" s="537"/>
    </row>
    <row r="147" spans="3:34" x14ac:dyDescent="0.25">
      <c r="C147" s="349" t="s">
        <v>81</v>
      </c>
      <c r="D147" s="350"/>
      <c r="E147" s="351"/>
      <c r="F147" s="349"/>
      <c r="G147" s="349"/>
      <c r="H147" s="352"/>
      <c r="I147" s="356"/>
      <c r="J147" s="364"/>
      <c r="K147" s="627"/>
      <c r="P147" s="527"/>
      <c r="Q147" s="527"/>
      <c r="R147" s="527"/>
      <c r="S147" s="527"/>
      <c r="T147" s="527"/>
      <c r="U147" s="527"/>
      <c r="V147" s="527"/>
      <c r="W147" s="527"/>
      <c r="X147" s="527"/>
      <c r="Y147" s="527"/>
      <c r="Z147" s="527"/>
      <c r="AA147" s="527"/>
      <c r="AB147" s="527"/>
      <c r="AC147" s="527"/>
      <c r="AD147" s="527"/>
      <c r="AE147" s="527"/>
      <c r="AF147" s="527"/>
      <c r="AG147" s="527"/>
      <c r="AH147" s="537"/>
    </row>
    <row r="148" spans="3:34" x14ac:dyDescent="0.25">
      <c r="C148" s="546"/>
      <c r="D148" s="355"/>
      <c r="E148" s="406"/>
      <c r="F148" s="546"/>
      <c r="G148" s="546"/>
      <c r="H148" s="116">
        <v>304.2</v>
      </c>
      <c r="I148" s="362" t="str">
        <f t="shared" ref="I148:I155" si="65">IF(ISBLANK(H148)," ",IF(ISTEXT(H148)," ",IF(H148&lt;=304.2,"МСМК",IF(H148&lt;=314,"МС",IF(H148&lt;=322.2,"КМС",IF(H148&lt;=337,"I",IF(H148&lt;=355,"II",IF(H148&lt;=413,"III",IF(H148&lt;=441.9,"I юн",IF(H148&lt;=507.8,"II юн",IF(H148&lt;=533.7,"III юн","б/р")))))))))))</f>
        <v>МСМК</v>
      </c>
      <c r="J148" s="362" t="str">
        <f t="shared" ref="J148:J155" si="66">IF(ISBLANK(H148)," ",IF(ISTEXT(H148)," ",IF(H148&lt;=304.2,"МСМК",IF(H148&lt;=314,"МС",IF(H148&lt;=322.2,"КМС",IF(H148&lt;=337,"I",IF(H148&lt;=355,"II",IF(H148&lt;=413,"III",IF(H148&lt;=441.9,"I юн",IF(H148&lt;=507.8,"II юн",IF(H148&lt;=533.7,"III юн","б/р")))))))))))</f>
        <v>МСМК</v>
      </c>
      <c r="K148" s="626"/>
      <c r="L148" s="532">
        <f>H148</f>
        <v>304.2</v>
      </c>
      <c r="M148" s="531" t="str">
        <f>IF(ISBLANK(L148)," ",IF(ISTEXT(L148)," ",IF(L148&lt;=304.2,"МСМК",IF(L148&lt;=314,"МС",IF(L148&lt;=322,"КМС",IF(L148&lt;=336.8,"I",IF(L148&lt;=354.8,"II",IF(L148&lt;=412.8,"III",IF(L148&lt;=441.7,"I юн",IF(L148&lt;=507.6,"II юн",IF(L148&lt;=533.5,"III юн","б/р")))))))))))</f>
        <v>МСМК</v>
      </c>
      <c r="N148" s="531" t="str">
        <f>IF(ISBLANK(L148)," ",IF(ISTEXT(L148)," ",IF(L148&lt;=304.2,"МСМК",IF(L148&lt;=314,"МС",IF(L148&lt;=322,"КМС",IF(L148&lt;=336.8,"I",IF(L148&lt;=354.8,"II",IF(L148&lt;=412.8,"III",IF(L148&lt;=441.7,"I юн",IF(L148&lt;=507.6,"II юн",IF(L148&lt;=533.5,"III юн","б/р")))))))))))</f>
        <v>МСМК</v>
      </c>
      <c r="P148" s="537"/>
      <c r="Q148" s="537"/>
      <c r="R148" s="537"/>
      <c r="S148" s="537"/>
      <c r="T148" s="537"/>
      <c r="U148" s="537"/>
      <c r="V148" s="537"/>
      <c r="W148" s="537"/>
      <c r="X148" s="537"/>
      <c r="Y148" s="537"/>
      <c r="Z148" s="537"/>
      <c r="AA148" s="537"/>
      <c r="AB148" s="537"/>
      <c r="AC148" s="537"/>
      <c r="AD148" s="537"/>
      <c r="AE148" s="537"/>
      <c r="AF148" s="537"/>
      <c r="AG148" s="537"/>
      <c r="AH148" s="537"/>
    </row>
    <row r="149" spans="3:34" x14ac:dyDescent="0.25">
      <c r="C149" s="546"/>
      <c r="D149" s="355"/>
      <c r="E149" s="406"/>
      <c r="F149" s="546"/>
      <c r="G149" s="546"/>
      <c r="H149" s="116">
        <v>314</v>
      </c>
      <c r="I149" s="362" t="str">
        <f t="shared" si="65"/>
        <v>МС</v>
      </c>
      <c r="J149" s="362" t="str">
        <f t="shared" si="66"/>
        <v>МС</v>
      </c>
      <c r="K149" s="626"/>
      <c r="L149" s="532">
        <f>H149</f>
        <v>314</v>
      </c>
      <c r="M149" s="531" t="str">
        <f t="shared" ref="M149:M156" si="67">IF(ISBLANK(L149)," ",IF(ISTEXT(L149)," ",IF(L149&lt;=304.2,"МСМК",IF(L149&lt;=314,"МС",IF(L149&lt;=322,"КМС",IF(L149&lt;=336.8,"I",IF(L149&lt;=354.8,"II",IF(L149&lt;=412.8,"III",IF(L149&lt;=441.7,"I юн",IF(L149&lt;=507.6,"II юн",IF(L149&lt;=533.5,"III юн","б/р")))))))))))</f>
        <v>МС</v>
      </c>
      <c r="N149" s="531" t="str">
        <f t="shared" ref="N149:N156" si="68">IF(ISBLANK(L149)," ",IF(ISTEXT(L149)," ",IF(L149&lt;=304.2,"МСМК",IF(L149&lt;=314,"МС",IF(L149&lt;=322,"КМС",IF(L149&lt;=336.8,"I",IF(L149&lt;=354.8,"II",IF(L149&lt;=412.8,"III",IF(L149&lt;=441.7,"I юн",IF(L149&lt;=507.6,"II юн",IF(L149&lt;=533.5,"III юн","б/р")))))))))))</f>
        <v>МС</v>
      </c>
      <c r="P149" s="537"/>
      <c r="Q149" s="537"/>
      <c r="R149" s="537"/>
      <c r="S149" s="537"/>
      <c r="T149" s="537"/>
      <c r="U149" s="537"/>
      <c r="V149" s="537"/>
      <c r="W149" s="537"/>
      <c r="X149" s="537"/>
      <c r="Y149" s="537"/>
      <c r="Z149" s="537"/>
      <c r="AA149" s="537"/>
      <c r="AB149" s="537"/>
      <c r="AC149" s="537"/>
      <c r="AD149" s="537"/>
      <c r="AE149" s="537"/>
      <c r="AF149" s="537"/>
      <c r="AG149" s="537"/>
      <c r="AH149" s="537"/>
    </row>
    <row r="150" spans="3:34" x14ac:dyDescent="0.25">
      <c r="C150" s="546"/>
      <c r="D150" s="355"/>
      <c r="E150" s="406"/>
      <c r="F150" s="546"/>
      <c r="G150" s="546"/>
      <c r="H150" s="116">
        <v>322.2</v>
      </c>
      <c r="I150" s="362" t="str">
        <f t="shared" si="65"/>
        <v>КМС</v>
      </c>
      <c r="J150" s="362" t="str">
        <f t="shared" si="66"/>
        <v>КМС</v>
      </c>
      <c r="K150" s="626"/>
      <c r="L150" s="116">
        <f>H150-0.2</f>
        <v>322</v>
      </c>
      <c r="M150" s="362" t="str">
        <f t="shared" si="67"/>
        <v>КМС</v>
      </c>
      <c r="N150" s="362" t="str">
        <f t="shared" si="68"/>
        <v>КМС</v>
      </c>
      <c r="P150" s="537"/>
      <c r="Q150" s="537"/>
      <c r="R150" s="537"/>
      <c r="S150" s="537"/>
      <c r="T150" s="537"/>
      <c r="U150" s="537"/>
      <c r="V150" s="537"/>
      <c r="W150" s="537"/>
      <c r="X150" s="537"/>
      <c r="Y150" s="537"/>
      <c r="Z150" s="537"/>
      <c r="AA150" s="537"/>
      <c r="AB150" s="537"/>
      <c r="AC150" s="537"/>
      <c r="AD150" s="537"/>
      <c r="AE150" s="537"/>
      <c r="AF150" s="537"/>
      <c r="AG150" s="537"/>
      <c r="AH150" s="537"/>
    </row>
    <row r="151" spans="3:34" x14ac:dyDescent="0.25">
      <c r="C151" s="546"/>
      <c r="D151" s="355"/>
      <c r="E151" s="406"/>
      <c r="F151" s="546"/>
      <c r="G151" s="546"/>
      <c r="H151" s="116">
        <v>337</v>
      </c>
      <c r="I151" s="362" t="str">
        <f t="shared" si="65"/>
        <v>I</v>
      </c>
      <c r="J151" s="362" t="str">
        <f t="shared" si="66"/>
        <v>I</v>
      </c>
      <c r="K151" s="626"/>
      <c r="L151" s="116">
        <f t="shared" ref="L151:L156" si="69">H151-0.2</f>
        <v>336.8</v>
      </c>
      <c r="M151" s="362" t="str">
        <f t="shared" si="67"/>
        <v>I</v>
      </c>
      <c r="N151" s="362" t="str">
        <f t="shared" si="68"/>
        <v>I</v>
      </c>
      <c r="P151" s="537"/>
      <c r="Q151" s="537"/>
      <c r="R151" s="537"/>
      <c r="S151" s="537"/>
      <c r="T151" s="537"/>
      <c r="U151" s="537"/>
      <c r="V151" s="537"/>
      <c r="W151" s="537"/>
      <c r="X151" s="537"/>
      <c r="Y151" s="537"/>
      <c r="Z151" s="537"/>
      <c r="AA151" s="537"/>
      <c r="AB151" s="537"/>
      <c r="AC151" s="537"/>
      <c r="AD151" s="537"/>
      <c r="AE151" s="537"/>
      <c r="AF151" s="537"/>
      <c r="AG151" s="537"/>
      <c r="AH151" s="537"/>
    </row>
    <row r="152" spans="3:34" x14ac:dyDescent="0.25">
      <c r="C152" s="546"/>
      <c r="D152" s="355"/>
      <c r="E152" s="406"/>
      <c r="F152" s="546"/>
      <c r="G152" s="546"/>
      <c r="H152" s="116">
        <v>355</v>
      </c>
      <c r="I152" s="362" t="str">
        <f t="shared" si="65"/>
        <v>II</v>
      </c>
      <c r="J152" s="362" t="str">
        <f t="shared" si="66"/>
        <v>II</v>
      </c>
      <c r="K152" s="626"/>
      <c r="L152" s="116">
        <f t="shared" si="69"/>
        <v>354.8</v>
      </c>
      <c r="M152" s="362" t="str">
        <f t="shared" si="67"/>
        <v>II</v>
      </c>
      <c r="N152" s="362" t="str">
        <f t="shared" si="68"/>
        <v>II</v>
      </c>
      <c r="P152" s="537"/>
      <c r="Q152" s="537"/>
      <c r="R152" s="537"/>
      <c r="S152" s="537"/>
      <c r="T152" s="537"/>
      <c r="U152" s="537"/>
      <c r="V152" s="537"/>
      <c r="W152" s="537"/>
      <c r="X152" s="537"/>
      <c r="Y152" s="537"/>
      <c r="Z152" s="537"/>
      <c r="AA152" s="537"/>
      <c r="AB152" s="537"/>
      <c r="AC152" s="537"/>
      <c r="AD152" s="537"/>
      <c r="AE152" s="537"/>
      <c r="AF152" s="537"/>
      <c r="AG152" s="537"/>
      <c r="AH152" s="537"/>
    </row>
    <row r="153" spans="3:34" x14ac:dyDescent="0.25">
      <c r="C153" s="546"/>
      <c r="D153" s="355"/>
      <c r="E153" s="406"/>
      <c r="F153" s="546"/>
      <c r="G153" s="546"/>
      <c r="H153" s="116">
        <v>413</v>
      </c>
      <c r="I153" s="362" t="str">
        <f t="shared" si="65"/>
        <v>III</v>
      </c>
      <c r="J153" s="362" t="str">
        <f t="shared" si="66"/>
        <v>III</v>
      </c>
      <c r="K153" s="626"/>
      <c r="L153" s="116">
        <f t="shared" si="69"/>
        <v>412.8</v>
      </c>
      <c r="M153" s="362" t="str">
        <f t="shared" si="67"/>
        <v>III</v>
      </c>
      <c r="N153" s="362" t="str">
        <f t="shared" si="68"/>
        <v>III</v>
      </c>
      <c r="P153" s="537"/>
      <c r="Q153" s="537"/>
      <c r="R153" s="537"/>
      <c r="S153" s="537"/>
      <c r="T153" s="537"/>
      <c r="U153" s="537"/>
      <c r="V153" s="537"/>
      <c r="W153" s="537"/>
      <c r="X153" s="537"/>
      <c r="Y153" s="537"/>
      <c r="Z153" s="537"/>
      <c r="AA153" s="537"/>
      <c r="AB153" s="537"/>
      <c r="AC153" s="537"/>
      <c r="AD153" s="537"/>
      <c r="AE153" s="537"/>
      <c r="AF153" s="537"/>
      <c r="AG153" s="537"/>
      <c r="AH153" s="537"/>
    </row>
    <row r="154" spans="3:34" x14ac:dyDescent="0.25">
      <c r="C154" s="546"/>
      <c r="D154" s="355"/>
      <c r="E154" s="406"/>
      <c r="F154" s="546"/>
      <c r="G154" s="546"/>
      <c r="H154" s="115">
        <v>441.9</v>
      </c>
      <c r="I154" s="362" t="str">
        <f t="shared" si="65"/>
        <v>I юн</v>
      </c>
      <c r="J154" s="362" t="str">
        <f t="shared" si="66"/>
        <v>I юн</v>
      </c>
      <c r="K154" s="626"/>
      <c r="L154" s="116">
        <f t="shared" si="69"/>
        <v>441.7</v>
      </c>
      <c r="M154" s="362" t="str">
        <f t="shared" si="67"/>
        <v>I юн</v>
      </c>
      <c r="N154" s="362" t="str">
        <f t="shared" si="68"/>
        <v>I юн</v>
      </c>
      <c r="P154" s="537"/>
      <c r="Q154" s="537"/>
      <c r="R154" s="537"/>
      <c r="S154" s="537"/>
      <c r="T154" s="537"/>
      <c r="U154" s="537"/>
      <c r="V154" s="537"/>
      <c r="W154" s="537"/>
      <c r="X154" s="537"/>
      <c r="Y154" s="537"/>
      <c r="Z154" s="537"/>
      <c r="AA154" s="537"/>
      <c r="AB154" s="537"/>
      <c r="AC154" s="537"/>
      <c r="AD154" s="537"/>
      <c r="AE154" s="537"/>
      <c r="AF154" s="537"/>
      <c r="AG154" s="537"/>
      <c r="AH154" s="537"/>
    </row>
    <row r="155" spans="3:34" x14ac:dyDescent="0.25">
      <c r="C155" s="546"/>
      <c r="D155" s="355"/>
      <c r="E155" s="406"/>
      <c r="F155" s="546"/>
      <c r="G155" s="546"/>
      <c r="H155" s="115">
        <v>507.8</v>
      </c>
      <c r="I155" s="362" t="str">
        <f t="shared" si="65"/>
        <v>II юн</v>
      </c>
      <c r="J155" s="362" t="str">
        <f t="shared" si="66"/>
        <v>II юн</v>
      </c>
      <c r="K155" s="626"/>
      <c r="L155" s="116">
        <f t="shared" si="69"/>
        <v>507.6</v>
      </c>
      <c r="M155" s="362" t="str">
        <f t="shared" si="67"/>
        <v>II юн</v>
      </c>
      <c r="N155" s="362" t="str">
        <f t="shared" si="68"/>
        <v>II юн</v>
      </c>
      <c r="P155" s="537"/>
      <c r="Q155" s="537"/>
      <c r="R155" s="537"/>
      <c r="S155" s="537"/>
      <c r="T155" s="537"/>
      <c r="U155" s="537"/>
      <c r="V155" s="537"/>
      <c r="W155" s="537"/>
      <c r="X155" s="537"/>
      <c r="Y155" s="537"/>
      <c r="Z155" s="537"/>
      <c r="AA155" s="537"/>
      <c r="AB155" s="537"/>
      <c r="AC155" s="537"/>
      <c r="AD155" s="537"/>
      <c r="AE155" s="537"/>
      <c r="AF155" s="537"/>
      <c r="AG155" s="537"/>
      <c r="AH155" s="537"/>
    </row>
    <row r="156" spans="3:34" x14ac:dyDescent="0.25">
      <c r="C156" s="546"/>
      <c r="D156" s="355"/>
      <c r="E156" s="406"/>
      <c r="F156" s="546"/>
      <c r="G156" s="546"/>
      <c r="H156" s="115">
        <v>533.70000000000005</v>
      </c>
      <c r="I156" s="362" t="str">
        <f>IF(ISBLANK(H156)," ",IF(ISTEXT(H156)," ",IF(H156&lt;=304.2,"МСМК",IF(H156&lt;=314,"МС",IF(H156&lt;=322.2,"КМС",IF(H156&lt;=337,"I",IF(H156&lt;=355,"II",IF(H156&lt;=413,"III",IF(H156&lt;=441.9,"I юн",IF(H156&lt;=507.8,"II юн",IF(H156&lt;=533.7,"III юн","б/р")))))))))))</f>
        <v>III юн</v>
      </c>
      <c r="J156" s="362" t="str">
        <f>IF(ISBLANK(H156)," ",IF(ISTEXT(H156)," ",IF(H156&lt;=304.2,"МСМК",IF(H156&lt;=314,"МС",IF(H156&lt;=322.2,"КМС",IF(H156&lt;=337,"I",IF(H156&lt;=355,"II",IF(H156&lt;=413,"III",IF(H156&lt;=441.9,"I юн",IF(H156&lt;=507.8,"II юн",IF(H156&lt;=533.7,"III юн","б/р")))))))))))</f>
        <v>III юн</v>
      </c>
      <c r="K156" s="626"/>
      <c r="L156" s="116">
        <f t="shared" si="69"/>
        <v>533.5</v>
      </c>
      <c r="M156" s="362" t="str">
        <f t="shared" si="67"/>
        <v>III юн</v>
      </c>
      <c r="N156" s="362" t="str">
        <f t="shared" si="68"/>
        <v>III юн</v>
      </c>
      <c r="P156" s="537"/>
      <c r="Q156" s="537"/>
      <c r="R156" s="537"/>
      <c r="S156" s="537"/>
      <c r="T156" s="537"/>
      <c r="U156" s="537"/>
      <c r="V156" s="537"/>
      <c r="W156" s="537"/>
      <c r="X156" s="537"/>
      <c r="Y156" s="537"/>
      <c r="Z156" s="537"/>
      <c r="AA156" s="537"/>
      <c r="AB156" s="537"/>
      <c r="AC156" s="537"/>
      <c r="AD156" s="537"/>
      <c r="AE156" s="537"/>
      <c r="AF156" s="537"/>
      <c r="AG156" s="537"/>
      <c r="AH156" s="537"/>
    </row>
    <row r="157" spans="3:34" x14ac:dyDescent="0.25">
      <c r="C157" s="813"/>
      <c r="D157" s="355"/>
      <c r="E157" s="406"/>
      <c r="F157" s="813"/>
      <c r="G157" s="813"/>
      <c r="H157" s="115"/>
      <c r="I157" s="362"/>
      <c r="J157" s="362"/>
      <c r="K157" s="626"/>
      <c r="L157" s="116"/>
      <c r="M157" s="362"/>
      <c r="N157" s="362"/>
      <c r="P157" s="537"/>
      <c r="Q157" s="537"/>
      <c r="R157" s="537"/>
      <c r="S157" s="537"/>
      <c r="T157" s="537"/>
      <c r="U157" s="537"/>
      <c r="V157" s="537"/>
      <c r="W157" s="537"/>
      <c r="X157" s="537"/>
      <c r="Y157" s="537"/>
      <c r="Z157" s="537"/>
      <c r="AA157" s="537"/>
      <c r="AB157" s="537"/>
      <c r="AC157" s="537"/>
      <c r="AD157" s="537"/>
      <c r="AE157" s="537"/>
      <c r="AF157" s="537"/>
      <c r="AG157" s="537"/>
      <c r="AH157" s="537"/>
    </row>
    <row r="158" spans="3:34" x14ac:dyDescent="0.25">
      <c r="C158" s="349" t="s">
        <v>1025</v>
      </c>
      <c r="D158" s="364"/>
      <c r="E158" s="364"/>
      <c r="F158" s="364"/>
      <c r="G158" s="364"/>
      <c r="H158" s="363"/>
      <c r="I158" s="363"/>
      <c r="J158" s="364"/>
      <c r="K158" s="627"/>
      <c r="P158" s="537"/>
      <c r="Q158" s="537"/>
      <c r="R158" s="537"/>
      <c r="S158" s="537"/>
      <c r="T158" s="537"/>
      <c r="U158" s="537"/>
      <c r="V158" s="537"/>
      <c r="W158" s="537"/>
      <c r="X158" s="537"/>
      <c r="Y158" s="537"/>
      <c r="Z158" s="537"/>
      <c r="AA158" s="537"/>
      <c r="AB158" s="537"/>
      <c r="AC158" s="537"/>
      <c r="AD158" s="537"/>
      <c r="AE158" s="537"/>
      <c r="AF158" s="537"/>
      <c r="AG158" s="537"/>
      <c r="AH158" s="537"/>
    </row>
    <row r="159" spans="3:34" x14ac:dyDescent="0.25">
      <c r="C159" s="364"/>
      <c r="D159" s="364"/>
      <c r="E159" s="364"/>
      <c r="F159" s="364"/>
      <c r="G159" s="364"/>
      <c r="H159" s="356">
        <v>349</v>
      </c>
      <c r="I159" s="362" t="str">
        <f t="shared" ref="I159:I166" si="70">IF(ISBLANK(H159)," ",IF(ISTEXT(H159)," ",IF(H159&lt;=349,"МСМК",IF(H159&lt;=404.4,"МС",IF(H159&lt;=414.2,"КМС",IF(H159&lt;=430.2,"I",IF(H159&lt;=448.2,"II",IF(H159&lt;=508.2,"III",IF(H159&lt;=534.2,"I юн",IF(H159&lt;=601.2,"II юн",IF(H159&lt;=630.2,"III юн","б/р")))))))))))</f>
        <v>МСМК</v>
      </c>
      <c r="J159" s="362" t="str">
        <f t="shared" ref="J159:J166" si="71">IF(ISBLANK(H159)," ",IF(ISTEXT(H159)," ",IF(H159&lt;=349,"МСМК",IF(H159&lt;=404.4,"МС",IF(H159&lt;=414.2,"КМС",IF(H159&lt;=430.2,"I",IF(H159&lt;=448.2,"II",IF(H159&lt;=508.2,"III",IF(H159&lt;=534.2,"I юн",IF(H159&lt;=601.2,"II юн",IF(H159&lt;=630.2,"III юн","б/р")))))))))))</f>
        <v>МСМК</v>
      </c>
      <c r="K159" s="626"/>
      <c r="L159" s="533">
        <f>H159</f>
        <v>349</v>
      </c>
      <c r="M159" s="531" t="str">
        <f t="shared" ref="M159:M166" si="72">IF(ISBLANK(L159)," ",IF(ISTEXT(L159)," ",IF(L159&lt;=349,"МСМК",IF(L159&lt;=404.4,"МС",IF(L159&lt;=414,"КМС",IF(L159&lt;=430,"I",IF(L159&lt;=448,"II",IF(L159&lt;=508,"III",IF(L159&lt;=534,"I юн",IF(L159&lt;=601,"II юн",IF(L159&lt;=630,"III юн","б/р")))))))))))</f>
        <v>МСМК</v>
      </c>
      <c r="N159" s="531" t="str">
        <f t="shared" ref="N159:N166" si="73">IF(ISBLANK(L159)," ",IF(ISTEXT(L159)," ",IF(L159&lt;=349,"МСМК",IF(L159&lt;=404.4,"МС",IF(L159&lt;=414,"КМС",IF(L159&lt;=430,"I",IF(L159&lt;=448,"II",IF(L159&lt;=508,"III",IF(L159&lt;=534,"I юн",IF(L159&lt;=601,"II юн",IF(L159&lt;=630,"III юн","б/р")))))))))))</f>
        <v>МСМК</v>
      </c>
      <c r="O159" s="362"/>
      <c r="P159" s="537"/>
      <c r="Q159" s="537"/>
      <c r="R159" s="537"/>
      <c r="S159" s="537"/>
      <c r="T159" s="537"/>
      <c r="U159" s="537"/>
      <c r="V159" s="537"/>
      <c r="W159" s="537"/>
      <c r="X159" s="537"/>
      <c r="Y159" s="537"/>
      <c r="Z159" s="537"/>
      <c r="AA159" s="537"/>
      <c r="AB159" s="537"/>
      <c r="AC159" s="537"/>
      <c r="AD159" s="537"/>
      <c r="AE159" s="537"/>
      <c r="AF159" s="537"/>
      <c r="AG159" s="537"/>
      <c r="AH159" s="537"/>
    </row>
    <row r="160" spans="3:34" x14ac:dyDescent="0.25">
      <c r="C160" s="364"/>
      <c r="D160" s="364"/>
      <c r="E160" s="364"/>
      <c r="F160" s="364"/>
      <c r="G160" s="364"/>
      <c r="H160" s="356">
        <v>404.4</v>
      </c>
      <c r="I160" s="362" t="str">
        <f t="shared" si="70"/>
        <v>МС</v>
      </c>
      <c r="J160" s="362" t="str">
        <f t="shared" si="71"/>
        <v>МС</v>
      </c>
      <c r="K160" s="626"/>
      <c r="L160" s="533">
        <f>H160</f>
        <v>404.4</v>
      </c>
      <c r="M160" s="531" t="str">
        <f t="shared" si="72"/>
        <v>МС</v>
      </c>
      <c r="N160" s="531" t="str">
        <f t="shared" si="73"/>
        <v>МС</v>
      </c>
      <c r="O160" s="362"/>
      <c r="P160" s="537"/>
      <c r="Q160" s="537"/>
      <c r="R160" s="537"/>
      <c r="S160" s="537"/>
      <c r="T160" s="537"/>
      <c r="U160" s="537"/>
      <c r="V160" s="537"/>
      <c r="W160" s="537"/>
      <c r="X160" s="537"/>
      <c r="Y160" s="537"/>
      <c r="Z160" s="537"/>
      <c r="AA160" s="537"/>
      <c r="AB160" s="537"/>
      <c r="AC160" s="537"/>
      <c r="AD160" s="537"/>
      <c r="AE160" s="537"/>
      <c r="AF160" s="537"/>
      <c r="AG160" s="537"/>
      <c r="AH160" s="537"/>
    </row>
    <row r="161" spans="3:34" x14ac:dyDescent="0.25">
      <c r="C161" s="364"/>
      <c r="D161" s="364"/>
      <c r="E161" s="364"/>
      <c r="F161" s="364"/>
      <c r="G161" s="364"/>
      <c r="H161" s="356">
        <v>414.2</v>
      </c>
      <c r="I161" s="362" t="str">
        <f t="shared" si="70"/>
        <v>КМС</v>
      </c>
      <c r="J161" s="362" t="str">
        <f t="shared" si="71"/>
        <v>КМС</v>
      </c>
      <c r="K161" s="626"/>
      <c r="L161" s="356">
        <f>H161-0.2</f>
        <v>414</v>
      </c>
      <c r="M161" s="362" t="str">
        <f t="shared" si="72"/>
        <v>КМС</v>
      </c>
      <c r="N161" s="362" t="str">
        <f t="shared" si="73"/>
        <v>КМС</v>
      </c>
      <c r="O161" s="362"/>
      <c r="P161" s="537"/>
      <c r="Q161" s="537"/>
      <c r="R161" s="537"/>
      <c r="S161" s="537"/>
      <c r="T161" s="537"/>
      <c r="U161" s="537"/>
      <c r="V161" s="537"/>
      <c r="W161" s="537"/>
      <c r="X161" s="537"/>
      <c r="Y161" s="537"/>
      <c r="Z161" s="537"/>
      <c r="AA161" s="537"/>
      <c r="AB161" s="537"/>
      <c r="AC161" s="537"/>
      <c r="AD161" s="537"/>
      <c r="AE161" s="537"/>
      <c r="AF161" s="537"/>
      <c r="AG161" s="537"/>
      <c r="AH161" s="537"/>
    </row>
    <row r="162" spans="3:34" x14ac:dyDescent="0.25">
      <c r="C162" s="364"/>
      <c r="D162" s="364"/>
      <c r="E162" s="364"/>
      <c r="F162" s="364"/>
      <c r="G162" s="364"/>
      <c r="H162" s="356">
        <v>430.2</v>
      </c>
      <c r="I162" s="362" t="str">
        <f t="shared" si="70"/>
        <v>I</v>
      </c>
      <c r="J162" s="362" t="str">
        <f t="shared" si="71"/>
        <v>I</v>
      </c>
      <c r="K162" s="626"/>
      <c r="L162" s="356">
        <f t="shared" ref="L162:L167" si="74">H162-0.2</f>
        <v>430</v>
      </c>
      <c r="M162" s="362" t="str">
        <f t="shared" si="72"/>
        <v>I</v>
      </c>
      <c r="N162" s="362" t="str">
        <f t="shared" si="73"/>
        <v>I</v>
      </c>
      <c r="O162" s="362"/>
      <c r="P162" s="537"/>
      <c r="Q162" s="537"/>
      <c r="R162" s="537"/>
      <c r="S162" s="537"/>
      <c r="T162" s="537"/>
      <c r="U162" s="537"/>
      <c r="V162" s="537"/>
      <c r="W162" s="537"/>
      <c r="X162" s="537"/>
      <c r="Y162" s="537"/>
      <c r="Z162" s="537"/>
      <c r="AA162" s="537"/>
      <c r="AB162" s="537"/>
      <c r="AC162" s="537"/>
      <c r="AD162" s="537"/>
      <c r="AE162" s="537"/>
      <c r="AF162" s="537"/>
      <c r="AG162" s="537"/>
      <c r="AH162" s="537"/>
    </row>
    <row r="163" spans="3:34" x14ac:dyDescent="0.25">
      <c r="C163" s="364"/>
      <c r="D163" s="364"/>
      <c r="E163" s="364"/>
      <c r="F163" s="364"/>
      <c r="G163" s="364"/>
      <c r="H163" s="356">
        <v>448.2</v>
      </c>
      <c r="I163" s="362" t="str">
        <f t="shared" si="70"/>
        <v>II</v>
      </c>
      <c r="J163" s="362" t="str">
        <f t="shared" si="71"/>
        <v>II</v>
      </c>
      <c r="K163" s="626"/>
      <c r="L163" s="356">
        <f t="shared" si="74"/>
        <v>448</v>
      </c>
      <c r="M163" s="362" t="str">
        <f t="shared" si="72"/>
        <v>II</v>
      </c>
      <c r="N163" s="362" t="str">
        <f t="shared" si="73"/>
        <v>II</v>
      </c>
      <c r="O163" s="362"/>
      <c r="P163" s="537"/>
      <c r="Q163" s="537"/>
      <c r="R163" s="537"/>
      <c r="S163" s="537"/>
      <c r="T163" s="537"/>
      <c r="U163" s="537"/>
      <c r="V163" s="537"/>
      <c r="W163" s="537"/>
      <c r="X163" s="537"/>
      <c r="Y163" s="537"/>
      <c r="Z163" s="537"/>
      <c r="AA163" s="537"/>
      <c r="AB163" s="537"/>
      <c r="AC163" s="537"/>
      <c r="AD163" s="537"/>
      <c r="AE163" s="537"/>
      <c r="AF163" s="537"/>
      <c r="AG163" s="537"/>
      <c r="AH163" s="537"/>
    </row>
    <row r="164" spans="3:34" x14ac:dyDescent="0.25">
      <c r="C164" s="364"/>
      <c r="D164" s="364"/>
      <c r="E164" s="364"/>
      <c r="F164" s="364"/>
      <c r="G164" s="364"/>
      <c r="H164" s="356">
        <v>508.2</v>
      </c>
      <c r="I164" s="362" t="str">
        <f t="shared" si="70"/>
        <v>III</v>
      </c>
      <c r="J164" s="362" t="str">
        <f t="shared" si="71"/>
        <v>III</v>
      </c>
      <c r="K164" s="626"/>
      <c r="L164" s="356">
        <f t="shared" si="74"/>
        <v>508</v>
      </c>
      <c r="M164" s="362" t="str">
        <f t="shared" si="72"/>
        <v>III</v>
      </c>
      <c r="N164" s="362" t="str">
        <f t="shared" si="73"/>
        <v>III</v>
      </c>
      <c r="O164" s="362"/>
      <c r="P164" s="537"/>
      <c r="Q164" s="537"/>
      <c r="R164" s="537"/>
      <c r="S164" s="537"/>
      <c r="T164" s="537"/>
      <c r="U164" s="537"/>
      <c r="V164" s="537"/>
      <c r="W164" s="537"/>
      <c r="X164" s="537"/>
      <c r="Y164" s="537"/>
      <c r="Z164" s="537"/>
      <c r="AA164" s="537"/>
      <c r="AB164" s="537"/>
      <c r="AC164" s="537"/>
      <c r="AD164" s="537"/>
      <c r="AE164" s="537"/>
      <c r="AF164" s="537"/>
      <c r="AG164" s="537"/>
      <c r="AH164" s="537"/>
    </row>
    <row r="165" spans="3:34" x14ac:dyDescent="0.25">
      <c r="C165" s="364"/>
      <c r="D165" s="364"/>
      <c r="E165" s="364"/>
      <c r="F165" s="364"/>
      <c r="G165" s="364"/>
      <c r="H165" s="115">
        <v>534.20000000000005</v>
      </c>
      <c r="I165" s="362" t="str">
        <f t="shared" si="70"/>
        <v>I юн</v>
      </c>
      <c r="J165" s="362" t="str">
        <f t="shared" si="71"/>
        <v>I юн</v>
      </c>
      <c r="K165" s="626"/>
      <c r="L165" s="356">
        <f t="shared" si="74"/>
        <v>534</v>
      </c>
      <c r="M165" s="362" t="str">
        <f t="shared" si="72"/>
        <v>I юн</v>
      </c>
      <c r="N165" s="362" t="str">
        <f t="shared" si="73"/>
        <v>I юн</v>
      </c>
      <c r="O165" s="362"/>
      <c r="P165" s="537"/>
      <c r="Q165" s="537"/>
      <c r="R165" s="537"/>
      <c r="S165" s="537"/>
      <c r="T165" s="537"/>
      <c r="U165" s="537"/>
      <c r="V165" s="537"/>
      <c r="W165" s="537"/>
      <c r="X165" s="537"/>
      <c r="Y165" s="537"/>
      <c r="Z165" s="537"/>
      <c r="AA165" s="537"/>
      <c r="AB165" s="537"/>
      <c r="AC165" s="537"/>
      <c r="AD165" s="537"/>
      <c r="AE165" s="537"/>
      <c r="AF165" s="537"/>
      <c r="AG165" s="537"/>
      <c r="AH165" s="537"/>
    </row>
    <row r="166" spans="3:34" x14ac:dyDescent="0.25">
      <c r="C166" s="364"/>
      <c r="D166" s="364"/>
      <c r="E166" s="364"/>
      <c r="F166" s="364"/>
      <c r="G166" s="364"/>
      <c r="H166" s="115">
        <v>601.20000000000005</v>
      </c>
      <c r="I166" s="362" t="str">
        <f t="shared" si="70"/>
        <v>II юн</v>
      </c>
      <c r="J166" s="362" t="str">
        <f t="shared" si="71"/>
        <v>II юн</v>
      </c>
      <c r="K166" s="626"/>
      <c r="L166" s="356">
        <f t="shared" si="74"/>
        <v>601</v>
      </c>
      <c r="M166" s="362" t="str">
        <f t="shared" si="72"/>
        <v>II юн</v>
      </c>
      <c r="N166" s="362" t="str">
        <f t="shared" si="73"/>
        <v>II юн</v>
      </c>
      <c r="O166" s="362"/>
      <c r="P166" s="537"/>
      <c r="Q166" s="537"/>
      <c r="R166" s="537"/>
      <c r="S166" s="537"/>
      <c r="T166" s="537"/>
      <c r="U166" s="537"/>
      <c r="V166" s="537"/>
      <c r="W166" s="537"/>
      <c r="X166" s="537"/>
      <c r="Y166" s="537"/>
      <c r="Z166" s="537"/>
      <c r="AA166" s="537"/>
      <c r="AB166" s="537"/>
      <c r="AC166" s="537"/>
      <c r="AD166" s="537"/>
      <c r="AE166" s="537"/>
      <c r="AF166" s="537"/>
      <c r="AG166" s="537"/>
      <c r="AH166" s="537"/>
    </row>
    <row r="167" spans="3:34" x14ac:dyDescent="0.25">
      <c r="C167" s="364"/>
      <c r="D167" s="364"/>
      <c r="E167" s="364"/>
      <c r="F167" s="364"/>
      <c r="G167" s="364"/>
      <c r="H167" s="115">
        <v>630.20000000000005</v>
      </c>
      <c r="I167" s="362" t="str">
        <f>IF(ISBLANK(H167)," ",IF(ISTEXT(H167)," ",IF(H167&lt;=349,"МСМК",IF(H167&lt;=404.4,"МС",IF(H167&lt;=414.2,"КМС",IF(H167&lt;=430.2,"I",IF(H167&lt;=448.2,"II",IF(H167&lt;=508.2,"III",IF(H167&lt;=534.2,"I юн",IF(H167&lt;=601.2,"II юн",IF(H167&lt;=630.2,"III юн","б/р")))))))))))</f>
        <v>III юн</v>
      </c>
      <c r="J167" s="362" t="str">
        <f>IF(ISBLANK(H167)," ",IF(ISTEXT(H167)," ",IF(H167&lt;=349,"МСМК",IF(H167&lt;=404.4,"МС",IF(H167&lt;=414.2,"КМС",IF(H167&lt;=430.2,"I",IF(H167&lt;=448.2,"II",IF(H167&lt;=508.2,"III",IF(H167&lt;=534.2,"I юн",IF(H167&lt;=601.2,"II юн",IF(H167&lt;=630.2,"III юн","б/р")))))))))))</f>
        <v>III юн</v>
      </c>
      <c r="K167" s="626"/>
      <c r="L167" s="356">
        <f t="shared" si="74"/>
        <v>630</v>
      </c>
      <c r="M167" s="362" t="str">
        <f>IF(ISBLANK(L167)," ",IF(ISTEXT(L167)," ",IF(L167&lt;=349,"МСМК",IF(L167&lt;=404.4,"МС",IF(L167&lt;=414,"КМС",IF(L167&lt;=430,"I",IF(L167&lt;=448,"II",IF(L167&lt;=508,"III",IF(L167&lt;=534,"I юн",IF(L167&lt;=601,"II юн",IF(L167&lt;=630,"III юн","б/р")))))))))))</f>
        <v>III юн</v>
      </c>
      <c r="N167" s="362" t="str">
        <f>IF(ISBLANK(L167)," ",IF(ISTEXT(L167)," ",IF(L167&lt;=349,"МСМК",IF(L167&lt;=404.4,"МС",IF(L167&lt;=414,"КМС",IF(L167&lt;=430,"I",IF(L167&lt;=448,"II",IF(L167&lt;=508,"III",IF(L167&lt;=534,"I юн",IF(L167&lt;=601,"II юн",IF(L167&lt;=630,"III юн","б/р")))))))))))</f>
        <v>III юн</v>
      </c>
      <c r="O167" s="362"/>
      <c r="P167" s="537"/>
      <c r="Q167" s="537"/>
      <c r="R167" s="537"/>
      <c r="S167" s="537"/>
      <c r="T167" s="537"/>
      <c r="U167" s="537"/>
      <c r="V167" s="537"/>
      <c r="W167" s="537"/>
      <c r="X167" s="537"/>
      <c r="Y167" s="537"/>
      <c r="Z167" s="537"/>
      <c r="AA167" s="537"/>
      <c r="AB167" s="537"/>
      <c r="AC167" s="537"/>
      <c r="AD167" s="537"/>
      <c r="AE167" s="537"/>
      <c r="AF167" s="537"/>
      <c r="AG167" s="537"/>
      <c r="AH167" s="537"/>
    </row>
    <row r="168" spans="3:34" x14ac:dyDescent="0.25">
      <c r="C168" s="364"/>
      <c r="D168" s="364"/>
      <c r="E168" s="364"/>
      <c r="F168" s="364"/>
      <c r="G168" s="364"/>
      <c r="H168" s="115"/>
      <c r="I168" s="362" t="str">
        <f>IF(ISBLANK(H168)," ",IF(ISTEXT(H168)," ",IF(H168&lt;=148.7,"МСМК",IF(H168&lt;=154.7,"МС",IF(H168&lt;=159.8,"КМС",IF(H168&lt;=208.6,"I",IF(H168&lt;=217.7,"II",IF(H168&lt;=229.7,"III","б/р"))))))))</f>
        <v xml:space="preserve"> </v>
      </c>
      <c r="J168" s="362" t="str">
        <f>IF(ISBLANK(H168)," ",IF(ISTEXT(H168)," ",IF(H168&lt;=148.7,"МСМК",IF(H168&lt;=154.7,"МС",IF(H168&lt;=159.8,"КМС",IF(H168&lt;=208.6,"I",IF(H168&lt;=217.7,"II",IF(H168&lt;=229.7,"III","б/р"))))))))</f>
        <v xml:space="preserve"> </v>
      </c>
      <c r="K168" s="626"/>
      <c r="P168" s="528"/>
      <c r="Q168" s="528"/>
      <c r="R168" s="528"/>
      <c r="S168" s="528"/>
      <c r="T168" s="528"/>
      <c r="U168" s="528"/>
      <c r="V168" s="528"/>
      <c r="W168" s="528"/>
      <c r="X168" s="528"/>
      <c r="Y168" s="528"/>
      <c r="Z168" s="528"/>
      <c r="AA168" s="528"/>
      <c r="AB168" s="528"/>
      <c r="AC168" s="528"/>
      <c r="AD168" s="528"/>
      <c r="AE168" s="528"/>
      <c r="AF168" s="528"/>
      <c r="AG168" s="528"/>
      <c r="AH168" s="537"/>
    </row>
    <row r="169" spans="3:34" x14ac:dyDescent="0.25">
      <c r="C169" s="349" t="s">
        <v>1026</v>
      </c>
      <c r="D169" s="364"/>
      <c r="E169" s="364"/>
      <c r="F169" s="364"/>
      <c r="G169" s="364"/>
      <c r="H169" s="356"/>
      <c r="I169" s="363"/>
      <c r="J169" s="364"/>
      <c r="K169" s="627"/>
      <c r="P169" s="527"/>
      <c r="Q169" s="527"/>
      <c r="R169" s="527"/>
      <c r="S169" s="527"/>
      <c r="T169" s="527"/>
      <c r="U169" s="527"/>
      <c r="V169" s="527"/>
      <c r="W169" s="527"/>
      <c r="X169" s="527"/>
      <c r="Y169" s="527"/>
      <c r="Z169" s="527"/>
      <c r="AA169" s="527"/>
      <c r="AB169" s="527"/>
      <c r="AC169" s="527"/>
      <c r="AD169" s="527"/>
      <c r="AE169" s="527"/>
      <c r="AF169" s="527"/>
      <c r="AG169" s="527"/>
      <c r="AH169" s="537"/>
    </row>
    <row r="170" spans="3:34" x14ac:dyDescent="0.25">
      <c r="C170" s="364"/>
      <c r="D170" s="364"/>
      <c r="E170" s="364"/>
      <c r="F170" s="364"/>
      <c r="G170" s="364"/>
      <c r="H170" s="356">
        <v>332.5</v>
      </c>
      <c r="I170" s="362" t="str">
        <f t="shared" ref="I170:I177" si="75">IF(ISBLANK(H170)," ",IF(ISTEXT(H170)," ",IF(H170&lt;=332.5,"МСМК",IF(H170&lt;=345.2,"МС",IF(H170&lt;=355.2,"КМС",IF(H170&lt;=410.2,"I",IF(H170&lt;=428.2,"II",IF(H170&lt;=448.2,"III",IF(H170&lt;=512.7,"I юн",IF(H170&lt;=538.7,"II юн",IF(H170&lt;=607.2,"III юн","б/р")))))))))))</f>
        <v>МСМК</v>
      </c>
      <c r="J170" s="362" t="str">
        <f t="shared" ref="J170:J177" si="76">IF(ISBLANK(H170)," ",IF(ISTEXT(H170)," ",IF(H170&lt;=332.5,"МСМК",IF(H170&lt;=345.2,"МС",IF(H170&lt;=355.2,"КМС",IF(H170&lt;=410.2,"I",IF(H170&lt;=428.2,"II",IF(H170&lt;=448.2,"III",IF(H170&lt;=512.7,"I юн",IF(H170&lt;=538.7,"II юн",IF(H170&lt;=607.2,"III юн","б/р")))))))))))</f>
        <v>МСМК</v>
      </c>
      <c r="K170" s="629"/>
      <c r="L170" s="533">
        <f>H170</f>
        <v>332.5</v>
      </c>
      <c r="M170" s="531" t="str">
        <f t="shared" ref="M170:M177" si="77">IF(ISBLANK(L170)," ",IF(ISTEXT(L170)," ",IF(L170&lt;=332.5,"МСМК",IF(L170&lt;=345.2,"МС",IF(L170&lt;=355,"КМС",IF(L170&lt;=410,"I",IF(L170&lt;=428,"II",IF(L170&lt;=448,"III",IF(L170&lt;=512.5,"I юн",IF(L170&lt;=538.5,"II юн",IF(L170&lt;=607,"III юн","б/р")))))))))))</f>
        <v>МСМК</v>
      </c>
      <c r="N170" s="531" t="str">
        <f t="shared" ref="N170:N177" si="78">IF(ISBLANK(L170)," ",IF(ISTEXT(L170)," ",IF(L170&lt;=332.5,"МСМК",IF(L170&lt;=345.2,"МС",IF(L170&lt;=355,"КМС",IF(L170&lt;=410,"I",IF(L170&lt;=428,"II",IF(L170&lt;=448,"III",IF(L170&lt;=512.5,"I юн",IF(L170&lt;=538.5,"II юн",IF(L170&lt;=607,"III юн","б/р")))))))))))</f>
        <v>МСМК</v>
      </c>
      <c r="O170" s="362"/>
      <c r="P170" s="537"/>
      <c r="Q170" s="537"/>
      <c r="R170" s="537"/>
      <c r="S170" s="537"/>
      <c r="T170" s="537"/>
      <c r="U170" s="537"/>
      <c r="V170" s="537"/>
      <c r="W170" s="537"/>
      <c r="X170" s="537"/>
      <c r="Y170" s="537"/>
      <c r="Z170" s="537"/>
      <c r="AA170" s="537"/>
      <c r="AB170" s="537"/>
      <c r="AC170" s="537"/>
      <c r="AD170" s="537"/>
      <c r="AE170" s="537"/>
      <c r="AF170" s="537"/>
      <c r="AG170" s="537"/>
      <c r="AH170" s="537"/>
    </row>
    <row r="171" spans="3:34" x14ac:dyDescent="0.25">
      <c r="C171" s="364"/>
      <c r="D171" s="364"/>
      <c r="E171" s="364"/>
      <c r="F171" s="364"/>
      <c r="G171" s="364"/>
      <c r="H171" s="356">
        <v>345.2</v>
      </c>
      <c r="I171" s="362" t="str">
        <f t="shared" si="75"/>
        <v>МС</v>
      </c>
      <c r="J171" s="362" t="str">
        <f t="shared" si="76"/>
        <v>МС</v>
      </c>
      <c r="K171" s="629"/>
      <c r="L171" s="533">
        <f>H171</f>
        <v>345.2</v>
      </c>
      <c r="M171" s="531" t="str">
        <f t="shared" si="77"/>
        <v>МС</v>
      </c>
      <c r="N171" s="531" t="str">
        <f t="shared" si="78"/>
        <v>МС</v>
      </c>
      <c r="O171" s="362"/>
      <c r="P171" s="537"/>
      <c r="Q171" s="537"/>
      <c r="R171" s="537"/>
      <c r="S171" s="537"/>
      <c r="T171" s="537"/>
      <c r="U171" s="537"/>
      <c r="V171" s="537"/>
      <c r="W171" s="537"/>
      <c r="X171" s="537"/>
      <c r="Y171" s="537"/>
      <c r="Z171" s="537"/>
      <c r="AA171" s="537"/>
      <c r="AB171" s="537"/>
      <c r="AC171" s="537"/>
      <c r="AD171" s="537"/>
      <c r="AE171" s="537"/>
      <c r="AF171" s="537"/>
      <c r="AG171" s="537"/>
      <c r="AH171" s="537"/>
    </row>
    <row r="172" spans="3:34" x14ac:dyDescent="0.25">
      <c r="C172" s="364"/>
      <c r="D172" s="364"/>
      <c r="E172" s="364"/>
      <c r="F172" s="364"/>
      <c r="G172" s="364"/>
      <c r="H172" s="356">
        <v>355.2</v>
      </c>
      <c r="I172" s="362" t="str">
        <f t="shared" si="75"/>
        <v>КМС</v>
      </c>
      <c r="J172" s="362" t="str">
        <f t="shared" si="76"/>
        <v>КМС</v>
      </c>
      <c r="K172" s="629"/>
      <c r="L172" s="356">
        <f>H172-0.2</f>
        <v>355</v>
      </c>
      <c r="M172" s="362" t="str">
        <f t="shared" si="77"/>
        <v>КМС</v>
      </c>
      <c r="N172" s="362" t="str">
        <f t="shared" si="78"/>
        <v>КМС</v>
      </c>
      <c r="O172" s="362"/>
      <c r="P172" s="537"/>
      <c r="Q172" s="537"/>
      <c r="R172" s="537"/>
      <c r="S172" s="537"/>
      <c r="T172" s="537"/>
      <c r="U172" s="537"/>
      <c r="V172" s="537"/>
      <c r="W172" s="537"/>
      <c r="X172" s="537"/>
      <c r="Y172" s="537"/>
      <c r="Z172" s="537"/>
      <c r="AA172" s="537"/>
      <c r="AB172" s="537"/>
      <c r="AC172" s="537"/>
      <c r="AD172" s="537"/>
      <c r="AE172" s="537"/>
      <c r="AF172" s="537"/>
      <c r="AG172" s="537"/>
      <c r="AH172" s="537"/>
    </row>
    <row r="173" spans="3:34" x14ac:dyDescent="0.25">
      <c r="C173" s="364"/>
      <c r="D173" s="364"/>
      <c r="E173" s="364"/>
      <c r="F173" s="364"/>
      <c r="G173" s="364"/>
      <c r="H173" s="356">
        <v>410.2</v>
      </c>
      <c r="I173" s="362" t="str">
        <f t="shared" si="75"/>
        <v>I</v>
      </c>
      <c r="J173" s="362" t="str">
        <f t="shared" si="76"/>
        <v>I</v>
      </c>
      <c r="K173" s="629"/>
      <c r="L173" s="356">
        <f t="shared" ref="L173:L178" si="79">H173-0.2</f>
        <v>410</v>
      </c>
      <c r="M173" s="362" t="str">
        <f t="shared" si="77"/>
        <v>I</v>
      </c>
      <c r="N173" s="362" t="str">
        <f t="shared" si="78"/>
        <v>I</v>
      </c>
      <c r="O173" s="362"/>
      <c r="P173" s="537"/>
      <c r="Q173" s="537"/>
      <c r="R173" s="537"/>
      <c r="S173" s="537"/>
      <c r="T173" s="537"/>
      <c r="U173" s="537"/>
      <c r="V173" s="537"/>
      <c r="W173" s="537"/>
      <c r="X173" s="537"/>
      <c r="Y173" s="537"/>
      <c r="Z173" s="537"/>
      <c r="AA173" s="537"/>
      <c r="AB173" s="537"/>
      <c r="AC173" s="537"/>
      <c r="AD173" s="537"/>
      <c r="AE173" s="537"/>
      <c r="AF173" s="537"/>
      <c r="AG173" s="537"/>
      <c r="AH173" s="537"/>
    </row>
    <row r="174" spans="3:34" x14ac:dyDescent="0.25">
      <c r="C174" s="364"/>
      <c r="D174" s="364"/>
      <c r="E174" s="364"/>
      <c r="F174" s="364"/>
      <c r="G174" s="364"/>
      <c r="H174" s="356">
        <v>428.2</v>
      </c>
      <c r="I174" s="362" t="str">
        <f t="shared" si="75"/>
        <v>II</v>
      </c>
      <c r="J174" s="362" t="str">
        <f t="shared" si="76"/>
        <v>II</v>
      </c>
      <c r="K174" s="629"/>
      <c r="L174" s="356">
        <f t="shared" si="79"/>
        <v>428</v>
      </c>
      <c r="M174" s="362" t="str">
        <f t="shared" si="77"/>
        <v>II</v>
      </c>
      <c r="N174" s="362" t="str">
        <f t="shared" si="78"/>
        <v>II</v>
      </c>
      <c r="O174" s="362"/>
      <c r="P174" s="537"/>
      <c r="Q174" s="537"/>
      <c r="R174" s="537"/>
      <c r="S174" s="537"/>
      <c r="T174" s="537"/>
      <c r="U174" s="537"/>
      <c r="V174" s="537"/>
      <c r="W174" s="537"/>
      <c r="X174" s="537"/>
      <c r="Y174" s="537"/>
      <c r="Z174" s="537"/>
      <c r="AA174" s="537"/>
      <c r="AB174" s="537"/>
      <c r="AC174" s="537"/>
      <c r="AD174" s="537"/>
      <c r="AE174" s="537"/>
      <c r="AF174" s="537"/>
      <c r="AG174" s="537"/>
      <c r="AH174" s="537"/>
    </row>
    <row r="175" spans="3:34" x14ac:dyDescent="0.25">
      <c r="C175" s="364"/>
      <c r="D175" s="364"/>
      <c r="E175" s="364"/>
      <c r="F175" s="364"/>
      <c r="G175" s="364"/>
      <c r="H175" s="356">
        <v>448.2</v>
      </c>
      <c r="I175" s="362" t="str">
        <f t="shared" si="75"/>
        <v>III</v>
      </c>
      <c r="J175" s="362" t="str">
        <f t="shared" si="76"/>
        <v>III</v>
      </c>
      <c r="K175" s="629"/>
      <c r="L175" s="356">
        <f t="shared" si="79"/>
        <v>448</v>
      </c>
      <c r="M175" s="362" t="str">
        <f t="shared" si="77"/>
        <v>III</v>
      </c>
      <c r="N175" s="362" t="str">
        <f t="shared" si="78"/>
        <v>III</v>
      </c>
      <c r="O175" s="362"/>
      <c r="P175" s="537"/>
      <c r="Q175" s="537"/>
      <c r="R175" s="537"/>
      <c r="S175" s="537"/>
      <c r="T175" s="537"/>
      <c r="U175" s="537"/>
      <c r="V175" s="537"/>
      <c r="W175" s="537"/>
      <c r="X175" s="537"/>
      <c r="Y175" s="537"/>
      <c r="Z175" s="537"/>
      <c r="AA175" s="537"/>
      <c r="AB175" s="537"/>
      <c r="AC175" s="537"/>
      <c r="AD175" s="537"/>
      <c r="AE175" s="537"/>
      <c r="AF175" s="537"/>
      <c r="AG175" s="537"/>
      <c r="AH175" s="537"/>
    </row>
    <row r="176" spans="3:34" x14ac:dyDescent="0.25">
      <c r="C176" s="364"/>
      <c r="D176" s="364"/>
      <c r="E176" s="364"/>
      <c r="F176" s="364"/>
      <c r="G176" s="364"/>
      <c r="H176" s="115">
        <v>512.70000000000005</v>
      </c>
      <c r="I176" s="362" t="str">
        <f t="shared" si="75"/>
        <v>I юн</v>
      </c>
      <c r="J176" s="362" t="str">
        <f t="shared" si="76"/>
        <v>I юн</v>
      </c>
      <c r="K176" s="629"/>
      <c r="L176" s="356">
        <f t="shared" si="79"/>
        <v>512.5</v>
      </c>
      <c r="M176" s="362" t="str">
        <f t="shared" si="77"/>
        <v>I юн</v>
      </c>
      <c r="N176" s="362" t="str">
        <f t="shared" si="78"/>
        <v>I юн</v>
      </c>
      <c r="O176" s="362"/>
      <c r="P176" s="537"/>
      <c r="Q176" s="537"/>
      <c r="R176" s="537"/>
      <c r="S176" s="537"/>
      <c r="T176" s="537"/>
      <c r="U176" s="537"/>
      <c r="V176" s="537"/>
      <c r="W176" s="537"/>
      <c r="X176" s="537"/>
      <c r="Y176" s="537"/>
      <c r="Z176" s="537"/>
      <c r="AA176" s="537"/>
      <c r="AB176" s="537"/>
      <c r="AC176" s="537"/>
      <c r="AD176" s="537"/>
      <c r="AE176" s="537"/>
      <c r="AF176" s="537"/>
      <c r="AG176" s="537"/>
      <c r="AH176" s="537"/>
    </row>
    <row r="177" spans="3:34" x14ac:dyDescent="0.25">
      <c r="C177" s="364"/>
      <c r="D177" s="364"/>
      <c r="E177" s="364"/>
      <c r="F177" s="364"/>
      <c r="G177" s="364"/>
      <c r="H177" s="115">
        <v>538.70000000000005</v>
      </c>
      <c r="I177" s="362" t="str">
        <f t="shared" si="75"/>
        <v>II юн</v>
      </c>
      <c r="J177" s="362" t="str">
        <f t="shared" si="76"/>
        <v>II юн</v>
      </c>
      <c r="K177" s="629"/>
      <c r="L177" s="356">
        <f t="shared" si="79"/>
        <v>538.5</v>
      </c>
      <c r="M177" s="362" t="str">
        <f t="shared" si="77"/>
        <v>II юн</v>
      </c>
      <c r="N177" s="362" t="str">
        <f t="shared" si="78"/>
        <v>II юн</v>
      </c>
      <c r="O177" s="362"/>
      <c r="P177" s="537"/>
      <c r="Q177" s="537"/>
      <c r="R177" s="537"/>
      <c r="S177" s="537"/>
      <c r="T177" s="537"/>
      <c r="U177" s="537"/>
      <c r="V177" s="537"/>
      <c r="W177" s="537"/>
      <c r="X177" s="537"/>
      <c r="Y177" s="537"/>
      <c r="Z177" s="537"/>
      <c r="AA177" s="537"/>
      <c r="AB177" s="537"/>
      <c r="AC177" s="537"/>
      <c r="AD177" s="537"/>
      <c r="AE177" s="537"/>
      <c r="AF177" s="537"/>
      <c r="AG177" s="537"/>
      <c r="AH177" s="537"/>
    </row>
    <row r="178" spans="3:34" x14ac:dyDescent="0.25">
      <c r="C178" s="364"/>
      <c r="D178" s="364"/>
      <c r="E178" s="364"/>
      <c r="F178" s="364"/>
      <c r="G178" s="364"/>
      <c r="H178" s="115">
        <v>607.20000000000005</v>
      </c>
      <c r="I178" s="362" t="str">
        <f>IF(ISBLANK(H178)," ",IF(ISTEXT(H178)," ",IF(H178&lt;=332.5,"МСМК",IF(H178&lt;=345.2,"МС",IF(H178&lt;=355.2,"КМС",IF(H178&lt;=410.2,"I",IF(H178&lt;=428.2,"II",IF(H178&lt;=448.2,"III",IF(H178&lt;=512.7,"I юн",IF(H178&lt;=538.7,"II юн",IF(H178&lt;=607.2,"III юн","б/р")))))))))))</f>
        <v>III юн</v>
      </c>
      <c r="J178" s="362" t="str">
        <f>IF(ISBLANK(H178)," ",IF(ISTEXT(H178)," ",IF(H178&lt;=332.5,"МСМК",IF(H178&lt;=345.2,"МС",IF(H178&lt;=355.2,"КМС",IF(H178&lt;=410.2,"I",IF(H178&lt;=428.2,"II",IF(H178&lt;=448.2,"III",IF(H178&lt;=512.7,"I юн",IF(H178&lt;=538.7,"II юн",IF(H178&lt;=607.2,"III юн","б/р")))))))))))</f>
        <v>III юн</v>
      </c>
      <c r="K178" s="629"/>
      <c r="L178" s="356">
        <f t="shared" si="79"/>
        <v>607</v>
      </c>
      <c r="M178" s="362" t="str">
        <f>IF(ISBLANK(L178)," ",IF(ISTEXT(L178)," ",IF(L178&lt;=332.5,"МСМК",IF(L178&lt;=345.2,"МС",IF(L178&lt;=355,"КМС",IF(L178&lt;=410,"I",IF(L178&lt;=428,"II",IF(L178&lt;=448,"III",IF(L178&lt;=512.5,"I юн",IF(L178&lt;=538.5,"II юн",IF(L178&lt;=607,"III юн","б/р")))))))))))</f>
        <v>III юн</v>
      </c>
      <c r="N178" s="362" t="str">
        <f>IF(ISBLANK(L178)," ",IF(ISTEXT(L178)," ",IF(L178&lt;=332.5,"МСМК",IF(L178&lt;=345.2,"МС",IF(L178&lt;=355,"КМС",IF(L178&lt;=410,"I",IF(L178&lt;=428,"II",IF(L178&lt;=448,"III",IF(L178&lt;=512.5,"I юн",IF(L178&lt;=538.5,"II юн",IF(L178&lt;=607,"III юн","б/р")))))))))))</f>
        <v>III юн</v>
      </c>
      <c r="O178" s="362"/>
    </row>
    <row r="179" spans="3:34" x14ac:dyDescent="0.25">
      <c r="C179" s="364"/>
      <c r="D179" s="364"/>
      <c r="E179" s="364"/>
      <c r="F179" s="364"/>
      <c r="G179" s="364"/>
      <c r="H179" s="115"/>
      <c r="I179" s="362" t="str">
        <f>IF(ISBLANK(H179)," ",IF(ISTEXT(H179)," ",IF(H179&lt;=138.4,"МСМК",IF(H179&lt;=143.1,"МС",IF(H179&lt;=148.2,"КМС",IF(H179&lt;=156,"I",IF(H179&lt;=205.2,"II",IF(H179&lt;=216.2,"III","б/р"))))))))</f>
        <v xml:space="preserve"> </v>
      </c>
      <c r="J179" s="362" t="str">
        <f>IF(ISBLANK(H179)," ",IF(ISTEXT(H179)," ",IF(H179&lt;=138.4,"МСМК",IF(H179&lt;=143.1,"МС",IF(H179&lt;=148.2,"КМС",IF(H179&lt;=156,"I",IF(H179&lt;=205.2,"II",IF(H179&lt;=216.2,"III","б/р"))))))))</f>
        <v xml:space="preserve"> </v>
      </c>
      <c r="K179" s="629"/>
      <c r="M179" s="362" t="str">
        <f>IF(ISBLANK(L179)," ",IF(ISTEXT(L179)," ",IF(L179&lt;=148.2,"КМС",IF(L179&lt;=156.1,"I",IF(L179&lt;=206,"II",IF(L179&lt;=216.8,"III",IF(L179&lt;=226.6,"I юн",IF(L179&lt;=243.3,"II юн",IF(L179&lt;=257,"III юн","б/р")))))))))</f>
        <v xml:space="preserve"> </v>
      </c>
      <c r="N179" s="362" t="str">
        <f>IF(ISBLANK(L179)," ",IF(ISTEXT(L179)," ",IF(L179&lt;=148.2,"КМС",IF(L179&lt;=156.1,"I",IF(L179&lt;=206,"II",IF(L179&lt;=216.8,"III",IF(L179&lt;=226.6,"I юн",IF(L179&lt;=243.3,"II юн",IF(L179&lt;=257,"III юн","б/р")))))))))</f>
        <v xml:space="preserve"> </v>
      </c>
      <c r="O179" s="362"/>
    </row>
    <row r="180" spans="3:34" x14ac:dyDescent="0.25">
      <c r="C180" s="349" t="s">
        <v>82</v>
      </c>
      <c r="D180" s="350"/>
      <c r="E180" s="351"/>
      <c r="F180" s="349"/>
      <c r="G180" s="349"/>
      <c r="H180" s="352"/>
      <c r="I180" s="356"/>
      <c r="J180" s="349"/>
      <c r="K180" s="628"/>
      <c r="P180" s="537"/>
      <c r="Q180" s="537"/>
      <c r="R180" s="537"/>
      <c r="S180" s="537"/>
      <c r="T180" s="537"/>
      <c r="U180" s="537"/>
      <c r="V180" s="537"/>
      <c r="W180" s="537"/>
      <c r="X180" s="537"/>
      <c r="Y180" s="537"/>
      <c r="Z180" s="537"/>
      <c r="AA180" s="537"/>
      <c r="AB180" s="537"/>
      <c r="AC180" s="537"/>
      <c r="AD180" s="537"/>
      <c r="AE180" s="537"/>
      <c r="AF180" s="537"/>
      <c r="AG180" s="537"/>
      <c r="AH180" s="537"/>
    </row>
    <row r="181" spans="3:34" x14ac:dyDescent="0.25">
      <c r="C181" s="546"/>
      <c r="D181" s="355"/>
      <c r="E181" s="406"/>
      <c r="F181" s="546"/>
      <c r="G181" s="546"/>
      <c r="H181" s="356">
        <v>705.2</v>
      </c>
      <c r="I181" s="362" t="str">
        <f t="shared" ref="I181:I188" si="80">IF(ISBLANK(H181)," ",IF(ISTEXT(H181)," ",IF(H181&lt;=705.2,"МСМК",IF(H181&lt;=725.7,"МС",IF(H181&lt;=748.2,"КМС",IF(H181&lt;=820.7,"I",IF(H181&lt;=902.7,"II",IF(H181&lt;=944.7,"III",IF(H181&lt;=1038.7,"I юн",IF(H181&lt;=1142.2,"II юн",IF(H181&lt;=1236.7,"III юн","б/р")))))))))))</f>
        <v>МСМК</v>
      </c>
      <c r="J181" s="362" t="str">
        <f t="shared" ref="J181:J188" si="81">IF(ISBLANK(H181)," ",IF(ISTEXT(H181)," ",IF(H181&lt;=705.2,"МСМК",IF(H181&lt;=725.7,"МС",IF(H181&lt;=748.2,"КМС",IF(H181&lt;=820.7,"I",IF(H181&lt;=902.7,"II",IF(H181&lt;=944.7,"III",IF(H181&lt;=1038.7,"I юн",IF(H181&lt;=1142.2,"II юн",IF(H181&lt;=1236.7,"III юн","б/р")))))))))))</f>
        <v>МСМК</v>
      </c>
      <c r="K181" s="626"/>
      <c r="L181" s="533">
        <f>H181</f>
        <v>705.2</v>
      </c>
      <c r="M181" s="531" t="str">
        <f>IF(ISBLANK(L181)," ",IF(ISTEXT(L181)," ",IF(L181&lt;=705.2,"МСМК",IF(L181&lt;=725.7,"МС",IF(L181&lt;=748,"КМС",IF(L181&lt;=820.5,"I",IF(L181&lt;=902.5,"II",IF(L181&lt;=944.5,"III",IF(L181&lt;=1038.5,"I юн",IF(L181&lt;=1142,"II юн",IF(L181&lt;=1236.5,"III юн","б/р")))))))))))</f>
        <v>МСМК</v>
      </c>
      <c r="N181" s="531" t="str">
        <f>IF(ISBLANK(L181)," ",IF(ISTEXT(L181)," ",IF(L181&lt;=705.2,"МСМК",IF(L181&lt;=725.7,"МС",IF(L181&lt;=748,"КМС",IF(L181&lt;=820.5,"I",IF(L181&lt;=902.5,"II",IF(L181&lt;=944.5,"III",IF(L181&lt;=1038.5,"I юн",IF(L181&lt;=1142,"II юн",IF(L181&lt;=1236.5,"III юн","б/р")))))))))))</f>
        <v>МСМК</v>
      </c>
      <c r="P181" s="537"/>
      <c r="Q181" s="537"/>
      <c r="R181" s="537"/>
      <c r="S181" s="537"/>
      <c r="T181" s="537"/>
      <c r="U181" s="537"/>
      <c r="V181" s="537"/>
      <c r="W181" s="537"/>
      <c r="X181" s="537"/>
      <c r="Y181" s="537"/>
      <c r="Z181" s="537"/>
      <c r="AA181" s="537"/>
      <c r="AB181" s="537"/>
      <c r="AC181" s="537"/>
      <c r="AD181" s="537"/>
      <c r="AE181" s="537"/>
      <c r="AF181" s="537"/>
      <c r="AG181" s="537"/>
      <c r="AH181" s="537"/>
    </row>
    <row r="182" spans="3:34" x14ac:dyDescent="0.25">
      <c r="C182" s="546"/>
      <c r="D182" s="355"/>
      <c r="E182" s="406"/>
      <c r="F182" s="546"/>
      <c r="G182" s="546"/>
      <c r="H182" s="356">
        <v>725.7</v>
      </c>
      <c r="I182" s="362" t="str">
        <f t="shared" si="80"/>
        <v>МС</v>
      </c>
      <c r="J182" s="362" t="str">
        <f t="shared" si="81"/>
        <v>МС</v>
      </c>
      <c r="K182" s="626"/>
      <c r="L182" s="533">
        <f>H182</f>
        <v>725.7</v>
      </c>
      <c r="M182" s="531" t="str">
        <f t="shared" ref="M182:M189" si="82">IF(ISBLANK(L182)," ",IF(ISTEXT(L182)," ",IF(L182&lt;=705.2,"МСМК",IF(L182&lt;=725.7,"МС",IF(L182&lt;=748,"КМС",IF(L182&lt;=820.5,"I",IF(L182&lt;=902.5,"II",IF(L182&lt;=944.5,"III",IF(L182&lt;=1038.5,"I юн",IF(L182&lt;=1142,"II юн",IF(L182&lt;=1236.5,"III юн","б/р")))))))))))</f>
        <v>МС</v>
      </c>
      <c r="N182" s="531" t="str">
        <f t="shared" ref="N182:N189" si="83">IF(ISBLANK(L182)," ",IF(ISTEXT(L182)," ",IF(L182&lt;=705.2,"МСМК",IF(L182&lt;=725.7,"МС",IF(L182&lt;=748,"КМС",IF(L182&lt;=820.5,"I",IF(L182&lt;=902.5,"II",IF(L182&lt;=944.5,"III",IF(L182&lt;=1038.5,"I юн",IF(L182&lt;=1142,"II юн",IF(L182&lt;=1236.5,"III юн","б/р")))))))))))</f>
        <v>МС</v>
      </c>
      <c r="P182" s="537"/>
      <c r="Q182" s="537"/>
      <c r="R182" s="537"/>
      <c r="S182" s="537"/>
      <c r="T182" s="537"/>
      <c r="U182" s="537"/>
      <c r="V182" s="537"/>
      <c r="W182" s="537"/>
      <c r="X182" s="537"/>
      <c r="Y182" s="537"/>
      <c r="Z182" s="537"/>
      <c r="AA182" s="537"/>
      <c r="AB182" s="537"/>
      <c r="AC182" s="537"/>
      <c r="AD182" s="537"/>
      <c r="AE182" s="537"/>
      <c r="AF182" s="537"/>
      <c r="AG182" s="537"/>
      <c r="AH182" s="537"/>
    </row>
    <row r="183" spans="3:34" x14ac:dyDescent="0.25">
      <c r="C183" s="546"/>
      <c r="D183" s="355"/>
      <c r="E183" s="406"/>
      <c r="F183" s="546"/>
      <c r="G183" s="546"/>
      <c r="H183" s="356">
        <v>748.2</v>
      </c>
      <c r="I183" s="362" t="str">
        <f t="shared" si="80"/>
        <v>КМС</v>
      </c>
      <c r="J183" s="362" t="str">
        <f t="shared" si="81"/>
        <v>КМС</v>
      </c>
      <c r="K183" s="626"/>
      <c r="L183" s="356">
        <f>H183-0.2</f>
        <v>748</v>
      </c>
      <c r="M183" s="362" t="str">
        <f t="shared" si="82"/>
        <v>КМС</v>
      </c>
      <c r="N183" s="362" t="str">
        <f t="shared" si="83"/>
        <v>КМС</v>
      </c>
      <c r="P183" s="537"/>
      <c r="Q183" s="537"/>
      <c r="R183" s="537"/>
      <c r="S183" s="537"/>
      <c r="T183" s="537"/>
      <c r="U183" s="537"/>
      <c r="V183" s="537"/>
      <c r="W183" s="537"/>
      <c r="X183" s="537"/>
      <c r="Y183" s="537"/>
      <c r="Z183" s="537"/>
      <c r="AA183" s="537"/>
      <c r="AB183" s="537"/>
      <c r="AC183" s="537"/>
      <c r="AD183" s="537"/>
      <c r="AE183" s="537"/>
      <c r="AF183" s="537"/>
      <c r="AG183" s="537"/>
      <c r="AH183" s="537"/>
    </row>
    <row r="184" spans="3:34" x14ac:dyDescent="0.25">
      <c r="C184" s="546"/>
      <c r="D184" s="355"/>
      <c r="E184" s="406"/>
      <c r="F184" s="546"/>
      <c r="G184" s="546"/>
      <c r="H184" s="356">
        <v>820.7</v>
      </c>
      <c r="I184" s="362" t="str">
        <f t="shared" si="80"/>
        <v>I</v>
      </c>
      <c r="J184" s="362" t="str">
        <f t="shared" si="81"/>
        <v>I</v>
      </c>
      <c r="K184" s="626"/>
      <c r="L184" s="356">
        <f t="shared" ref="L184:L189" si="84">H184-0.2</f>
        <v>820.5</v>
      </c>
      <c r="M184" s="362" t="str">
        <f t="shared" si="82"/>
        <v>I</v>
      </c>
      <c r="N184" s="362" t="str">
        <f t="shared" si="83"/>
        <v>I</v>
      </c>
      <c r="P184" s="537"/>
      <c r="Q184" s="537"/>
      <c r="R184" s="537"/>
      <c r="S184" s="537"/>
      <c r="T184" s="537"/>
      <c r="U184" s="537"/>
      <c r="V184" s="537"/>
      <c r="W184" s="537"/>
      <c r="X184" s="537"/>
      <c r="Y184" s="537"/>
      <c r="Z184" s="537"/>
      <c r="AA184" s="537"/>
      <c r="AB184" s="537"/>
      <c r="AC184" s="537"/>
      <c r="AD184" s="537"/>
      <c r="AE184" s="537"/>
      <c r="AF184" s="537"/>
      <c r="AG184" s="537"/>
      <c r="AH184" s="537"/>
    </row>
    <row r="185" spans="3:34" x14ac:dyDescent="0.25">
      <c r="C185" s="546"/>
      <c r="D185" s="355"/>
      <c r="E185" s="406"/>
      <c r="F185" s="546"/>
      <c r="G185" s="546"/>
      <c r="H185" s="356">
        <v>902.7</v>
      </c>
      <c r="I185" s="362" t="str">
        <f t="shared" si="80"/>
        <v>II</v>
      </c>
      <c r="J185" s="362" t="str">
        <f t="shared" si="81"/>
        <v>II</v>
      </c>
      <c r="K185" s="626"/>
      <c r="L185" s="356">
        <f t="shared" si="84"/>
        <v>902.5</v>
      </c>
      <c r="M185" s="362" t="str">
        <f t="shared" si="82"/>
        <v>II</v>
      </c>
      <c r="N185" s="362" t="str">
        <f t="shared" si="83"/>
        <v>II</v>
      </c>
      <c r="P185" s="537"/>
      <c r="Q185" s="537"/>
      <c r="R185" s="537"/>
      <c r="S185" s="537"/>
      <c r="T185" s="537"/>
      <c r="U185" s="537"/>
      <c r="V185" s="537"/>
      <c r="W185" s="537"/>
      <c r="X185" s="537"/>
      <c r="Y185" s="537"/>
      <c r="Z185" s="537"/>
      <c r="AA185" s="537"/>
      <c r="AB185" s="537"/>
      <c r="AC185" s="537"/>
      <c r="AD185" s="537"/>
      <c r="AE185" s="537"/>
      <c r="AF185" s="537"/>
      <c r="AG185" s="537"/>
      <c r="AH185" s="537"/>
    </row>
    <row r="186" spans="3:34" x14ac:dyDescent="0.25">
      <c r="C186" s="546"/>
      <c r="D186" s="355"/>
      <c r="E186" s="406"/>
      <c r="F186" s="546"/>
      <c r="G186" s="546"/>
      <c r="H186" s="356">
        <v>944.7</v>
      </c>
      <c r="I186" s="362" t="str">
        <f t="shared" si="80"/>
        <v>III</v>
      </c>
      <c r="J186" s="362" t="str">
        <f t="shared" si="81"/>
        <v>III</v>
      </c>
      <c r="K186" s="626"/>
      <c r="L186" s="356">
        <f t="shared" si="84"/>
        <v>944.5</v>
      </c>
      <c r="M186" s="362" t="str">
        <f t="shared" si="82"/>
        <v>III</v>
      </c>
      <c r="N186" s="362" t="str">
        <f t="shared" si="83"/>
        <v>III</v>
      </c>
      <c r="P186" s="537"/>
      <c r="Q186" s="537"/>
      <c r="R186" s="537"/>
      <c r="S186" s="537"/>
      <c r="T186" s="537"/>
      <c r="U186" s="537"/>
      <c r="V186" s="537"/>
      <c r="W186" s="537"/>
      <c r="X186" s="537"/>
      <c r="Y186" s="537"/>
      <c r="Z186" s="537"/>
      <c r="AA186" s="537"/>
      <c r="AB186" s="537"/>
      <c r="AC186" s="537"/>
      <c r="AD186" s="537"/>
      <c r="AE186" s="537"/>
      <c r="AF186" s="537"/>
      <c r="AG186" s="537"/>
      <c r="AH186" s="537"/>
    </row>
    <row r="187" spans="3:34" x14ac:dyDescent="0.25">
      <c r="C187" s="546"/>
      <c r="D187" s="355"/>
      <c r="E187" s="406"/>
      <c r="F187" s="546"/>
      <c r="G187" s="546"/>
      <c r="H187" s="115">
        <v>1038.7</v>
      </c>
      <c r="I187" s="362" t="str">
        <f t="shared" si="80"/>
        <v>I юн</v>
      </c>
      <c r="J187" s="362" t="str">
        <f t="shared" si="81"/>
        <v>I юн</v>
      </c>
      <c r="K187" s="626"/>
      <c r="L187" s="356">
        <f t="shared" si="84"/>
        <v>1038.5</v>
      </c>
      <c r="M187" s="362" t="str">
        <f t="shared" si="82"/>
        <v>I юн</v>
      </c>
      <c r="N187" s="362" t="str">
        <f t="shared" si="83"/>
        <v>I юн</v>
      </c>
      <c r="P187" s="537"/>
      <c r="Q187" s="537"/>
      <c r="R187" s="537"/>
      <c r="S187" s="537"/>
      <c r="T187" s="537"/>
      <c r="U187" s="537"/>
      <c r="V187" s="537"/>
      <c r="W187" s="537"/>
      <c r="X187" s="537"/>
      <c r="Y187" s="537"/>
      <c r="Z187" s="537"/>
      <c r="AA187" s="537"/>
      <c r="AB187" s="537"/>
      <c r="AC187" s="537"/>
      <c r="AD187" s="537"/>
      <c r="AE187" s="537"/>
      <c r="AF187" s="537"/>
      <c r="AG187" s="537"/>
      <c r="AH187" s="537"/>
    </row>
    <row r="188" spans="3:34" x14ac:dyDescent="0.25">
      <c r="C188" s="546"/>
      <c r="D188" s="355"/>
      <c r="E188" s="406"/>
      <c r="F188" s="546"/>
      <c r="G188" s="546"/>
      <c r="H188" s="115">
        <v>1142.2</v>
      </c>
      <c r="I188" s="362" t="str">
        <f t="shared" si="80"/>
        <v>II юн</v>
      </c>
      <c r="J188" s="362" t="str">
        <f t="shared" si="81"/>
        <v>II юн</v>
      </c>
      <c r="K188" s="626"/>
      <c r="L188" s="356">
        <f t="shared" si="84"/>
        <v>1142</v>
      </c>
      <c r="M188" s="362" t="str">
        <f t="shared" si="82"/>
        <v>II юн</v>
      </c>
      <c r="N188" s="362" t="str">
        <f t="shared" si="83"/>
        <v>II юн</v>
      </c>
      <c r="P188" s="537"/>
      <c r="Q188" s="537"/>
      <c r="R188" s="537"/>
      <c r="S188" s="537"/>
      <c r="T188" s="537"/>
      <c r="U188" s="537"/>
      <c r="V188" s="537"/>
      <c r="W188" s="537"/>
      <c r="X188" s="537"/>
      <c r="Y188" s="537"/>
      <c r="Z188" s="537"/>
      <c r="AA188" s="537"/>
      <c r="AB188" s="537"/>
      <c r="AC188" s="537"/>
      <c r="AD188" s="537"/>
      <c r="AE188" s="537"/>
      <c r="AF188" s="537"/>
      <c r="AG188" s="537"/>
      <c r="AH188" s="537"/>
    </row>
    <row r="189" spans="3:34" x14ac:dyDescent="0.25">
      <c r="C189" s="546"/>
      <c r="D189" s="355"/>
      <c r="E189" s="406"/>
      <c r="F189" s="546"/>
      <c r="G189" s="546"/>
      <c r="H189" s="115">
        <v>1236.7</v>
      </c>
      <c r="I189" s="362" t="str">
        <f>IF(ISBLANK(H189)," ",IF(ISTEXT(H189)," ",IF(H189&lt;=705.2,"МСМК",IF(H189&lt;=725.7,"МС",IF(H189&lt;=748.2,"КМС",IF(H189&lt;=820.7,"I",IF(H189&lt;=902.7,"II",IF(H189&lt;=944.7,"III",IF(H189&lt;=1038.7,"I юн",IF(H189&lt;=1142.2,"II юн",IF(H189&lt;=1236.7,"III юн","б/р")))))))))))</f>
        <v>III юн</v>
      </c>
      <c r="J189" s="362" t="str">
        <f>IF(ISBLANK(H189)," ",IF(ISTEXT(H189)," ",IF(H189&lt;=705.2,"МСМК",IF(H189&lt;=725.7,"МС",IF(H189&lt;=748.2,"КМС",IF(H189&lt;=820.7,"I",IF(H189&lt;=902.7,"II",IF(H189&lt;=944.7,"III",IF(H189&lt;=1038.7,"I юн",IF(H189&lt;=1142.2,"II юн",IF(H189&lt;=1236.7,"III юн","б/р")))))))))))</f>
        <v>III юн</v>
      </c>
      <c r="K189" s="626"/>
      <c r="L189" s="356">
        <f t="shared" si="84"/>
        <v>1236.5</v>
      </c>
      <c r="M189" s="362" t="str">
        <f t="shared" si="82"/>
        <v>III юн</v>
      </c>
      <c r="N189" s="362" t="str">
        <f t="shared" si="83"/>
        <v>III юн</v>
      </c>
      <c r="P189" s="537"/>
      <c r="Q189" s="537"/>
      <c r="R189" s="537"/>
      <c r="S189" s="537"/>
      <c r="T189" s="537"/>
      <c r="U189" s="537"/>
      <c r="V189" s="537"/>
      <c r="W189" s="537"/>
      <c r="X189" s="537"/>
      <c r="Y189" s="537"/>
      <c r="Z189" s="537"/>
      <c r="AA189" s="537"/>
      <c r="AB189" s="537"/>
      <c r="AC189" s="537"/>
      <c r="AD189" s="537"/>
      <c r="AE189" s="537"/>
      <c r="AF189" s="537"/>
      <c r="AG189" s="537"/>
      <c r="AH189" s="537"/>
    </row>
    <row r="190" spans="3:34" x14ac:dyDescent="0.25">
      <c r="C190" s="546"/>
      <c r="D190" s="355"/>
      <c r="E190" s="406"/>
      <c r="F190" s="546"/>
      <c r="G190" s="546"/>
      <c r="H190" s="356"/>
      <c r="I190" s="362" t="str">
        <f>IF(ISBLANK(H190)," ",IF(ISTEXT(H190)," ",IF(H190&lt;=707.1,"МСМК",IF(H190&lt;=728.5,"МС",IF(H190&lt;=750,"КМС",IF(H190&lt;=824,"I",IF(H190&lt;=906.5,"II",IF(H190&lt;=953.5,"III",IF(H190&lt;=1049,"I юн",IF(H190&lt;=1150,"II юн",IF(H190&lt;=1248.5,"III юн","б/р")))))))))))</f>
        <v xml:space="preserve"> </v>
      </c>
      <c r="J190" s="355" t="str">
        <f>IF(ISBLANK(H190)," ",IF(ISTEXT(H190)," ",IF(H190&lt;=707.1,"МСМК",IF(H190&lt;=728.5,"МС",IF(H190&lt;=750,"КМС",IF(H190&lt;=824,"I",IF(H190&lt;=906.5,"II",IF(H190&lt;=953.5,"III",IF(H190&lt;=1049,"I юн",IF(H190&lt;=1150,"II юн",IF(H190&lt;=1248.5,"III юн","б/р")))))))))))</f>
        <v xml:space="preserve"> </v>
      </c>
      <c r="K190" s="626"/>
      <c r="P190" s="528"/>
      <c r="Q190" s="528"/>
      <c r="R190" s="528"/>
      <c r="S190" s="528"/>
      <c r="T190" s="528"/>
      <c r="U190" s="528"/>
      <c r="V190" s="528"/>
      <c r="W190" s="528"/>
      <c r="X190" s="528"/>
      <c r="Y190" s="528"/>
      <c r="Z190" s="528"/>
      <c r="AA190" s="528"/>
      <c r="AB190" s="528"/>
      <c r="AC190" s="528"/>
      <c r="AD190" s="528"/>
      <c r="AE190" s="528"/>
      <c r="AF190" s="528"/>
      <c r="AG190" s="528"/>
      <c r="AH190" s="537"/>
    </row>
    <row r="191" spans="3:34" x14ac:dyDescent="0.25">
      <c r="C191" s="349" t="s">
        <v>83</v>
      </c>
      <c r="D191" s="350"/>
      <c r="E191" s="351"/>
      <c r="F191" s="349"/>
      <c r="G191" s="349"/>
      <c r="H191" s="352"/>
      <c r="I191" s="356"/>
      <c r="J191" s="364"/>
      <c r="K191" s="627"/>
      <c r="P191" s="527"/>
      <c r="Q191" s="527"/>
      <c r="R191" s="527"/>
      <c r="S191" s="527"/>
      <c r="T191" s="527"/>
      <c r="U191" s="527"/>
      <c r="V191" s="527"/>
      <c r="W191" s="527"/>
      <c r="X191" s="527"/>
      <c r="Y191" s="527"/>
      <c r="Z191" s="527"/>
      <c r="AA191" s="527"/>
      <c r="AB191" s="527"/>
      <c r="AC191" s="527"/>
      <c r="AD191" s="527"/>
      <c r="AE191" s="527"/>
      <c r="AF191" s="527"/>
      <c r="AG191" s="527"/>
      <c r="AH191" s="537"/>
    </row>
    <row r="192" spans="3:34" x14ac:dyDescent="0.25">
      <c r="C192" s="546"/>
      <c r="D192" s="355"/>
      <c r="E192" s="406"/>
      <c r="F192" s="546"/>
      <c r="G192" s="546"/>
      <c r="H192" s="356">
        <v>634.70000000000005</v>
      </c>
      <c r="I192" s="362" t="str">
        <f t="shared" ref="I192:I199" si="85">IF(ISBLANK(H192)," ",IF(ISTEXT(H192)," ",IF(H192&lt;=634.7,"МСМК",IF(H192&lt;=652.2,"МС",IF(H192&lt;=714.7,"КМС",IF(H192&lt;=736.2,"I",IF(H192&lt;=825.2,"II",IF(H192&lt;=905.4,"III",IF(H192&lt;=955.2,"I юн",IF(H192&lt;=1054.2,"II юн",IF(H192&lt;=1150.7,"III юн","б/р")))))))))))</f>
        <v>МСМК</v>
      </c>
      <c r="J192" s="362" t="str">
        <f t="shared" ref="J192:J199" si="86">IF(ISBLANK(H192)," ",IF(ISTEXT(H192)," ",IF(H192&lt;=634.7,"МСМК",IF(H192&lt;=652.2,"МС",IF(H192&lt;=714.7,"КМС",IF(H192&lt;=736.2,"I",IF(H192&lt;=825.2,"II",IF(H192&lt;=905.4,"III",IF(H192&lt;=955.2,"I юн",IF(H192&lt;=1054.2,"II юн",IF(H192&lt;=1150.7,"III юн","б/р")))))))))))</f>
        <v>МСМК</v>
      </c>
      <c r="K192" s="626"/>
      <c r="L192" s="533">
        <f>H192</f>
        <v>634.70000000000005</v>
      </c>
      <c r="M192" s="531" t="str">
        <f>IF(ISBLANK(L192)," ",IF(ISTEXT(L192)," ",IF(L192&lt;=634.7,"МСМК",IF(L192&lt;=652.2,"МС",IF(L192&lt;=714.5,"КМС",IF(L192&lt;=736,"I",IF(L192&lt;=825,"II",IF(L192&lt;=905.2,"III",IF(L192&lt;=955,"I юн",IF(L192&lt;=1054,"II юн",IF(L192&lt;=1150.5,"III юн","б/р")))))))))))</f>
        <v>МСМК</v>
      </c>
      <c r="N192" s="531" t="str">
        <f>IF(ISBLANK(L192)," ",IF(ISTEXT(L192)," ",IF(L192&lt;=634.7,"МСМК",IF(L192&lt;=652.2,"МС",IF(L192&lt;=714.5,"КМС",IF(L192&lt;=736,"I",IF(L192&lt;=825,"II",IF(L192&lt;=905.2,"III",IF(L192&lt;=955,"I юн",IF(L192&lt;=1054,"II юн",IF(L192&lt;=1150.5,"III юн","б/р")))))))))))</f>
        <v>МСМК</v>
      </c>
      <c r="P192" s="537"/>
      <c r="Q192" s="537"/>
      <c r="R192" s="537"/>
      <c r="S192" s="537"/>
      <c r="T192" s="537"/>
      <c r="U192" s="537"/>
      <c r="V192" s="537"/>
      <c r="W192" s="537"/>
      <c r="X192" s="537"/>
      <c r="Y192" s="537"/>
      <c r="Z192" s="537"/>
      <c r="AA192" s="537"/>
      <c r="AB192" s="537"/>
      <c r="AC192" s="537"/>
      <c r="AD192" s="537"/>
      <c r="AE192" s="537"/>
      <c r="AF192" s="537"/>
      <c r="AG192" s="537"/>
      <c r="AH192" s="537"/>
    </row>
    <row r="193" spans="3:34" x14ac:dyDescent="0.25">
      <c r="C193" s="546"/>
      <c r="D193" s="355"/>
      <c r="E193" s="406"/>
      <c r="F193" s="546"/>
      <c r="G193" s="546"/>
      <c r="H193" s="356">
        <v>652.20000000000005</v>
      </c>
      <c r="I193" s="362" t="str">
        <f t="shared" si="85"/>
        <v>МС</v>
      </c>
      <c r="J193" s="362" t="str">
        <f t="shared" si="86"/>
        <v>МС</v>
      </c>
      <c r="K193" s="626"/>
      <c r="L193" s="533">
        <f>H193</f>
        <v>652.20000000000005</v>
      </c>
      <c r="M193" s="531" t="str">
        <f t="shared" ref="M193:M200" si="87">IF(ISBLANK(L193)," ",IF(ISTEXT(L193)," ",IF(L193&lt;=634.7,"МСМК",IF(L193&lt;=652.2,"МС",IF(L193&lt;=714.5,"КМС",IF(L193&lt;=736,"I",IF(L193&lt;=825,"II",IF(L193&lt;=905.2,"III",IF(L193&lt;=955,"I юн",IF(L193&lt;=1054,"II юн",IF(L193&lt;=1150.5,"III юн","б/р")))))))))))</f>
        <v>МС</v>
      </c>
      <c r="N193" s="531" t="str">
        <f t="shared" ref="N193:N200" si="88">IF(ISBLANK(L193)," ",IF(ISTEXT(L193)," ",IF(L193&lt;=634.7,"МСМК",IF(L193&lt;=652.2,"МС",IF(L193&lt;=714.5,"КМС",IF(L193&lt;=736,"I",IF(L193&lt;=825,"II",IF(L193&lt;=905.2,"III",IF(L193&lt;=955,"I юн",IF(L193&lt;=1054,"II юн",IF(L193&lt;=1150.5,"III юн","б/р")))))))))))</f>
        <v>МС</v>
      </c>
      <c r="P193" s="537"/>
      <c r="Q193" s="537"/>
      <c r="R193" s="537"/>
      <c r="S193" s="537"/>
      <c r="T193" s="537"/>
      <c r="U193" s="537"/>
      <c r="V193" s="537"/>
      <c r="W193" s="537"/>
      <c r="X193" s="537"/>
      <c r="Y193" s="537"/>
      <c r="Z193" s="537"/>
      <c r="AA193" s="537"/>
      <c r="AB193" s="537"/>
      <c r="AC193" s="537"/>
      <c r="AD193" s="537"/>
      <c r="AE193" s="537"/>
      <c r="AF193" s="537"/>
      <c r="AG193" s="537"/>
      <c r="AH193" s="537"/>
    </row>
    <row r="194" spans="3:34" x14ac:dyDescent="0.25">
      <c r="C194" s="546"/>
      <c r="D194" s="355"/>
      <c r="E194" s="406"/>
      <c r="F194" s="546"/>
      <c r="G194" s="546"/>
      <c r="H194" s="356">
        <v>714.7</v>
      </c>
      <c r="I194" s="362" t="str">
        <f t="shared" si="85"/>
        <v>КМС</v>
      </c>
      <c r="J194" s="362" t="str">
        <f t="shared" si="86"/>
        <v>КМС</v>
      </c>
      <c r="K194" s="626"/>
      <c r="L194" s="356">
        <f>H194-0.2</f>
        <v>714.5</v>
      </c>
      <c r="M194" s="362" t="str">
        <f t="shared" si="87"/>
        <v>КМС</v>
      </c>
      <c r="N194" s="362" t="str">
        <f t="shared" si="88"/>
        <v>КМС</v>
      </c>
      <c r="P194" s="537"/>
      <c r="Q194" s="537"/>
      <c r="R194" s="537"/>
      <c r="S194" s="537"/>
      <c r="T194" s="537"/>
      <c r="U194" s="537"/>
      <c r="V194" s="537"/>
      <c r="W194" s="537"/>
      <c r="X194" s="537"/>
      <c r="Y194" s="537"/>
      <c r="Z194" s="537"/>
      <c r="AA194" s="537"/>
      <c r="AB194" s="537"/>
      <c r="AC194" s="537"/>
      <c r="AD194" s="537"/>
      <c r="AE194" s="537"/>
      <c r="AF194" s="537"/>
      <c r="AG194" s="537"/>
      <c r="AH194" s="537"/>
    </row>
    <row r="195" spans="3:34" x14ac:dyDescent="0.25">
      <c r="C195" s="546"/>
      <c r="D195" s="355"/>
      <c r="E195" s="406"/>
      <c r="F195" s="546"/>
      <c r="G195" s="546"/>
      <c r="H195" s="356">
        <v>736.2</v>
      </c>
      <c r="I195" s="362" t="str">
        <f t="shared" si="85"/>
        <v>I</v>
      </c>
      <c r="J195" s="362" t="str">
        <f t="shared" si="86"/>
        <v>I</v>
      </c>
      <c r="K195" s="626"/>
      <c r="L195" s="356">
        <f t="shared" ref="L195:L200" si="89">H195-0.2</f>
        <v>736</v>
      </c>
      <c r="M195" s="362" t="str">
        <f t="shared" si="87"/>
        <v>I</v>
      </c>
      <c r="N195" s="362" t="str">
        <f t="shared" si="88"/>
        <v>I</v>
      </c>
      <c r="P195" s="537"/>
      <c r="Q195" s="537"/>
      <c r="R195" s="537"/>
      <c r="S195" s="537"/>
      <c r="T195" s="537"/>
      <c r="U195" s="537"/>
      <c r="V195" s="537"/>
      <c r="W195" s="537"/>
      <c r="X195" s="537"/>
      <c r="Y195" s="537"/>
      <c r="Z195" s="537"/>
      <c r="AA195" s="537"/>
      <c r="AB195" s="537"/>
      <c r="AC195" s="537"/>
      <c r="AD195" s="537"/>
      <c r="AE195" s="537"/>
      <c r="AF195" s="537"/>
      <c r="AG195" s="537"/>
      <c r="AH195" s="537"/>
    </row>
    <row r="196" spans="3:34" x14ac:dyDescent="0.25">
      <c r="C196" s="546"/>
      <c r="D196" s="355"/>
      <c r="E196" s="406"/>
      <c r="F196" s="546"/>
      <c r="G196" s="546"/>
      <c r="H196" s="356">
        <v>825.2</v>
      </c>
      <c r="I196" s="362" t="str">
        <f t="shared" si="85"/>
        <v>II</v>
      </c>
      <c r="J196" s="362" t="str">
        <f t="shared" si="86"/>
        <v>II</v>
      </c>
      <c r="K196" s="626"/>
      <c r="L196" s="356">
        <f t="shared" si="89"/>
        <v>825</v>
      </c>
      <c r="M196" s="362" t="str">
        <f t="shared" si="87"/>
        <v>II</v>
      </c>
      <c r="N196" s="362" t="str">
        <f t="shared" si="88"/>
        <v>II</v>
      </c>
      <c r="P196" s="537"/>
      <c r="Q196" s="537"/>
      <c r="R196" s="537"/>
      <c r="S196" s="537"/>
      <c r="T196" s="537"/>
      <c r="U196" s="537"/>
      <c r="V196" s="537"/>
      <c r="W196" s="537"/>
      <c r="X196" s="537"/>
      <c r="Y196" s="537"/>
      <c r="Z196" s="537"/>
      <c r="AA196" s="537"/>
      <c r="AB196" s="537"/>
      <c r="AC196" s="537"/>
      <c r="AD196" s="537"/>
      <c r="AE196" s="537"/>
      <c r="AF196" s="537"/>
      <c r="AG196" s="537"/>
      <c r="AH196" s="537"/>
    </row>
    <row r="197" spans="3:34" x14ac:dyDescent="0.25">
      <c r="C197" s="546"/>
      <c r="D197" s="355"/>
      <c r="E197" s="406"/>
      <c r="F197" s="546"/>
      <c r="G197" s="546"/>
      <c r="H197" s="356">
        <v>905.4</v>
      </c>
      <c r="I197" s="362" t="str">
        <f t="shared" si="85"/>
        <v>III</v>
      </c>
      <c r="J197" s="362" t="str">
        <f t="shared" si="86"/>
        <v>III</v>
      </c>
      <c r="K197" s="626"/>
      <c r="L197" s="356">
        <f t="shared" si="89"/>
        <v>905.19999999999993</v>
      </c>
      <c r="M197" s="362" t="str">
        <f t="shared" si="87"/>
        <v>III</v>
      </c>
      <c r="N197" s="362" t="str">
        <f t="shared" si="88"/>
        <v>III</v>
      </c>
      <c r="P197" s="537"/>
      <c r="Q197" s="537"/>
      <c r="R197" s="537"/>
      <c r="S197" s="537"/>
      <c r="T197" s="537"/>
      <c r="U197" s="537"/>
      <c r="V197" s="537"/>
      <c r="W197" s="537"/>
      <c r="X197" s="537"/>
      <c r="Y197" s="537"/>
      <c r="Z197" s="537"/>
      <c r="AA197" s="537"/>
      <c r="AB197" s="537"/>
      <c r="AC197" s="537"/>
      <c r="AD197" s="537"/>
      <c r="AE197" s="537"/>
      <c r="AF197" s="537"/>
      <c r="AG197" s="537"/>
      <c r="AH197" s="537"/>
    </row>
    <row r="198" spans="3:34" x14ac:dyDescent="0.25">
      <c r="C198" s="546"/>
      <c r="D198" s="355"/>
      <c r="E198" s="406"/>
      <c r="F198" s="546"/>
      <c r="G198" s="546"/>
      <c r="H198" s="115">
        <v>955.2</v>
      </c>
      <c r="I198" s="362" t="str">
        <f t="shared" si="85"/>
        <v>I юн</v>
      </c>
      <c r="J198" s="362" t="str">
        <f t="shared" si="86"/>
        <v>I юн</v>
      </c>
      <c r="K198" s="626"/>
      <c r="L198" s="356">
        <f t="shared" si="89"/>
        <v>955</v>
      </c>
      <c r="M198" s="362" t="str">
        <f t="shared" si="87"/>
        <v>I юн</v>
      </c>
      <c r="N198" s="362" t="str">
        <f t="shared" si="88"/>
        <v>I юн</v>
      </c>
      <c r="P198" s="537"/>
      <c r="Q198" s="537"/>
      <c r="R198" s="537"/>
      <c r="S198" s="537"/>
      <c r="T198" s="537"/>
      <c r="U198" s="537"/>
      <c r="V198" s="537"/>
      <c r="W198" s="537"/>
      <c r="X198" s="537"/>
      <c r="Y198" s="537"/>
      <c r="Z198" s="537"/>
      <c r="AA198" s="537"/>
      <c r="AB198" s="537"/>
      <c r="AC198" s="537"/>
      <c r="AD198" s="537"/>
      <c r="AE198" s="537"/>
      <c r="AF198" s="537"/>
      <c r="AG198" s="537"/>
      <c r="AH198" s="537"/>
    </row>
    <row r="199" spans="3:34" x14ac:dyDescent="0.25">
      <c r="C199" s="546"/>
      <c r="D199" s="355"/>
      <c r="E199" s="406"/>
      <c r="F199" s="546"/>
      <c r="G199" s="546"/>
      <c r="H199" s="115">
        <v>1054.2</v>
      </c>
      <c r="I199" s="362" t="str">
        <f t="shared" si="85"/>
        <v>II юн</v>
      </c>
      <c r="J199" s="362" t="str">
        <f t="shared" si="86"/>
        <v>II юн</v>
      </c>
      <c r="K199" s="626"/>
      <c r="L199" s="356">
        <f t="shared" si="89"/>
        <v>1054</v>
      </c>
      <c r="M199" s="362" t="str">
        <f t="shared" si="87"/>
        <v>II юн</v>
      </c>
      <c r="N199" s="362" t="str">
        <f t="shared" si="88"/>
        <v>II юн</v>
      </c>
      <c r="P199" s="537"/>
      <c r="Q199" s="537"/>
      <c r="R199" s="537"/>
      <c r="S199" s="537"/>
      <c r="T199" s="537"/>
      <c r="U199" s="537"/>
      <c r="V199" s="537"/>
      <c r="W199" s="537"/>
      <c r="X199" s="537"/>
      <c r="Y199" s="537"/>
      <c r="Z199" s="537"/>
      <c r="AA199" s="537"/>
      <c r="AB199" s="537"/>
      <c r="AC199" s="537"/>
      <c r="AD199" s="537"/>
      <c r="AE199" s="537"/>
      <c r="AF199" s="537"/>
      <c r="AG199" s="537"/>
      <c r="AH199" s="537"/>
    </row>
    <row r="200" spans="3:34" x14ac:dyDescent="0.25">
      <c r="C200" s="546"/>
      <c r="D200" s="355"/>
      <c r="E200" s="406"/>
      <c r="F200" s="546"/>
      <c r="G200" s="546"/>
      <c r="H200" s="115">
        <v>1150.7</v>
      </c>
      <c r="I200" s="362" t="str">
        <f>IF(ISBLANK(H200)," ",IF(ISTEXT(H200)," ",IF(H200&lt;=634.7,"МСМК",IF(H200&lt;=652.2,"МС",IF(H200&lt;=714.7,"КМС",IF(H200&lt;=736.2,"I",IF(H200&lt;=825.2,"II",IF(H200&lt;=905.4,"III",IF(H200&lt;=955.2,"I юн",IF(H200&lt;=1054.2,"II юн",IF(H200&lt;=1150.7,"III юн","б/р")))))))))))</f>
        <v>III юн</v>
      </c>
      <c r="J200" s="362" t="str">
        <f>IF(ISBLANK(H200)," ",IF(ISTEXT(H200)," ",IF(H200&lt;=634.7,"МСМК",IF(H200&lt;=652.2,"МС",IF(H200&lt;=714.7,"КМС",IF(H200&lt;=736.2,"I",IF(H200&lt;=825.2,"II",IF(H200&lt;=905.4,"III",IF(H200&lt;=955.2,"I юн",IF(H200&lt;=1054.2,"II юн",IF(H200&lt;=1150.7,"III юн","б/р")))))))))))</f>
        <v>III юн</v>
      </c>
      <c r="K200" s="626"/>
      <c r="L200" s="356">
        <f t="shared" si="89"/>
        <v>1150.5</v>
      </c>
      <c r="M200" s="362" t="str">
        <f t="shared" si="87"/>
        <v>III юн</v>
      </c>
      <c r="N200" s="362" t="str">
        <f t="shared" si="88"/>
        <v>III юн</v>
      </c>
      <c r="P200" s="537"/>
      <c r="Q200" s="537"/>
      <c r="R200" s="537"/>
      <c r="S200" s="537"/>
      <c r="T200" s="537"/>
      <c r="U200" s="537"/>
      <c r="V200" s="537"/>
      <c r="W200" s="537"/>
      <c r="X200" s="537"/>
      <c r="Y200" s="537"/>
      <c r="Z200" s="537"/>
      <c r="AA200" s="537"/>
      <c r="AB200" s="537"/>
      <c r="AC200" s="537"/>
      <c r="AD200" s="537"/>
      <c r="AE200" s="537"/>
      <c r="AF200" s="537"/>
      <c r="AG200" s="537"/>
      <c r="AH200" s="537"/>
    </row>
    <row r="201" spans="3:34" x14ac:dyDescent="0.25">
      <c r="C201" s="546"/>
      <c r="D201" s="355"/>
      <c r="E201" s="406"/>
      <c r="F201" s="546"/>
      <c r="G201" s="546"/>
      <c r="H201" s="356"/>
      <c r="I201" s="362" t="str">
        <f>IF(ISBLANK(H201)," ",IF(ISTEXT(H201)," ",IF(H201&lt;=636.9,"МСМК",IF(H201&lt;=654,"МС",IF(H201&lt;=716.5,"КМС",IF(H201&lt;=738,"I",IF(H201&lt;=828,"II",IF(H201&lt;=912,"III",IF(H201&lt;=1005,"I юн",IF(H201&lt;=1059,"II юн",IF(H201&lt;=1155,"III юн","б/р")))))))))))</f>
        <v xml:space="preserve"> </v>
      </c>
      <c r="J201" s="355" t="str">
        <f>IF(ISBLANK(H201)," ",IF(ISTEXT(H201)," ",IF(H201&lt;=636.9,"МСМК",IF(H201&lt;=654,"МС",IF(H201&lt;=716.5,"КМС",IF(H201&lt;=738,"I",IF(H201&lt;=828,"II",IF(H201&lt;=912,"III",IF(H201&lt;=1005,"I юн",IF(H201&lt;=1059,"II юн",IF(H201&lt;=1155,"III юн","б/р")))))))))))</f>
        <v xml:space="preserve"> </v>
      </c>
      <c r="K201" s="626"/>
      <c r="P201" s="537"/>
      <c r="Q201" s="537"/>
      <c r="R201" s="537"/>
      <c r="S201" s="537"/>
      <c r="T201" s="537"/>
      <c r="U201" s="537"/>
      <c r="V201" s="537"/>
      <c r="W201" s="537"/>
      <c r="X201" s="537"/>
      <c r="Y201" s="537"/>
      <c r="Z201" s="537"/>
      <c r="AA201" s="537"/>
      <c r="AB201" s="537"/>
      <c r="AC201" s="537"/>
      <c r="AD201" s="537"/>
      <c r="AE201" s="537"/>
      <c r="AF201" s="537"/>
      <c r="AG201" s="537"/>
      <c r="AH201" s="537"/>
    </row>
    <row r="202" spans="3:34" x14ac:dyDescent="0.25">
      <c r="C202" s="349" t="s">
        <v>84</v>
      </c>
      <c r="D202" s="350"/>
      <c r="E202" s="351"/>
      <c r="F202" s="349"/>
      <c r="G202" s="349"/>
      <c r="H202" s="352"/>
      <c r="I202" s="356"/>
      <c r="J202" s="349"/>
      <c r="K202" s="628"/>
      <c r="P202" s="537"/>
      <c r="Q202" s="537"/>
      <c r="R202" s="537"/>
      <c r="S202" s="537"/>
      <c r="T202" s="537"/>
      <c r="U202" s="537"/>
      <c r="V202" s="537"/>
      <c r="W202" s="537"/>
      <c r="X202" s="537"/>
      <c r="Y202" s="537"/>
      <c r="Z202" s="537"/>
      <c r="AA202" s="537"/>
      <c r="AB202" s="537"/>
      <c r="AC202" s="537"/>
      <c r="AD202" s="537"/>
      <c r="AE202" s="537"/>
      <c r="AF202" s="537"/>
      <c r="AG202" s="537"/>
      <c r="AH202" s="537"/>
    </row>
    <row r="203" spans="3:34" x14ac:dyDescent="0.25">
      <c r="C203" s="546"/>
      <c r="D203" s="355"/>
      <c r="E203" s="406"/>
      <c r="F203" s="546"/>
      <c r="G203" s="546"/>
      <c r="H203" s="356">
        <v>1339.2</v>
      </c>
      <c r="I203" s="362" t="str">
        <f t="shared" ref="I203:I208" si="90">IF(ISBLANK(H203)," ",IF(ISTEXT(H203)," ",IF(H203&lt;=1339.2,"МСМК",IF(H203&lt;=1418.2,"МС",IF(H203&lt;=1458.7,"КМС",IF(H203&lt;=1600.2,"I",IF(H203&lt;=1724.7,"II",IF(H203&lt;=1850.2,"III","б/р"))))))))</f>
        <v>МСМК</v>
      </c>
      <c r="J203" s="362" t="str">
        <f t="shared" ref="J203:J208" si="91">IF(ISBLANK(H203)," ",IF(ISTEXT(H203)," ",IF(H203&lt;=1339.2,"МСМК",IF(H203&lt;=1418.2,"МС",IF(H203&lt;=1458.7,"КМС",IF(H203&lt;=1600.2,"I",IF(H203&lt;=1724.7,"II",IF(H203&lt;=1850.2,"III","б/р"))))))))</f>
        <v>МСМК</v>
      </c>
      <c r="K203" s="626"/>
      <c r="L203" s="533">
        <f>H203</f>
        <v>1339.2</v>
      </c>
      <c r="M203" s="531" t="str">
        <f t="shared" ref="M203:M208" si="92">IF(ISBLANK(L203)," ",IF(ISTEXT(L203)," ",IF(L203&lt;=1339.2,"МСМК",IF(L203&lt;=1418.2,"МС",IF(L203&lt;=1458.5,"КМС",IF(L203&lt;=1600,"I",IF(L203&lt;=1724.5,"II",IF(L203&lt;=1850,"III","б/р"))))))))</f>
        <v>МСМК</v>
      </c>
      <c r="N203" s="531" t="str">
        <f t="shared" ref="N203:N208" si="93">IF(ISBLANK(L203)," ",IF(ISTEXT(L203)," ",IF(L203&lt;=1339.2,"МСМК",IF(L203&lt;=1418.2,"МС",IF(L203&lt;=1458.5,"КМС",IF(L203&lt;=1600,"I",IF(L203&lt;=1724.5,"II",IF(L203&lt;=1850,"III","б/р"))))))))</f>
        <v>МСМК</v>
      </c>
      <c r="P203" s="537"/>
      <c r="Q203" s="537"/>
      <c r="R203" s="537"/>
      <c r="S203" s="537"/>
      <c r="T203" s="537"/>
      <c r="U203" s="537"/>
      <c r="V203" s="537"/>
      <c r="W203" s="537"/>
      <c r="X203" s="537"/>
      <c r="Y203" s="537"/>
      <c r="Z203" s="537"/>
      <c r="AA203" s="537"/>
      <c r="AB203" s="537"/>
      <c r="AC203" s="537"/>
      <c r="AD203" s="537"/>
      <c r="AE203" s="537"/>
      <c r="AF203" s="537"/>
      <c r="AG203" s="537"/>
      <c r="AH203" s="537"/>
    </row>
    <row r="204" spans="3:34" x14ac:dyDescent="0.25">
      <c r="C204" s="546"/>
      <c r="D204" s="355"/>
      <c r="E204" s="406"/>
      <c r="F204" s="546"/>
      <c r="G204" s="546"/>
      <c r="H204" s="356">
        <v>1418.2</v>
      </c>
      <c r="I204" s="362" t="str">
        <f t="shared" si="90"/>
        <v>МС</v>
      </c>
      <c r="J204" s="362" t="str">
        <f t="shared" si="91"/>
        <v>МС</v>
      </c>
      <c r="K204" s="626"/>
      <c r="L204" s="533">
        <f>H204</f>
        <v>1418.2</v>
      </c>
      <c r="M204" s="531" t="str">
        <f t="shared" si="92"/>
        <v>МС</v>
      </c>
      <c r="N204" s="531" t="str">
        <f t="shared" si="93"/>
        <v>МС</v>
      </c>
      <c r="P204" s="537"/>
      <c r="Q204" s="537"/>
      <c r="R204" s="537"/>
      <c r="S204" s="537"/>
      <c r="T204" s="537"/>
      <c r="U204" s="537"/>
      <c r="V204" s="537"/>
      <c r="W204" s="537"/>
      <c r="X204" s="537"/>
      <c r="Y204" s="537"/>
      <c r="Z204" s="537"/>
      <c r="AA204" s="537"/>
      <c r="AB204" s="537"/>
      <c r="AC204" s="537"/>
      <c r="AD204" s="537"/>
      <c r="AE204" s="537"/>
      <c r="AF204" s="537"/>
      <c r="AG204" s="537"/>
      <c r="AH204" s="537"/>
    </row>
    <row r="205" spans="3:34" x14ac:dyDescent="0.25">
      <c r="C205" s="546"/>
      <c r="D205" s="355"/>
      <c r="E205" s="406"/>
      <c r="F205" s="546"/>
      <c r="G205" s="546"/>
      <c r="H205" s="356">
        <v>1458.7</v>
      </c>
      <c r="I205" s="362" t="str">
        <f t="shared" si="90"/>
        <v>КМС</v>
      </c>
      <c r="J205" s="362" t="str">
        <f t="shared" si="91"/>
        <v>КМС</v>
      </c>
      <c r="K205" s="626"/>
      <c r="L205" s="356">
        <f>H205-0.2</f>
        <v>1458.5</v>
      </c>
      <c r="M205" s="362" t="str">
        <f t="shared" si="92"/>
        <v>КМС</v>
      </c>
      <c r="N205" s="362" t="str">
        <f t="shared" si="93"/>
        <v>КМС</v>
      </c>
      <c r="P205" s="537"/>
      <c r="Q205" s="537"/>
      <c r="R205" s="537"/>
      <c r="S205" s="537"/>
      <c r="T205" s="537"/>
      <c r="U205" s="537"/>
      <c r="V205" s="537"/>
      <c r="W205" s="537"/>
      <c r="X205" s="537"/>
      <c r="Y205" s="537"/>
      <c r="Z205" s="537"/>
      <c r="AA205" s="537"/>
      <c r="AB205" s="537"/>
      <c r="AC205" s="537"/>
      <c r="AD205" s="537"/>
      <c r="AE205" s="537"/>
      <c r="AF205" s="537"/>
      <c r="AG205" s="537"/>
      <c r="AH205" s="537"/>
    </row>
    <row r="206" spans="3:34" x14ac:dyDescent="0.25">
      <c r="C206" s="546"/>
      <c r="D206" s="355"/>
      <c r="E206" s="406"/>
      <c r="F206" s="546"/>
      <c r="G206" s="546"/>
      <c r="H206" s="356">
        <v>1600.2</v>
      </c>
      <c r="I206" s="362" t="str">
        <f t="shared" si="90"/>
        <v>I</v>
      </c>
      <c r="J206" s="362" t="str">
        <f t="shared" si="91"/>
        <v>I</v>
      </c>
      <c r="K206" s="626"/>
      <c r="L206" s="356">
        <f>H206-0.2</f>
        <v>1600</v>
      </c>
      <c r="M206" s="362" t="str">
        <f t="shared" si="92"/>
        <v>I</v>
      </c>
      <c r="N206" s="362" t="str">
        <f t="shared" si="93"/>
        <v>I</v>
      </c>
      <c r="P206" s="537"/>
      <c r="Q206" s="537"/>
      <c r="R206" s="537"/>
      <c r="S206" s="537"/>
      <c r="T206" s="537"/>
      <c r="U206" s="537"/>
      <c r="V206" s="537"/>
      <c r="W206" s="537"/>
      <c r="X206" s="537"/>
      <c r="Y206" s="537"/>
      <c r="Z206" s="537"/>
      <c r="AA206" s="537"/>
      <c r="AB206" s="537"/>
      <c r="AC206" s="537"/>
      <c r="AD206" s="537"/>
      <c r="AE206" s="537"/>
      <c r="AF206" s="537"/>
      <c r="AG206" s="537"/>
      <c r="AH206" s="537"/>
    </row>
    <row r="207" spans="3:34" x14ac:dyDescent="0.25">
      <c r="C207" s="546"/>
      <c r="D207" s="355"/>
      <c r="E207" s="406"/>
      <c r="F207" s="546"/>
      <c r="G207" s="546"/>
      <c r="H207" s="356">
        <v>1724.7</v>
      </c>
      <c r="I207" s="362" t="str">
        <f t="shared" si="90"/>
        <v>II</v>
      </c>
      <c r="J207" s="362" t="str">
        <f t="shared" si="91"/>
        <v>II</v>
      </c>
      <c r="K207" s="626"/>
      <c r="L207" s="356">
        <f>H207-0.2</f>
        <v>1724.5</v>
      </c>
      <c r="M207" s="362" t="str">
        <f t="shared" si="92"/>
        <v>II</v>
      </c>
      <c r="N207" s="362" t="str">
        <f t="shared" si="93"/>
        <v>II</v>
      </c>
      <c r="P207" s="537"/>
      <c r="Q207" s="537"/>
      <c r="R207" s="537"/>
      <c r="S207" s="537"/>
      <c r="T207" s="537"/>
      <c r="U207" s="537"/>
      <c r="V207" s="537"/>
      <c r="W207" s="537"/>
      <c r="X207" s="537"/>
      <c r="Y207" s="537"/>
      <c r="Z207" s="537"/>
      <c r="AA207" s="537"/>
      <c r="AB207" s="537"/>
      <c r="AC207" s="537"/>
      <c r="AD207" s="537"/>
      <c r="AE207" s="537"/>
      <c r="AF207" s="537"/>
      <c r="AG207" s="537"/>
      <c r="AH207" s="537"/>
    </row>
    <row r="208" spans="3:34" x14ac:dyDescent="0.25">
      <c r="C208" s="546"/>
      <c r="D208" s="355"/>
      <c r="E208" s="406"/>
      <c r="F208" s="546"/>
      <c r="G208" s="546"/>
      <c r="H208" s="356">
        <v>1850.2</v>
      </c>
      <c r="I208" s="362" t="str">
        <f t="shared" si="90"/>
        <v>III</v>
      </c>
      <c r="J208" s="362" t="str">
        <f t="shared" si="91"/>
        <v>III</v>
      </c>
      <c r="K208" s="626"/>
      <c r="L208" s="356">
        <f>H208-0.2</f>
        <v>1850</v>
      </c>
      <c r="M208" s="362" t="str">
        <f t="shared" si="92"/>
        <v>III</v>
      </c>
      <c r="N208" s="362" t="str">
        <f t="shared" si="93"/>
        <v>III</v>
      </c>
      <c r="P208" s="537"/>
      <c r="Q208" s="537"/>
      <c r="R208" s="537"/>
      <c r="S208" s="537"/>
      <c r="T208" s="537"/>
      <c r="U208" s="537"/>
      <c r="V208" s="537"/>
      <c r="W208" s="537"/>
      <c r="X208" s="537"/>
      <c r="Y208" s="537"/>
      <c r="Z208" s="537"/>
      <c r="AA208" s="537"/>
      <c r="AB208" s="537"/>
      <c r="AC208" s="537"/>
      <c r="AD208" s="537"/>
      <c r="AE208" s="537"/>
      <c r="AF208" s="537"/>
      <c r="AG208" s="537"/>
      <c r="AH208" s="537"/>
    </row>
    <row r="209" spans="3:34" x14ac:dyDescent="0.25">
      <c r="C209" s="364"/>
      <c r="D209" s="364"/>
      <c r="E209" s="364"/>
      <c r="F209" s="364"/>
      <c r="G209" s="364"/>
      <c r="H209" s="363"/>
      <c r="I209" s="362" t="str">
        <f>IF(ISBLANK(H209)," ",IF(ISTEXT(H209)," ",IF(H209&lt;=1340.6,"МСМК",IF(H209&lt;=1421.6,"МС",IF(H209&lt;=1502.7,"КМС",IF(H209&lt;=1608.3,"I",IF(H209&lt;=1730,"II",IF(H209&lt;=1900,"III","б/р"))))))))</f>
        <v xml:space="preserve"> </v>
      </c>
      <c r="J209" s="355" t="str">
        <f>IF(ISBLANK(H209)," ",IF(ISTEXT(H209)," ",IF(H209&lt;=1340.6,"МСМК",IF(H209&lt;=1421.6,"МС",IF(H209&lt;=1502.7,"КМС",IF(H209&lt;=1608.3,"I",IF(H209&lt;=1730,"II",IF(H209&lt;=1900,"III","б/р"))))))))</f>
        <v xml:space="preserve"> </v>
      </c>
      <c r="K209" s="626"/>
      <c r="P209" s="528"/>
      <c r="Q209" s="528"/>
      <c r="R209" s="528"/>
      <c r="S209" s="528"/>
      <c r="T209" s="528"/>
      <c r="U209" s="528"/>
      <c r="V209" s="528"/>
      <c r="W209" s="528"/>
      <c r="X209" s="528"/>
      <c r="Y209" s="528"/>
      <c r="Z209" s="528"/>
      <c r="AA209" s="528"/>
      <c r="AB209" s="537"/>
      <c r="AC209" s="537"/>
      <c r="AD209" s="537"/>
      <c r="AE209" s="537"/>
      <c r="AF209" s="537"/>
      <c r="AG209" s="537"/>
      <c r="AH209" s="537"/>
    </row>
    <row r="210" spans="3:34" x14ac:dyDescent="0.25">
      <c r="C210" s="349" t="s">
        <v>85</v>
      </c>
      <c r="D210" s="350"/>
      <c r="E210" s="351"/>
      <c r="F210" s="349"/>
      <c r="G210" s="349"/>
      <c r="H210" s="352"/>
      <c r="I210" s="356"/>
      <c r="J210" s="364"/>
      <c r="K210" s="627"/>
      <c r="P210" s="527"/>
      <c r="Q210" s="527"/>
      <c r="R210" s="527"/>
      <c r="S210" s="527"/>
      <c r="T210" s="527"/>
      <c r="U210" s="527"/>
      <c r="V210" s="527"/>
      <c r="W210" s="527"/>
      <c r="X210" s="527"/>
      <c r="Y210" s="527"/>
      <c r="Z210" s="527"/>
      <c r="AA210" s="527"/>
      <c r="AB210" s="537"/>
      <c r="AC210" s="537"/>
      <c r="AD210" s="537"/>
      <c r="AE210" s="537"/>
      <c r="AF210" s="537"/>
      <c r="AG210" s="537"/>
      <c r="AH210" s="537"/>
    </row>
    <row r="211" spans="3:34" x14ac:dyDescent="0.25">
      <c r="C211" s="546"/>
      <c r="D211" s="355"/>
      <c r="E211" s="406"/>
      <c r="F211" s="546"/>
      <c r="G211" s="546"/>
      <c r="H211" s="356"/>
      <c r="I211" s="356"/>
      <c r="J211" s="364"/>
      <c r="K211" s="627"/>
      <c r="P211" s="537"/>
      <c r="Q211" s="537"/>
      <c r="R211" s="537"/>
      <c r="S211" s="537"/>
      <c r="T211" s="537"/>
      <c r="U211" s="537"/>
      <c r="V211" s="537"/>
      <c r="W211" s="537"/>
      <c r="X211" s="537"/>
      <c r="Y211" s="537"/>
      <c r="Z211" s="537"/>
      <c r="AA211" s="537"/>
      <c r="AB211" s="537"/>
      <c r="AC211" s="537"/>
      <c r="AD211" s="537"/>
      <c r="AE211" s="537"/>
      <c r="AF211" s="537"/>
      <c r="AG211" s="537"/>
      <c r="AH211" s="537"/>
    </row>
    <row r="212" spans="3:34" x14ac:dyDescent="0.25">
      <c r="C212" s="546"/>
      <c r="D212" s="355"/>
      <c r="E212" s="406"/>
      <c r="F212" s="546"/>
      <c r="G212" s="546"/>
      <c r="H212" s="356">
        <v>1241.2</v>
      </c>
      <c r="I212" s="362" t="str">
        <f t="shared" ref="I212:I217" si="94">IF(ISBLANK(H212)," ",IF(ISTEXT(H212)," ",IF(H212&lt;=1241.2,"МСМК",IF(H212&lt;=1320.7,"МС",IF(H212&lt;=1358.2,"КМС",IF(H212&lt;=1452.7,"I",IF(H212&lt;=1615.2,"II",IF(H212&lt;=1733.2,"III","б/р"))))))))</f>
        <v>МСМК</v>
      </c>
      <c r="J212" s="362" t="str">
        <f t="shared" ref="J212:J217" si="95">IF(ISBLANK(H212)," ",IF(ISTEXT(H212)," ",IF(H212&lt;=1241.2,"МСМК",IF(H212&lt;=1320.7,"МС",IF(H212&lt;=1358.2,"КМС",IF(H212&lt;=1452.7,"I",IF(H212&lt;=1615.2,"II",IF(H212&lt;=1733.2,"III","б/р"))))))))</f>
        <v>МСМК</v>
      </c>
      <c r="K212" s="626"/>
      <c r="L212" s="533">
        <f>H212</f>
        <v>1241.2</v>
      </c>
      <c r="M212" s="531" t="str">
        <f t="shared" ref="M212:M217" si="96">IF(ISBLANK(L212)," ",IF(ISTEXT(L212)," ",IF(L212&lt;=1241.2,"МСМК",IF(L212&lt;=1320.7,"МС",IF(L212&lt;=1358,"КМС",IF(L212&lt;=1452.5,"I",IF(L212&lt;=1615,"II",IF(L212&lt;=1733,"III","б/р"))))))))</f>
        <v>МСМК</v>
      </c>
      <c r="N212" s="531" t="str">
        <f t="shared" ref="N212:N217" si="97">IF(ISBLANK(L212)," ",IF(ISTEXT(L212)," ",IF(L212&lt;=1241.2,"МСМК",IF(L212&lt;=1320.7,"МС",IF(L212&lt;=1358,"КМС",IF(L212&lt;=1452.5,"I",IF(L212&lt;=1615,"II",IF(L212&lt;=1733,"III","б/р"))))))))</f>
        <v>МСМК</v>
      </c>
      <c r="P212" s="537"/>
      <c r="Q212" s="537"/>
      <c r="R212" s="537"/>
      <c r="S212" s="537"/>
      <c r="T212" s="537"/>
      <c r="U212" s="537"/>
      <c r="V212" s="537"/>
      <c r="W212" s="537"/>
      <c r="X212" s="537"/>
      <c r="Y212" s="537"/>
      <c r="Z212" s="537"/>
      <c r="AA212" s="537"/>
      <c r="AB212" s="537"/>
      <c r="AC212" s="537"/>
      <c r="AD212" s="537"/>
      <c r="AE212" s="537"/>
      <c r="AF212" s="537"/>
      <c r="AG212" s="537"/>
      <c r="AH212" s="537"/>
    </row>
    <row r="213" spans="3:34" x14ac:dyDescent="0.25">
      <c r="C213" s="546"/>
      <c r="D213" s="355"/>
      <c r="E213" s="406"/>
      <c r="F213" s="546"/>
      <c r="G213" s="546"/>
      <c r="H213" s="356">
        <v>1320.7</v>
      </c>
      <c r="I213" s="362" t="str">
        <f t="shared" si="94"/>
        <v>МС</v>
      </c>
      <c r="J213" s="362" t="str">
        <f t="shared" si="95"/>
        <v>МС</v>
      </c>
      <c r="K213" s="626"/>
      <c r="L213" s="533">
        <f>H213</f>
        <v>1320.7</v>
      </c>
      <c r="M213" s="531" t="str">
        <f t="shared" si="96"/>
        <v>МС</v>
      </c>
      <c r="N213" s="531" t="str">
        <f t="shared" si="97"/>
        <v>МС</v>
      </c>
      <c r="P213" s="537"/>
      <c r="Q213" s="537"/>
      <c r="R213" s="537"/>
      <c r="S213" s="537"/>
      <c r="T213" s="537"/>
      <c r="U213" s="537"/>
      <c r="V213" s="537"/>
      <c r="W213" s="537"/>
      <c r="X213" s="537"/>
      <c r="Y213" s="537"/>
      <c r="Z213" s="537"/>
      <c r="AA213" s="537"/>
      <c r="AB213" s="537"/>
      <c r="AC213" s="537"/>
      <c r="AD213" s="537"/>
      <c r="AE213" s="537"/>
      <c r="AF213" s="537"/>
      <c r="AG213" s="537"/>
      <c r="AH213" s="537"/>
    </row>
    <row r="214" spans="3:34" x14ac:dyDescent="0.25">
      <c r="C214" s="546"/>
      <c r="D214" s="355"/>
      <c r="E214" s="406"/>
      <c r="F214" s="546"/>
      <c r="G214" s="546"/>
      <c r="H214" s="356">
        <v>1358.2</v>
      </c>
      <c r="I214" s="362" t="str">
        <f t="shared" si="94"/>
        <v>КМС</v>
      </c>
      <c r="J214" s="362" t="str">
        <f t="shared" si="95"/>
        <v>КМС</v>
      </c>
      <c r="K214" s="626"/>
      <c r="L214" s="356">
        <f>H214-0.2</f>
        <v>1358</v>
      </c>
      <c r="M214" s="362" t="str">
        <f t="shared" si="96"/>
        <v>КМС</v>
      </c>
      <c r="N214" s="362" t="str">
        <f t="shared" si="97"/>
        <v>КМС</v>
      </c>
      <c r="P214" s="537"/>
      <c r="Q214" s="537"/>
      <c r="R214" s="537"/>
      <c r="S214" s="537"/>
      <c r="T214" s="537"/>
      <c r="U214" s="537"/>
      <c r="V214" s="537"/>
      <c r="W214" s="537"/>
      <c r="X214" s="537"/>
      <c r="Y214" s="537"/>
      <c r="Z214" s="537"/>
      <c r="AA214" s="537"/>
      <c r="AB214" s="537"/>
      <c r="AC214" s="537"/>
      <c r="AD214" s="537"/>
      <c r="AE214" s="537"/>
      <c r="AF214" s="537"/>
      <c r="AG214" s="537"/>
      <c r="AH214" s="537"/>
    </row>
    <row r="215" spans="3:34" x14ac:dyDescent="0.25">
      <c r="C215" s="546"/>
      <c r="D215" s="355"/>
      <c r="E215" s="406"/>
      <c r="F215" s="546"/>
      <c r="G215" s="546"/>
      <c r="H215" s="356">
        <v>1452.7</v>
      </c>
      <c r="I215" s="362" t="str">
        <f t="shared" si="94"/>
        <v>I</v>
      </c>
      <c r="J215" s="362" t="str">
        <f t="shared" si="95"/>
        <v>I</v>
      </c>
      <c r="K215" s="626"/>
      <c r="L215" s="356">
        <f>H215-0.2</f>
        <v>1452.5</v>
      </c>
      <c r="M215" s="362" t="str">
        <f t="shared" si="96"/>
        <v>I</v>
      </c>
      <c r="N215" s="362" t="str">
        <f t="shared" si="97"/>
        <v>I</v>
      </c>
      <c r="P215" s="537"/>
      <c r="Q215" s="537"/>
      <c r="R215" s="537"/>
      <c r="S215" s="537"/>
      <c r="T215" s="537"/>
      <c r="U215" s="537"/>
      <c r="V215" s="537"/>
      <c r="W215" s="537"/>
      <c r="X215" s="537"/>
      <c r="Y215" s="537"/>
      <c r="Z215" s="537"/>
      <c r="AA215" s="537"/>
      <c r="AB215" s="537"/>
      <c r="AC215" s="537"/>
      <c r="AD215" s="537"/>
      <c r="AE215" s="537"/>
      <c r="AF215" s="537"/>
      <c r="AG215" s="537"/>
      <c r="AH215" s="537"/>
    </row>
    <row r="216" spans="3:34" x14ac:dyDescent="0.25">
      <c r="C216" s="546"/>
      <c r="D216" s="355"/>
      <c r="E216" s="406"/>
      <c r="F216" s="546"/>
      <c r="G216" s="546"/>
      <c r="H216" s="356">
        <v>1615.2</v>
      </c>
      <c r="I216" s="362" t="str">
        <f t="shared" si="94"/>
        <v>II</v>
      </c>
      <c r="J216" s="362" t="str">
        <f t="shared" si="95"/>
        <v>II</v>
      </c>
      <c r="K216" s="626"/>
      <c r="L216" s="356">
        <f>H216-0.2</f>
        <v>1615</v>
      </c>
      <c r="M216" s="362" t="str">
        <f t="shared" si="96"/>
        <v>II</v>
      </c>
      <c r="N216" s="362" t="str">
        <f t="shared" si="97"/>
        <v>II</v>
      </c>
      <c r="P216" s="537"/>
      <c r="Q216" s="537"/>
      <c r="R216" s="537"/>
      <c r="S216" s="537"/>
      <c r="T216" s="537"/>
      <c r="U216" s="537"/>
      <c r="V216" s="537"/>
      <c r="W216" s="537"/>
      <c r="X216" s="537"/>
      <c r="Y216" s="537"/>
      <c r="Z216" s="537"/>
      <c r="AA216" s="537"/>
      <c r="AB216" s="537"/>
      <c r="AC216" s="537"/>
      <c r="AD216" s="537"/>
      <c r="AE216" s="537"/>
      <c r="AF216" s="537"/>
      <c r="AG216" s="537"/>
      <c r="AH216" s="537"/>
    </row>
    <row r="217" spans="3:34" x14ac:dyDescent="0.25">
      <c r="C217" s="546"/>
      <c r="D217" s="355"/>
      <c r="E217" s="406"/>
      <c r="F217" s="546"/>
      <c r="G217" s="546"/>
      <c r="H217" s="356">
        <v>1733.2</v>
      </c>
      <c r="I217" s="362" t="str">
        <f t="shared" si="94"/>
        <v>III</v>
      </c>
      <c r="J217" s="362" t="str">
        <f t="shared" si="95"/>
        <v>III</v>
      </c>
      <c r="K217" s="626"/>
      <c r="L217" s="356">
        <f>H217-0.2</f>
        <v>1733</v>
      </c>
      <c r="M217" s="362" t="str">
        <f t="shared" si="96"/>
        <v>III</v>
      </c>
      <c r="N217" s="362" t="str">
        <f t="shared" si="97"/>
        <v>III</v>
      </c>
      <c r="P217" s="537"/>
      <c r="Q217" s="537"/>
      <c r="R217" s="537"/>
      <c r="S217" s="537"/>
      <c r="T217" s="537"/>
      <c r="U217" s="537"/>
      <c r="V217" s="537"/>
      <c r="W217" s="537"/>
      <c r="X217" s="537"/>
      <c r="Y217" s="537"/>
      <c r="Z217" s="537"/>
      <c r="AA217" s="537"/>
      <c r="AB217" s="537"/>
      <c r="AC217" s="537"/>
      <c r="AD217" s="537"/>
      <c r="AE217" s="537"/>
      <c r="AF217" s="537"/>
      <c r="AG217" s="537"/>
      <c r="AH217" s="537"/>
    </row>
    <row r="218" spans="3:34" x14ac:dyDescent="0.25">
      <c r="C218" s="546"/>
      <c r="D218" s="355"/>
      <c r="E218" s="406"/>
      <c r="F218" s="546"/>
      <c r="G218" s="546"/>
      <c r="H218" s="356"/>
      <c r="I218" s="362" t="str">
        <f>IF(ISBLANK(H218)," ",IF(ISTEXT(H218)," ",IF(H218&lt;=1245.6,"МСМК",IF(H218&lt;=1323.3,"МС",IF(H218&lt;=1401.5,"КМС",IF(H218&lt;=1455,"I",IF(H218&lt;=1620,"II",IF(H218&lt;=1740,"III","б/р"))))))))</f>
        <v xml:space="preserve"> </v>
      </c>
      <c r="J218" s="355" t="str">
        <f>IF(ISBLANK(H218)," ",IF(ISTEXT(H218)," ",IF(H218&lt;=1245.6,"МСМК",IF(H218&lt;=1323.3,"МС",IF(H218&lt;=1401.5,"КМС",IF(H218&lt;=1455,"I",IF(H218&lt;=1620,"II",IF(H218&lt;=1740,"III","б/р"))))))))</f>
        <v xml:space="preserve"> </v>
      </c>
      <c r="K218" s="626"/>
      <c r="P218" s="537"/>
      <c r="Q218" s="537"/>
      <c r="R218" s="537"/>
      <c r="S218" s="537"/>
      <c r="T218" s="537"/>
      <c r="U218" s="537"/>
      <c r="V218" s="537"/>
      <c r="W218" s="537"/>
      <c r="X218" s="537"/>
      <c r="Y218" s="537"/>
      <c r="Z218" s="537"/>
      <c r="AA218" s="537"/>
      <c r="AB218" s="537"/>
      <c r="AC218" s="537"/>
      <c r="AD218" s="537"/>
      <c r="AE218" s="537"/>
      <c r="AF218" s="537"/>
      <c r="AG218" s="537"/>
      <c r="AH218" s="537"/>
    </row>
    <row r="219" spans="3:34" x14ac:dyDescent="0.25">
      <c r="C219" s="349" t="s">
        <v>86</v>
      </c>
      <c r="D219" s="350"/>
      <c r="E219" s="351"/>
      <c r="F219" s="349"/>
      <c r="G219" s="349"/>
      <c r="H219" s="352"/>
      <c r="I219" s="356"/>
      <c r="J219" s="364"/>
      <c r="K219" s="627"/>
      <c r="P219" s="537"/>
      <c r="Q219" s="537"/>
      <c r="R219" s="537"/>
      <c r="S219" s="537"/>
      <c r="T219" s="537"/>
      <c r="U219" s="537"/>
      <c r="V219" s="537"/>
      <c r="W219" s="537"/>
      <c r="X219" s="537"/>
      <c r="Y219" s="537"/>
      <c r="Z219" s="537"/>
      <c r="AA219" s="537"/>
      <c r="AB219" s="537"/>
      <c r="AC219" s="537"/>
      <c r="AD219" s="537"/>
      <c r="AE219" s="537"/>
      <c r="AF219" s="537"/>
      <c r="AG219" s="537"/>
      <c r="AH219" s="537"/>
    </row>
    <row r="220" spans="3:34" x14ac:dyDescent="0.25">
      <c r="C220" s="546"/>
      <c r="D220" s="355"/>
      <c r="E220" s="406"/>
      <c r="F220" s="546"/>
      <c r="G220" s="546"/>
      <c r="H220" s="356">
        <v>36.299999999999997</v>
      </c>
      <c r="I220" s="362" t="str">
        <f t="shared" ref="I220:I227" si="98">IF(ISBLANK(H220)," ",IF(ISTEXT(H220)," ",IF(H220&lt;=36.3,"МСМК",IF(H220&lt;=38.1,"МС",IF(H220&lt;=39.9,"КМС",IF(H220&lt;=42.8,"I",IF(H220&lt;=46.4,"II",IF(H220&lt;=50.4,"III",IF(H220&lt;=55.2,"I юн",IF(H220&lt;=100.2,"II юн",IF(H220&lt;=105.4,"III юн","б/р")))))))))))</f>
        <v>МСМК</v>
      </c>
      <c r="J220" s="362" t="str">
        <f t="shared" ref="J220:J227" si="99">IF(ISBLANK(H220)," ",IF(ISTEXT(H220)," ",IF(H220&lt;=36.3,"МСМК",IF(H220&lt;=38.1,"МС",IF(H220&lt;=39.9,"КМС",IF(H220&lt;=42.8,"I",IF(H220&lt;=46.4,"II",IF(H220&lt;=50.4,"III",IF(H220&lt;=55.2,"I юн",IF(H220&lt;=100.2,"II юн",IF(H220&lt;=105.4,"III юн","б/р")))))))))))</f>
        <v>МСМК</v>
      </c>
      <c r="K220" s="626"/>
      <c r="L220" s="533">
        <f>H220</f>
        <v>36.299999999999997</v>
      </c>
      <c r="M220" s="531" t="str">
        <f>IF(ISBLANK(L220)," ",IF(ISTEXT(L220)," ",IF(L220&lt;=36.3,"МСМК",IF(L220&lt;=38.1,"МС",IF(L220&lt;=39.7,"КМС",IF(L220&lt;=42.6,"I",IF(L220&lt;=46.2,"II",IF(L220&lt;=50.2,"III",IF(L220&lt;=55,"I юн",IF(L220&lt;=100,"II юн",IF(L220&lt;=105.2,"III юн","б/р")))))))))))</f>
        <v>МСМК</v>
      </c>
      <c r="N220" s="531" t="str">
        <f>IF(ISBLANK(L220)," ",IF(ISTEXT(L220)," ",IF(L220&lt;=36.3,"МСМК",IF(L220&lt;=38.1,"МС",IF(L220&lt;=39.7,"КМС",IF(L220&lt;=42.6,"I",IF(L220&lt;=46.2,"II",IF(L220&lt;=50.2,"III",IF(L220&lt;=55,"I юн",IF(L220&lt;=100,"II юн",IF(L220&lt;=105.2,"III юн","б/р")))))))))))</f>
        <v>МСМК</v>
      </c>
      <c r="P220" s="537"/>
      <c r="Q220" s="537"/>
      <c r="R220" s="537"/>
      <c r="S220" s="537"/>
      <c r="T220" s="537"/>
      <c r="U220" s="537"/>
      <c r="V220" s="537"/>
      <c r="W220" s="537"/>
      <c r="X220" s="537"/>
      <c r="Y220" s="537"/>
      <c r="Z220" s="537"/>
      <c r="AA220" s="537"/>
      <c r="AB220" s="537"/>
      <c r="AC220" s="537"/>
      <c r="AD220" s="537"/>
      <c r="AE220" s="537"/>
      <c r="AF220" s="537"/>
      <c r="AG220" s="537"/>
      <c r="AH220" s="537"/>
    </row>
    <row r="221" spans="3:34" x14ac:dyDescent="0.25">
      <c r="C221" s="546"/>
      <c r="D221" s="355"/>
      <c r="E221" s="406"/>
      <c r="F221" s="546"/>
      <c r="G221" s="546"/>
      <c r="H221" s="356">
        <v>38.1</v>
      </c>
      <c r="I221" s="362" t="str">
        <f t="shared" si="98"/>
        <v>МС</v>
      </c>
      <c r="J221" s="362" t="str">
        <f t="shared" si="99"/>
        <v>МС</v>
      </c>
      <c r="K221" s="626"/>
      <c r="L221" s="533">
        <f>H221</f>
        <v>38.1</v>
      </c>
      <c r="M221" s="531" t="str">
        <f t="shared" ref="M221:M228" si="100">IF(ISBLANK(L221)," ",IF(ISTEXT(L221)," ",IF(L221&lt;=36.3,"МСМК",IF(L221&lt;=38.1,"МС",IF(L221&lt;=39.7,"КМС",IF(L221&lt;=42.6,"I",IF(L221&lt;=46.2,"II",IF(L221&lt;=50.2,"III",IF(L221&lt;=55,"I юн",IF(L221&lt;=100,"II юн",IF(L221&lt;=105.2,"III юн","б/р")))))))))))</f>
        <v>МС</v>
      </c>
      <c r="N221" s="531" t="str">
        <f t="shared" ref="N221:N228" si="101">IF(ISBLANK(L221)," ",IF(ISTEXT(L221)," ",IF(L221&lt;=36.3,"МСМК",IF(L221&lt;=38.1,"МС",IF(L221&lt;=39.7,"КМС",IF(L221&lt;=42.6,"I",IF(L221&lt;=46.2,"II",IF(L221&lt;=50.2,"III",IF(L221&lt;=55,"I юн",IF(L221&lt;=100,"II юн",IF(L221&lt;=105.2,"III юн","б/р")))))))))))</f>
        <v>МС</v>
      </c>
      <c r="P221" s="537"/>
      <c r="Q221" s="537"/>
      <c r="R221" s="537"/>
      <c r="S221" s="537"/>
      <c r="T221" s="537"/>
      <c r="U221" s="537"/>
      <c r="V221" s="537"/>
      <c r="W221" s="537"/>
      <c r="X221" s="537"/>
      <c r="Y221" s="537"/>
      <c r="Z221" s="537"/>
      <c r="AA221" s="537"/>
      <c r="AB221" s="537"/>
      <c r="AC221" s="537"/>
      <c r="AD221" s="537"/>
      <c r="AE221" s="537"/>
      <c r="AF221" s="537"/>
      <c r="AG221" s="537"/>
      <c r="AH221" s="537"/>
    </row>
    <row r="222" spans="3:34" x14ac:dyDescent="0.25">
      <c r="C222" s="546"/>
      <c r="D222" s="355"/>
      <c r="E222" s="406"/>
      <c r="F222" s="546"/>
      <c r="G222" s="546"/>
      <c r="H222" s="356">
        <v>39.9</v>
      </c>
      <c r="I222" s="362" t="str">
        <f t="shared" si="98"/>
        <v>КМС</v>
      </c>
      <c r="J222" s="362" t="str">
        <f t="shared" si="99"/>
        <v>КМС</v>
      </c>
      <c r="K222" s="626"/>
      <c r="L222" s="356">
        <f>H222-0.2</f>
        <v>39.699999999999996</v>
      </c>
      <c r="M222" s="362" t="str">
        <f t="shared" si="100"/>
        <v>КМС</v>
      </c>
      <c r="N222" s="362" t="str">
        <f t="shared" si="101"/>
        <v>КМС</v>
      </c>
      <c r="P222" s="537"/>
      <c r="Q222" s="537"/>
      <c r="R222" s="537"/>
      <c r="S222" s="537"/>
      <c r="T222" s="537"/>
      <c r="U222" s="537"/>
      <c r="V222" s="537"/>
      <c r="W222" s="537"/>
      <c r="X222" s="537"/>
      <c r="Y222" s="537"/>
      <c r="Z222" s="537"/>
      <c r="AA222" s="537"/>
      <c r="AB222" s="537"/>
      <c r="AC222" s="537"/>
      <c r="AD222" s="537"/>
      <c r="AE222" s="537"/>
      <c r="AF222" s="537"/>
      <c r="AG222" s="537"/>
      <c r="AH222" s="537"/>
    </row>
    <row r="223" spans="3:34" x14ac:dyDescent="0.25">
      <c r="C223" s="546"/>
      <c r="D223" s="355"/>
      <c r="E223" s="406"/>
      <c r="F223" s="546"/>
      <c r="G223" s="546"/>
      <c r="H223" s="356">
        <v>42.8</v>
      </c>
      <c r="I223" s="362" t="str">
        <f t="shared" si="98"/>
        <v>I</v>
      </c>
      <c r="J223" s="362" t="str">
        <f t="shared" si="99"/>
        <v>I</v>
      </c>
      <c r="K223" s="626"/>
      <c r="L223" s="356">
        <f t="shared" ref="L223:L228" si="102">H223-0.2</f>
        <v>42.599999999999994</v>
      </c>
      <c r="M223" s="362" t="str">
        <f t="shared" si="100"/>
        <v>I</v>
      </c>
      <c r="N223" s="362" t="str">
        <f t="shared" si="101"/>
        <v>I</v>
      </c>
      <c r="P223" s="537"/>
      <c r="Q223" s="537"/>
      <c r="R223" s="537"/>
      <c r="S223" s="537"/>
      <c r="T223" s="537"/>
      <c r="U223" s="537"/>
      <c r="V223" s="537"/>
      <c r="W223" s="537"/>
      <c r="X223" s="537"/>
      <c r="Y223" s="537"/>
      <c r="Z223" s="537"/>
      <c r="AA223" s="537"/>
      <c r="AB223" s="537"/>
      <c r="AC223" s="537"/>
      <c r="AD223" s="537"/>
      <c r="AE223" s="537"/>
      <c r="AF223" s="537"/>
      <c r="AG223" s="537"/>
      <c r="AH223" s="537"/>
    </row>
    <row r="224" spans="3:34" x14ac:dyDescent="0.25">
      <c r="C224" s="546"/>
      <c r="D224" s="355"/>
      <c r="E224" s="406"/>
      <c r="F224" s="546"/>
      <c r="G224" s="546"/>
      <c r="H224" s="356">
        <v>46.4</v>
      </c>
      <c r="I224" s="362" t="str">
        <f t="shared" si="98"/>
        <v>II</v>
      </c>
      <c r="J224" s="362" t="str">
        <f t="shared" si="99"/>
        <v>II</v>
      </c>
      <c r="K224" s="626"/>
      <c r="L224" s="356">
        <f t="shared" si="102"/>
        <v>46.199999999999996</v>
      </c>
      <c r="M224" s="362" t="str">
        <f t="shared" si="100"/>
        <v>II</v>
      </c>
      <c r="N224" s="362" t="str">
        <f t="shared" si="101"/>
        <v>II</v>
      </c>
      <c r="P224" s="537"/>
      <c r="Q224" s="537"/>
      <c r="R224" s="537"/>
      <c r="S224" s="537"/>
      <c r="T224" s="537"/>
      <c r="U224" s="537"/>
      <c r="V224" s="537"/>
      <c r="W224" s="537"/>
      <c r="X224" s="537"/>
      <c r="Y224" s="537"/>
      <c r="Z224" s="537"/>
      <c r="AA224" s="537"/>
      <c r="AB224" s="537"/>
      <c r="AC224" s="537"/>
      <c r="AD224" s="537"/>
      <c r="AE224" s="537"/>
      <c r="AF224" s="537"/>
      <c r="AG224" s="537"/>
      <c r="AH224" s="537"/>
    </row>
    <row r="225" spans="3:34" x14ac:dyDescent="0.25">
      <c r="C225" s="546"/>
      <c r="D225" s="355"/>
      <c r="E225" s="406"/>
      <c r="F225" s="546"/>
      <c r="G225" s="546"/>
      <c r="H225" s="356">
        <v>50.4</v>
      </c>
      <c r="I225" s="362" t="str">
        <f t="shared" si="98"/>
        <v>III</v>
      </c>
      <c r="J225" s="362" t="str">
        <f t="shared" si="99"/>
        <v>III</v>
      </c>
      <c r="K225" s="626"/>
      <c r="L225" s="356">
        <f t="shared" si="102"/>
        <v>50.199999999999996</v>
      </c>
      <c r="M225" s="362" t="str">
        <f t="shared" si="100"/>
        <v>III</v>
      </c>
      <c r="N225" s="362" t="str">
        <f t="shared" si="101"/>
        <v>III</v>
      </c>
      <c r="P225" s="537"/>
      <c r="Q225" s="537"/>
      <c r="R225" s="537"/>
      <c r="S225" s="537"/>
      <c r="T225" s="537"/>
      <c r="U225" s="537"/>
      <c r="V225" s="537"/>
      <c r="W225" s="537"/>
      <c r="X225" s="537"/>
      <c r="Y225" s="537"/>
      <c r="Z225" s="537"/>
      <c r="AA225" s="537"/>
      <c r="AB225" s="537"/>
      <c r="AC225" s="537"/>
      <c r="AD225" s="537"/>
      <c r="AE225" s="537"/>
      <c r="AF225" s="537"/>
      <c r="AG225" s="537"/>
      <c r="AH225" s="537"/>
    </row>
    <row r="226" spans="3:34" x14ac:dyDescent="0.25">
      <c r="C226" s="546"/>
      <c r="D226" s="355"/>
      <c r="E226" s="406"/>
      <c r="F226" s="546"/>
      <c r="G226" s="546"/>
      <c r="H226" s="115">
        <v>55.2</v>
      </c>
      <c r="I226" s="362" t="str">
        <f t="shared" si="98"/>
        <v>I юн</v>
      </c>
      <c r="J226" s="362" t="str">
        <f t="shared" si="99"/>
        <v>I юн</v>
      </c>
      <c r="K226" s="626"/>
      <c r="L226" s="356">
        <f t="shared" si="102"/>
        <v>55</v>
      </c>
      <c r="M226" s="362" t="str">
        <f t="shared" si="100"/>
        <v>I юн</v>
      </c>
      <c r="N226" s="362" t="str">
        <f t="shared" si="101"/>
        <v>I юн</v>
      </c>
      <c r="P226" s="537"/>
      <c r="Q226" s="537"/>
      <c r="R226" s="537"/>
      <c r="S226" s="537"/>
      <c r="T226" s="537"/>
      <c r="U226" s="537"/>
      <c r="V226" s="537"/>
      <c r="W226" s="537"/>
      <c r="X226" s="537"/>
      <c r="Y226" s="537"/>
      <c r="Z226" s="537"/>
      <c r="AA226" s="537"/>
      <c r="AB226" s="537"/>
      <c r="AC226" s="537"/>
      <c r="AD226" s="537"/>
      <c r="AE226" s="537"/>
      <c r="AF226" s="537"/>
      <c r="AG226" s="537"/>
      <c r="AH226" s="537"/>
    </row>
    <row r="227" spans="3:34" x14ac:dyDescent="0.25">
      <c r="C227" s="546"/>
      <c r="D227" s="355"/>
      <c r="E227" s="406"/>
      <c r="F227" s="546"/>
      <c r="G227" s="546"/>
      <c r="H227" s="115">
        <v>100.2</v>
      </c>
      <c r="I227" s="362" t="str">
        <f t="shared" si="98"/>
        <v>II юн</v>
      </c>
      <c r="J227" s="362" t="str">
        <f t="shared" si="99"/>
        <v>II юн</v>
      </c>
      <c r="K227" s="626"/>
      <c r="L227" s="356">
        <v>59.8</v>
      </c>
      <c r="M227" s="362" t="str">
        <f t="shared" si="100"/>
        <v>II юн</v>
      </c>
      <c r="N227" s="362" t="str">
        <f t="shared" si="101"/>
        <v>II юн</v>
      </c>
      <c r="P227" s="537"/>
      <c r="Q227" s="537"/>
      <c r="R227" s="537"/>
      <c r="S227" s="537"/>
      <c r="T227" s="537"/>
      <c r="U227" s="537"/>
      <c r="V227" s="537"/>
      <c r="W227" s="537"/>
      <c r="X227" s="537"/>
      <c r="Y227" s="537"/>
      <c r="Z227" s="537"/>
      <c r="AA227" s="537"/>
      <c r="AB227" s="537"/>
      <c r="AC227" s="537"/>
      <c r="AD227" s="537"/>
      <c r="AE227" s="537"/>
      <c r="AF227" s="537"/>
      <c r="AG227" s="537"/>
      <c r="AH227" s="537"/>
    </row>
    <row r="228" spans="3:34" x14ac:dyDescent="0.25">
      <c r="C228" s="546"/>
      <c r="D228" s="355"/>
      <c r="E228" s="406"/>
      <c r="F228" s="546"/>
      <c r="G228" s="546"/>
      <c r="H228" s="115">
        <v>105.4</v>
      </c>
      <c r="I228" s="362" t="str">
        <f>IF(ISBLANK(H228)," ",IF(ISTEXT(H228)," ",IF(H228&lt;=36.3,"МСМК",IF(H228&lt;=38.1,"МС",IF(H228&lt;=39.9,"КМС",IF(H228&lt;=42.8,"I",IF(H228&lt;=46.4,"II",IF(H228&lt;=50.4,"III",IF(H228&lt;=55.2,"I юн",IF(H228&lt;=100.2,"II юн",IF(H228&lt;=105.4,"III юн","б/р")))))))))))</f>
        <v>III юн</v>
      </c>
      <c r="J228" s="362" t="str">
        <f>IF(ISBLANK(H228)," ",IF(ISTEXT(H228)," ",IF(H228&lt;=36.3,"МСМК",IF(H228&lt;=38.1,"МС",IF(H228&lt;=39.9,"КМС",IF(H228&lt;=42.8,"I",IF(H228&lt;=46.4,"II",IF(H228&lt;=50.4,"III",IF(H228&lt;=55.2,"I юн",IF(H228&lt;=100.2,"II юн",IF(H228&lt;=105.4,"III юн","б/р")))))))))))</f>
        <v>III юн</v>
      </c>
      <c r="K228" s="626"/>
      <c r="L228" s="356">
        <f t="shared" si="102"/>
        <v>105.2</v>
      </c>
      <c r="M228" s="362" t="str">
        <f t="shared" si="100"/>
        <v>III юн</v>
      </c>
      <c r="N228" s="362" t="str">
        <f t="shared" si="101"/>
        <v>III юн</v>
      </c>
      <c r="P228" s="528"/>
      <c r="Q228" s="528"/>
      <c r="R228" s="528"/>
      <c r="S228" s="528"/>
      <c r="T228" s="528"/>
      <c r="U228" s="528"/>
      <c r="V228" s="528"/>
      <c r="W228" s="528"/>
      <c r="X228" s="528"/>
      <c r="Y228" s="528"/>
      <c r="Z228" s="528"/>
      <c r="AA228" s="528"/>
      <c r="AB228" s="527"/>
      <c r="AC228" s="527"/>
      <c r="AD228" s="527"/>
      <c r="AE228" s="527"/>
      <c r="AF228" s="527"/>
      <c r="AG228" s="527"/>
      <c r="AH228" s="537"/>
    </row>
    <row r="229" spans="3:34" x14ac:dyDescent="0.25">
      <c r="C229" s="546"/>
      <c r="D229" s="355"/>
      <c r="E229" s="406"/>
      <c r="F229" s="546"/>
      <c r="G229" s="546"/>
      <c r="H229" s="115"/>
      <c r="I229" s="362" t="str">
        <f>IF(ISBLANK(H229)," ",IF(ISTEXT(H229)," ",IF(H229&lt;=36.2,"МСМК",IF(H229&lt;=38,"МС",IF(H229&lt;=39.8,"КМС",IF(H229&lt;=42.7,"I",IF(H229&lt;=46.3,"II",IF(H229&lt;=50.3,"III",IF(H229&lt;=55,"I юн",IF(H229&lt;=100,"II юн",IF(H229&lt;=105.2,"III юн","б/р")))))))))))</f>
        <v xml:space="preserve"> </v>
      </c>
      <c r="J229" s="362" t="str">
        <f>IF(ISBLANK(H229)," ",IF(ISTEXT(H229)," ",IF(H229&lt;=36.2,"МСМК",IF(H229&lt;=38,"МС",IF(H229&lt;=39.8,"КМС",IF(H229&lt;=42.7,"I",IF(H229&lt;=46.3,"II",IF(H229&lt;=50.3,"III",IF(H229&lt;=55,"I юн",IF(H229&lt;=100,"II юн",IF(H229&lt;=105.2,"III юн","б/р")))))))))))</f>
        <v xml:space="preserve"> </v>
      </c>
      <c r="K229" s="626"/>
      <c r="P229" s="527"/>
      <c r="Q229" s="527"/>
      <c r="R229" s="527"/>
      <c r="S229" s="527"/>
      <c r="T229" s="527"/>
      <c r="U229" s="527"/>
      <c r="V229" s="527"/>
      <c r="W229" s="527"/>
      <c r="X229" s="527"/>
      <c r="Y229" s="527"/>
      <c r="Z229" s="527"/>
      <c r="AA229" s="527"/>
      <c r="AB229" s="527"/>
      <c r="AC229" s="527"/>
      <c r="AD229" s="527"/>
      <c r="AE229" s="527"/>
      <c r="AF229" s="527"/>
      <c r="AG229" s="527"/>
      <c r="AH229" s="537"/>
    </row>
    <row r="230" spans="3:34" x14ac:dyDescent="0.25">
      <c r="C230" s="349" t="s">
        <v>87</v>
      </c>
      <c r="D230" s="364"/>
      <c r="E230" s="364"/>
      <c r="F230" s="365"/>
      <c r="G230" s="365"/>
      <c r="H230" s="363"/>
      <c r="I230" s="366"/>
      <c r="J230" s="367"/>
      <c r="K230" s="627"/>
      <c r="P230" s="537"/>
      <c r="Q230" s="537"/>
      <c r="R230" s="537"/>
      <c r="S230" s="537"/>
      <c r="T230" s="537"/>
      <c r="U230" s="537"/>
      <c r="V230" s="537"/>
      <c r="W230" s="537"/>
      <c r="X230" s="537"/>
      <c r="Y230" s="537"/>
      <c r="Z230" s="537"/>
      <c r="AA230" s="537"/>
      <c r="AB230" s="537"/>
      <c r="AC230" s="537"/>
      <c r="AD230" s="537"/>
      <c r="AE230" s="537"/>
      <c r="AF230" s="537"/>
      <c r="AG230" s="537"/>
      <c r="AH230" s="537"/>
    </row>
    <row r="231" spans="3:34" x14ac:dyDescent="0.25">
      <c r="C231" s="546"/>
      <c r="D231" s="364"/>
      <c r="E231" s="364"/>
      <c r="F231" s="364"/>
      <c r="G231" s="364"/>
      <c r="H231" s="356">
        <v>33.1</v>
      </c>
      <c r="I231" s="362" t="str">
        <f t="shared" ref="I231:I238" si="103">IF(ISBLANK(H231)," ",IF(ISTEXT(H231)," ",IF(H231&lt;=33.1,"МСМК",IF(H231&lt;=34.7,"МС",IF(H231&lt;=36.4,"КМС",IF(H231&lt;=40,"I",IF(H231&lt;=42.3,"II",IF(H231&lt;=46,"III",IF(H231&lt;=50.4,"I юн",IF(H231&lt;=55,"II юн",IF(H231&lt;=59.6,"III юн","б/р")))))))))))</f>
        <v>МСМК</v>
      </c>
      <c r="J231" s="362" t="str">
        <f t="shared" ref="J231:J238" si="104">IF(ISBLANK(H231)," ",IF(ISTEXT(H231)," ",IF(H231&lt;=33.1,"МСМК",IF(H231&lt;=34.7,"МС",IF(H231&lt;=36.4,"КМС",IF(H231&lt;=40,"I",IF(H231&lt;=42.3,"II",IF(H231&lt;=46,"III",IF(H231&lt;=50.4,"I юн",IF(H231&lt;=55,"II юн",IF(H231&lt;=59.6,"III юн","б/р")))))))))))</f>
        <v>МСМК</v>
      </c>
      <c r="K231" s="626"/>
      <c r="L231" s="533">
        <f>H231</f>
        <v>33.1</v>
      </c>
      <c r="M231" s="531" t="str">
        <f>IF(ISBLANK(L231)," ",IF(ISTEXT(L231)," ",IF(L231&lt;=33.1,"МСМК",IF(L231&lt;=34.7,"МС",IF(L231&lt;=36.2,"КМС",IF(L231&lt;=38.8,"I",IF(L231&lt;=42.1,"II",IF(L231&lt;=45.8,"III",IF(L231&lt;=50.2,"I юн",IF(L231&lt;=54.8,"II юн",IF(L231&lt;=59.4,"III юн","б/р")))))))))))</f>
        <v>МСМК</v>
      </c>
      <c r="N231" s="531" t="str">
        <f>IF(ISBLANK(L231)," ",IF(ISTEXT(L231)," ",IF(L231&lt;=33.1,"МСМК",IF(L231&lt;=34.7,"МС",IF(L231&lt;=36.2,"КМС",IF(L231&lt;=38.8,"I",IF(L231&lt;=42.1,"II",IF(L231&lt;=45.8,"III",IF(L231&lt;=50.2,"I юн",IF(L231&lt;=54.8,"II юн",IF(L231&lt;=59.4,"III юн","б/р")))))))))))</f>
        <v>МСМК</v>
      </c>
      <c r="P231" s="537"/>
      <c r="Q231" s="537"/>
      <c r="R231" s="537"/>
      <c r="S231" s="537"/>
      <c r="T231" s="537"/>
      <c r="U231" s="537"/>
      <c r="V231" s="537"/>
      <c r="W231" s="537"/>
      <c r="X231" s="537"/>
      <c r="Y231" s="537"/>
      <c r="Z231" s="537"/>
      <c r="AA231" s="537"/>
      <c r="AB231" s="537"/>
      <c r="AC231" s="537"/>
      <c r="AD231" s="537"/>
      <c r="AE231" s="537"/>
      <c r="AF231" s="537"/>
      <c r="AG231" s="537"/>
      <c r="AH231" s="537"/>
    </row>
    <row r="232" spans="3:34" x14ac:dyDescent="0.25">
      <c r="C232" s="546"/>
      <c r="D232" s="364"/>
      <c r="E232" s="364"/>
      <c r="F232" s="364"/>
      <c r="G232" s="364"/>
      <c r="H232" s="356">
        <v>34.700000000000003</v>
      </c>
      <c r="I232" s="362" t="str">
        <f t="shared" si="103"/>
        <v>МС</v>
      </c>
      <c r="J232" s="362" t="str">
        <f t="shared" si="104"/>
        <v>МС</v>
      </c>
      <c r="K232" s="626"/>
      <c r="L232" s="533">
        <f>H232</f>
        <v>34.700000000000003</v>
      </c>
      <c r="M232" s="531" t="str">
        <f t="shared" ref="M232:M239" si="105">IF(ISBLANK(L232)," ",IF(ISTEXT(L232)," ",IF(L232&lt;=33.1,"МСМК",IF(L232&lt;=34.7,"МС",IF(L232&lt;=36.2,"КМС",IF(L232&lt;=38.8,"I",IF(L232&lt;=42.1,"II",IF(L232&lt;=45.8,"III",IF(L232&lt;=50.2,"I юн",IF(L232&lt;=54.8,"II юн",IF(L232&lt;=59.4,"III юн","б/р")))))))))))</f>
        <v>МС</v>
      </c>
      <c r="N232" s="531" t="str">
        <f t="shared" ref="N232:N239" si="106">IF(ISBLANK(L232)," ",IF(ISTEXT(L232)," ",IF(L232&lt;=33.1,"МСМК",IF(L232&lt;=34.7,"МС",IF(L232&lt;=36.2,"КМС",IF(L232&lt;=38.8,"I",IF(L232&lt;=42.1,"II",IF(L232&lt;=45.8,"III",IF(L232&lt;=50.2,"I юн",IF(L232&lt;=54.8,"II юн",IF(L232&lt;=59.4,"III юн","б/р")))))))))))</f>
        <v>МС</v>
      </c>
      <c r="P232" s="537"/>
      <c r="Q232" s="537"/>
      <c r="R232" s="537"/>
      <c r="S232" s="537"/>
      <c r="T232" s="537"/>
      <c r="U232" s="537"/>
      <c r="V232" s="537"/>
      <c r="W232" s="537"/>
      <c r="X232" s="537"/>
      <c r="Y232" s="537"/>
      <c r="Z232" s="537"/>
      <c r="AA232" s="537"/>
      <c r="AB232" s="537"/>
      <c r="AC232" s="537"/>
      <c r="AD232" s="537"/>
      <c r="AE232" s="537"/>
      <c r="AF232" s="537"/>
      <c r="AG232" s="537"/>
      <c r="AH232" s="537"/>
    </row>
    <row r="233" spans="3:34" x14ac:dyDescent="0.25">
      <c r="C233" s="546"/>
      <c r="D233" s="364"/>
      <c r="E233" s="364"/>
      <c r="F233" s="364"/>
      <c r="G233" s="364"/>
      <c r="H233" s="356">
        <v>36.4</v>
      </c>
      <c r="I233" s="362" t="str">
        <f t="shared" si="103"/>
        <v>КМС</v>
      </c>
      <c r="J233" s="362" t="str">
        <f t="shared" si="104"/>
        <v>КМС</v>
      </c>
      <c r="K233" s="626"/>
      <c r="L233" s="356">
        <f>H233-0.2</f>
        <v>36.199999999999996</v>
      </c>
      <c r="M233" s="362" t="str">
        <f t="shared" si="105"/>
        <v>КМС</v>
      </c>
      <c r="N233" s="362" t="str">
        <f t="shared" si="106"/>
        <v>КМС</v>
      </c>
      <c r="P233" s="537"/>
      <c r="Q233" s="537"/>
      <c r="R233" s="537"/>
      <c r="S233" s="537"/>
      <c r="T233" s="537"/>
      <c r="U233" s="537"/>
      <c r="V233" s="537"/>
      <c r="W233" s="537"/>
      <c r="X233" s="537"/>
      <c r="Y233" s="537"/>
      <c r="Z233" s="537"/>
      <c r="AA233" s="537"/>
      <c r="AB233" s="537"/>
      <c r="AC233" s="537"/>
      <c r="AD233" s="537"/>
      <c r="AE233" s="537"/>
      <c r="AF233" s="537"/>
      <c r="AG233" s="537"/>
      <c r="AH233" s="537"/>
    </row>
    <row r="234" spans="3:34" x14ac:dyDescent="0.25">
      <c r="C234" s="546"/>
      <c r="D234" s="364"/>
      <c r="E234" s="364"/>
      <c r="F234" s="364"/>
      <c r="G234" s="364"/>
      <c r="H234" s="356">
        <v>40</v>
      </c>
      <c r="I234" s="362" t="str">
        <f t="shared" si="103"/>
        <v>I</v>
      </c>
      <c r="J234" s="362" t="str">
        <f t="shared" si="104"/>
        <v>I</v>
      </c>
      <c r="K234" s="626"/>
      <c r="L234" s="356">
        <f t="shared" ref="L234:L239" si="107">H234-0.2</f>
        <v>39.799999999999997</v>
      </c>
      <c r="M234" s="362" t="str">
        <f t="shared" si="105"/>
        <v>II</v>
      </c>
      <c r="N234" s="362" t="str">
        <f t="shared" si="106"/>
        <v>II</v>
      </c>
      <c r="O234" s="535"/>
      <c r="P234" s="537"/>
      <c r="Q234" s="537"/>
      <c r="R234" s="537"/>
      <c r="S234" s="537"/>
      <c r="T234" s="537"/>
      <c r="U234" s="537"/>
      <c r="V234" s="537"/>
      <c r="W234" s="537"/>
      <c r="X234" s="537"/>
      <c r="Y234" s="537"/>
      <c r="Z234" s="537"/>
      <c r="AA234" s="537"/>
      <c r="AB234" s="537"/>
      <c r="AC234" s="537"/>
      <c r="AD234" s="537"/>
      <c r="AE234" s="537"/>
      <c r="AF234" s="537"/>
      <c r="AG234" s="537"/>
      <c r="AH234" s="537"/>
    </row>
    <row r="235" spans="3:34" x14ac:dyDescent="0.25">
      <c r="C235" s="546"/>
      <c r="D235" s="364"/>
      <c r="E235" s="364"/>
      <c r="F235" s="364"/>
      <c r="G235" s="364"/>
      <c r="H235" s="356">
        <v>42.3</v>
      </c>
      <c r="I235" s="362" t="str">
        <f t="shared" si="103"/>
        <v>II</v>
      </c>
      <c r="J235" s="362" t="str">
        <f t="shared" si="104"/>
        <v>II</v>
      </c>
      <c r="K235" s="626"/>
      <c r="L235" s="356">
        <f t="shared" si="107"/>
        <v>42.099999999999994</v>
      </c>
      <c r="M235" s="362" t="str">
        <f t="shared" si="105"/>
        <v>II</v>
      </c>
      <c r="N235" s="362" t="str">
        <f t="shared" si="106"/>
        <v>II</v>
      </c>
      <c r="P235" s="537"/>
      <c r="Q235" s="537"/>
      <c r="R235" s="537"/>
      <c r="S235" s="537"/>
      <c r="T235" s="537"/>
      <c r="U235" s="537"/>
      <c r="V235" s="537"/>
      <c r="W235" s="537"/>
      <c r="X235" s="537"/>
      <c r="Y235" s="537"/>
      <c r="Z235" s="537"/>
      <c r="AA235" s="537"/>
      <c r="AB235" s="537"/>
      <c r="AC235" s="537"/>
      <c r="AD235" s="537"/>
      <c r="AE235" s="537"/>
      <c r="AF235" s="537"/>
      <c r="AG235" s="537"/>
      <c r="AH235" s="537"/>
    </row>
    <row r="236" spans="3:34" x14ac:dyDescent="0.25">
      <c r="C236" s="546"/>
      <c r="D236" s="364"/>
      <c r="E236" s="364"/>
      <c r="F236" s="364"/>
      <c r="G236" s="364"/>
      <c r="H236" s="115">
        <v>46</v>
      </c>
      <c r="I236" s="362" t="str">
        <f t="shared" si="103"/>
        <v>III</v>
      </c>
      <c r="J236" s="362" t="str">
        <f t="shared" si="104"/>
        <v>III</v>
      </c>
      <c r="K236" s="626"/>
      <c r="L236" s="356">
        <f t="shared" si="107"/>
        <v>45.8</v>
      </c>
      <c r="M236" s="362" t="str">
        <f t="shared" si="105"/>
        <v>III</v>
      </c>
      <c r="N236" s="362" t="str">
        <f t="shared" si="106"/>
        <v>III</v>
      </c>
      <c r="P236" s="537"/>
      <c r="Q236" s="537"/>
      <c r="R236" s="537"/>
      <c r="S236" s="537"/>
      <c r="T236" s="537"/>
      <c r="U236" s="537"/>
      <c r="V236" s="537"/>
      <c r="W236" s="537"/>
      <c r="X236" s="537"/>
      <c r="Y236" s="537"/>
      <c r="Z236" s="537"/>
      <c r="AA236" s="537"/>
      <c r="AB236" s="537"/>
      <c r="AC236" s="537"/>
      <c r="AD236" s="537"/>
      <c r="AE236" s="537"/>
      <c r="AF236" s="537"/>
      <c r="AG236" s="537"/>
      <c r="AH236" s="537"/>
    </row>
    <row r="237" spans="3:34" x14ac:dyDescent="0.25">
      <c r="C237" s="546"/>
      <c r="D237" s="364"/>
      <c r="E237" s="364"/>
      <c r="F237" s="364"/>
      <c r="G237" s="364"/>
      <c r="H237" s="115">
        <v>50.4</v>
      </c>
      <c r="I237" s="362" t="str">
        <f t="shared" si="103"/>
        <v>I юн</v>
      </c>
      <c r="J237" s="362" t="str">
        <f t="shared" si="104"/>
        <v>I юн</v>
      </c>
      <c r="K237" s="626"/>
      <c r="L237" s="356">
        <f t="shared" si="107"/>
        <v>50.199999999999996</v>
      </c>
      <c r="M237" s="362" t="str">
        <f t="shared" si="105"/>
        <v>I юн</v>
      </c>
      <c r="N237" s="362" t="str">
        <f t="shared" si="106"/>
        <v>I юн</v>
      </c>
      <c r="P237" s="537"/>
      <c r="Q237" s="537"/>
      <c r="R237" s="537"/>
      <c r="S237" s="537"/>
      <c r="T237" s="537"/>
      <c r="U237" s="537"/>
      <c r="V237" s="537"/>
      <c r="W237" s="537"/>
      <c r="X237" s="537"/>
      <c r="Y237" s="537"/>
      <c r="Z237" s="537"/>
      <c r="AA237" s="537"/>
      <c r="AB237" s="537"/>
      <c r="AC237" s="537"/>
      <c r="AD237" s="537"/>
      <c r="AE237" s="537"/>
      <c r="AF237" s="537"/>
      <c r="AG237" s="537"/>
      <c r="AH237" s="537"/>
    </row>
    <row r="238" spans="3:34" x14ac:dyDescent="0.25">
      <c r="C238" s="546"/>
      <c r="D238" s="364"/>
      <c r="E238" s="364"/>
      <c r="F238" s="364"/>
      <c r="G238" s="364"/>
      <c r="H238" s="115">
        <v>55</v>
      </c>
      <c r="I238" s="362" t="str">
        <f t="shared" si="103"/>
        <v>II юн</v>
      </c>
      <c r="J238" s="362" t="str">
        <f t="shared" si="104"/>
        <v>II юн</v>
      </c>
      <c r="K238" s="626"/>
      <c r="L238" s="356">
        <f t="shared" si="107"/>
        <v>54.8</v>
      </c>
      <c r="M238" s="362" t="str">
        <f t="shared" si="105"/>
        <v>II юн</v>
      </c>
      <c r="N238" s="362" t="str">
        <f t="shared" si="106"/>
        <v>II юн</v>
      </c>
      <c r="P238" s="537"/>
      <c r="Q238" s="537"/>
      <c r="R238" s="537"/>
      <c r="S238" s="537"/>
      <c r="T238" s="537"/>
      <c r="U238" s="537"/>
      <c r="V238" s="537"/>
      <c r="W238" s="537"/>
      <c r="X238" s="537"/>
      <c r="Y238" s="537"/>
      <c r="Z238" s="537"/>
      <c r="AA238" s="537"/>
      <c r="AB238" s="537"/>
      <c r="AC238" s="537"/>
      <c r="AD238" s="537"/>
      <c r="AE238" s="537"/>
      <c r="AF238" s="537"/>
      <c r="AG238" s="537"/>
      <c r="AH238" s="537"/>
    </row>
    <row r="239" spans="3:34" x14ac:dyDescent="0.25">
      <c r="C239" s="546"/>
      <c r="D239" s="364"/>
      <c r="E239" s="364"/>
      <c r="F239" s="364"/>
      <c r="G239" s="364"/>
      <c r="H239" s="115">
        <v>59.6</v>
      </c>
      <c r="I239" s="362" t="str">
        <f>IF(ISBLANK(H239)," ",IF(ISTEXT(H239)," ",IF(H239&lt;=33.1,"МСМК",IF(H239&lt;=34.7,"МС",IF(H239&lt;=36.4,"КМС",IF(H239&lt;=40,"I",IF(H239&lt;=42.3,"II",IF(H239&lt;=46,"III",IF(H239&lt;=50.4,"I юн",IF(H239&lt;=55,"II юн",IF(H239&lt;=59.6,"III юн","б/р")))))))))))</f>
        <v>III юн</v>
      </c>
      <c r="J239" s="362" t="str">
        <f>IF(ISBLANK(H239)," ",IF(ISTEXT(H239)," ",IF(H239&lt;=33.1,"МСМК",IF(H239&lt;=34.7,"МС",IF(H239&lt;=36.4,"КМС",IF(H239&lt;=40,"I",IF(H239&lt;=42.3,"II",IF(H239&lt;=46,"III",IF(H239&lt;=50.4,"I юн",IF(H239&lt;=55,"II юн",IF(H239&lt;=59.6,"III юн","б/р")))))))))))</f>
        <v>III юн</v>
      </c>
      <c r="K239" s="626"/>
      <c r="L239" s="356">
        <f t="shared" si="107"/>
        <v>59.4</v>
      </c>
      <c r="M239" s="362" t="str">
        <f t="shared" si="105"/>
        <v>III юн</v>
      </c>
      <c r="N239" s="362" t="str">
        <f t="shared" si="106"/>
        <v>III юн</v>
      </c>
      <c r="P239" s="537"/>
      <c r="Q239" s="537"/>
      <c r="R239" s="537"/>
      <c r="S239" s="537"/>
      <c r="T239" s="537"/>
      <c r="U239" s="537"/>
      <c r="V239" s="537"/>
      <c r="W239" s="537"/>
      <c r="X239" s="537"/>
      <c r="Y239" s="537"/>
      <c r="Z239" s="537"/>
      <c r="AA239" s="537"/>
      <c r="AB239" s="537"/>
      <c r="AC239" s="537"/>
      <c r="AD239" s="537"/>
      <c r="AE239" s="537"/>
      <c r="AF239" s="537"/>
      <c r="AG239" s="537"/>
      <c r="AH239" s="537"/>
    </row>
    <row r="240" spans="3:34" x14ac:dyDescent="0.25">
      <c r="C240" s="546"/>
      <c r="D240" s="364"/>
      <c r="E240" s="364"/>
      <c r="F240" s="364"/>
      <c r="G240" s="364"/>
      <c r="H240" s="356"/>
      <c r="I240" s="362" t="str">
        <f>IF(ISBLANK(H240)," ",IF(ISTEXT(H240)," ",IF(H240&lt;=33,"МСМК",IF(H240&lt;=34.6,"МС",IF(H240&lt;=36.3,"КМС",IF(H240&lt;=38.9,"I",IF(H240&lt;=42.2,"II",IF(H240&lt;=45.9,"III",IF(H240&lt;=50.2,"I юн",IF(H240&lt;=54.8,"II юн",IF(H240&lt;=59.4,"III юн","б/р")))))))))))</f>
        <v xml:space="preserve"> </v>
      </c>
      <c r="J240" s="355" t="str">
        <f>IF(ISBLANK(H240)," ",IF(ISTEXT(H240)," ",IF(H240&lt;=33,"МСМК",IF(H240&lt;=34.6,"МС",IF(H240&lt;=36.3,"КМС",IF(H240&lt;=38.9,"I",IF(H240&lt;=42.2,"II",IF(H240&lt;=45.9,"III",IF(H240&lt;=50.2,"I юн",IF(H240&lt;=54.8,"II юн",IF(H240&lt;=59.4,"III юн","б/р")))))))))))</f>
        <v xml:space="preserve"> </v>
      </c>
      <c r="K240" s="626"/>
      <c r="P240" s="537"/>
      <c r="Q240" s="537"/>
      <c r="R240" s="537"/>
      <c r="S240" s="537"/>
      <c r="T240" s="537"/>
      <c r="U240" s="537"/>
      <c r="V240" s="537"/>
      <c r="W240" s="537"/>
      <c r="X240" s="537"/>
      <c r="Y240" s="537"/>
      <c r="Z240" s="537"/>
      <c r="AA240" s="537"/>
      <c r="AB240" s="537"/>
      <c r="AC240" s="537"/>
      <c r="AD240" s="537"/>
      <c r="AE240" s="537"/>
      <c r="AF240" s="537"/>
      <c r="AG240" s="537"/>
      <c r="AH240" s="537"/>
    </row>
    <row r="241" spans="3:34" x14ac:dyDescent="0.25">
      <c r="C241" s="349" t="s">
        <v>1160</v>
      </c>
      <c r="D241" s="350"/>
      <c r="E241" s="351"/>
      <c r="F241" s="349"/>
      <c r="G241" s="349"/>
      <c r="H241" s="352"/>
      <c r="I241" s="356"/>
      <c r="J241" s="364"/>
      <c r="K241" s="627"/>
      <c r="P241" s="537"/>
      <c r="Q241" s="537"/>
      <c r="R241" s="537"/>
      <c r="S241" s="537"/>
      <c r="T241" s="537"/>
      <c r="U241" s="537"/>
      <c r="V241" s="537"/>
      <c r="W241" s="537"/>
      <c r="X241" s="537"/>
      <c r="Y241" s="537"/>
      <c r="Z241" s="537"/>
      <c r="AA241" s="537"/>
      <c r="AB241" s="537"/>
      <c r="AC241" s="537"/>
      <c r="AD241" s="537"/>
      <c r="AE241" s="537"/>
      <c r="AF241" s="537"/>
      <c r="AG241" s="537"/>
      <c r="AH241" s="537"/>
    </row>
    <row r="242" spans="3:34" x14ac:dyDescent="0.25">
      <c r="C242" s="776"/>
      <c r="D242" s="355"/>
      <c r="E242" s="406"/>
      <c r="F242" s="776"/>
      <c r="G242" s="776"/>
      <c r="H242" s="356">
        <v>0</v>
      </c>
      <c r="I242" s="362" t="str">
        <f t="shared" ref="I242:I247" si="108">IF(ISBLANK(H242)," ",IF(ISTEXT(H242)," ",IF(H242&lt;=304.6,"МСМК",IF(H242&lt;=314.4,"МС",IF(H242&lt;=323.2,"КМС",IF(H242&lt;=338.2,"I",IF(H242&lt;=356.2,"II",IF(H242&lt;=415.2,"III","б/р"))))))))</f>
        <v>МСМК</v>
      </c>
      <c r="J242" s="362" t="str">
        <f t="shared" ref="J242:J247" si="109">IF(ISBLANK(H242)," ",IF(ISTEXT(H242)," ",IF(H242&lt;=304.6,"МСМК",IF(H242&lt;=314.4,"МС",IF(H242&lt;=323.2,"КМС",IF(H242&lt;=338.2,"I",IF(H242&lt;=356.2,"II",IF(H242&lt;=415.2,"III","б/р"))))))))</f>
        <v>МСМК</v>
      </c>
      <c r="K242" s="626"/>
      <c r="L242" s="533">
        <v>0</v>
      </c>
      <c r="M242" s="531" t="str">
        <f t="shared" ref="M242:M247" si="110">IF(ISBLANK(L242)," ",IF(ISTEXT(L242)," ",IF(L242&lt;=304.6,"МСМК",IF(L242&lt;=314.4,"МС",IF(L242&lt;=323,"КМС",IF(L242&lt;=338,"I",IF(L242&lt;=356,"II",IF(L242&lt;=415,"III","б/р"))))))))</f>
        <v>МСМК</v>
      </c>
      <c r="N242" s="531" t="str">
        <f t="shared" ref="N242:N247" si="111">IF(ISBLANK(L242)," ",IF(ISTEXT(L242)," ",IF(L242&lt;=304.6,"МСМК",IF(L242&lt;=314.4,"МС",IF(L242&lt;=323,"КМС",IF(L242&lt;=338,"I",IF(L242&lt;=356,"II",IF(L242&lt;=415,"III","б/р"))))))))</f>
        <v>МСМК</v>
      </c>
      <c r="P242" s="537"/>
      <c r="Q242" s="537"/>
      <c r="R242" s="537"/>
      <c r="S242" s="537"/>
      <c r="T242" s="537"/>
      <c r="U242" s="537"/>
      <c r="V242" s="537"/>
      <c r="W242" s="537"/>
      <c r="X242" s="537"/>
      <c r="Y242" s="537"/>
      <c r="Z242" s="537"/>
      <c r="AA242" s="537"/>
      <c r="AB242" s="537"/>
      <c r="AC242" s="537"/>
      <c r="AD242" s="537"/>
      <c r="AE242" s="537"/>
      <c r="AF242" s="537"/>
      <c r="AG242" s="537"/>
      <c r="AH242" s="537"/>
    </row>
    <row r="243" spans="3:34" x14ac:dyDescent="0.25">
      <c r="C243" s="776"/>
      <c r="D243" s="355"/>
      <c r="E243" s="406"/>
      <c r="F243" s="776"/>
      <c r="G243" s="776"/>
      <c r="H243" s="356">
        <v>0</v>
      </c>
      <c r="I243" s="362" t="str">
        <f t="shared" si="108"/>
        <v>МСМК</v>
      </c>
      <c r="J243" s="362" t="str">
        <f t="shared" si="109"/>
        <v>МСМК</v>
      </c>
      <c r="K243" s="626"/>
      <c r="L243" s="533">
        <v>0</v>
      </c>
      <c r="M243" s="531" t="str">
        <f t="shared" si="110"/>
        <v>МСМК</v>
      </c>
      <c r="N243" s="531" t="str">
        <f t="shared" si="111"/>
        <v>МСМК</v>
      </c>
      <c r="P243" s="537"/>
      <c r="Q243" s="537"/>
      <c r="R243" s="537"/>
      <c r="S243" s="537"/>
      <c r="T243" s="537"/>
      <c r="U243" s="537"/>
      <c r="V243" s="537"/>
      <c r="W243" s="537"/>
      <c r="X243" s="537"/>
      <c r="Y243" s="537"/>
      <c r="Z243" s="537"/>
      <c r="AA243" s="537"/>
      <c r="AB243" s="537"/>
      <c r="AC243" s="537"/>
      <c r="AD243" s="537"/>
      <c r="AE243" s="537"/>
      <c r="AF243" s="537"/>
      <c r="AG243" s="537"/>
      <c r="AH243" s="537"/>
    </row>
    <row r="244" spans="3:34" x14ac:dyDescent="0.25">
      <c r="C244" s="776"/>
      <c r="D244" s="355"/>
      <c r="E244" s="406"/>
      <c r="F244" s="776"/>
      <c r="G244" s="776"/>
      <c r="H244" s="356">
        <v>0</v>
      </c>
      <c r="I244" s="362" t="str">
        <f t="shared" si="108"/>
        <v>МСМК</v>
      </c>
      <c r="J244" s="362" t="str">
        <f t="shared" si="109"/>
        <v>МСМК</v>
      </c>
      <c r="K244" s="626"/>
      <c r="L244" s="356">
        <v>0</v>
      </c>
      <c r="M244" s="362" t="str">
        <f t="shared" si="110"/>
        <v>МСМК</v>
      </c>
      <c r="N244" s="362" t="str">
        <f t="shared" si="111"/>
        <v>МСМК</v>
      </c>
      <c r="P244" s="537"/>
      <c r="Q244" s="537"/>
      <c r="R244" s="537"/>
      <c r="S244" s="537"/>
      <c r="T244" s="537"/>
      <c r="U244" s="537"/>
      <c r="V244" s="537"/>
      <c r="W244" s="537"/>
      <c r="X244" s="537"/>
      <c r="Y244" s="537"/>
      <c r="Z244" s="537"/>
      <c r="AA244" s="537"/>
      <c r="AB244" s="537"/>
      <c r="AC244" s="537"/>
      <c r="AD244" s="537"/>
      <c r="AE244" s="537"/>
      <c r="AF244" s="537"/>
      <c r="AG244" s="537"/>
      <c r="AH244" s="537"/>
    </row>
    <row r="245" spans="3:34" x14ac:dyDescent="0.25">
      <c r="C245" s="776"/>
      <c r="D245" s="355"/>
      <c r="E245" s="406"/>
      <c r="F245" s="776"/>
      <c r="G245" s="776"/>
      <c r="H245" s="356">
        <v>0</v>
      </c>
      <c r="I245" s="362" t="str">
        <f t="shared" si="108"/>
        <v>МСМК</v>
      </c>
      <c r="J245" s="362" t="str">
        <f t="shared" si="109"/>
        <v>МСМК</v>
      </c>
      <c r="K245" s="626"/>
      <c r="L245" s="356">
        <v>0</v>
      </c>
      <c r="M245" s="362" t="str">
        <f t="shared" si="110"/>
        <v>МСМК</v>
      </c>
      <c r="N245" s="362" t="str">
        <f t="shared" si="111"/>
        <v>МСМК</v>
      </c>
      <c r="P245" s="537"/>
      <c r="Q245" s="537"/>
      <c r="R245" s="537"/>
      <c r="S245" s="537"/>
      <c r="T245" s="537"/>
      <c r="U245" s="537"/>
      <c r="V245" s="537"/>
      <c r="W245" s="537"/>
      <c r="X245" s="537"/>
      <c r="Y245" s="537"/>
      <c r="Z245" s="537"/>
      <c r="AA245" s="537"/>
      <c r="AB245" s="537"/>
      <c r="AC245" s="537"/>
      <c r="AD245" s="537"/>
      <c r="AE245" s="537"/>
      <c r="AF245" s="537"/>
      <c r="AG245" s="537"/>
      <c r="AH245" s="537"/>
    </row>
    <row r="246" spans="3:34" x14ac:dyDescent="0.25">
      <c r="C246" s="776"/>
      <c r="D246" s="355"/>
      <c r="E246" s="406"/>
      <c r="F246" s="776"/>
      <c r="G246" s="776"/>
      <c r="H246" s="356">
        <v>0</v>
      </c>
      <c r="I246" s="362" t="str">
        <f t="shared" si="108"/>
        <v>МСМК</v>
      </c>
      <c r="J246" s="362" t="str">
        <f t="shared" si="109"/>
        <v>МСМК</v>
      </c>
      <c r="K246" s="626"/>
      <c r="L246" s="356">
        <v>0</v>
      </c>
      <c r="M246" s="362" t="str">
        <f t="shared" si="110"/>
        <v>МСМК</v>
      </c>
      <c r="N246" s="362" t="str">
        <f t="shared" si="111"/>
        <v>МСМК</v>
      </c>
      <c r="P246" s="537"/>
      <c r="Q246" s="537"/>
      <c r="R246" s="537"/>
      <c r="S246" s="537"/>
      <c r="T246" s="537"/>
      <c r="U246" s="537"/>
      <c r="V246" s="537"/>
      <c r="W246" s="537"/>
      <c r="X246" s="537"/>
      <c r="Y246" s="537"/>
      <c r="Z246" s="537"/>
      <c r="AA246" s="537"/>
      <c r="AB246" s="537"/>
      <c r="AC246" s="537"/>
      <c r="AD246" s="537"/>
      <c r="AE246" s="537"/>
      <c r="AF246" s="537"/>
      <c r="AG246" s="537"/>
      <c r="AH246" s="537"/>
    </row>
    <row r="247" spans="3:34" x14ac:dyDescent="0.25">
      <c r="C247" s="776"/>
      <c r="D247" s="355"/>
      <c r="E247" s="406"/>
      <c r="F247" s="776"/>
      <c r="G247" s="776"/>
      <c r="H247" s="356">
        <v>0</v>
      </c>
      <c r="I247" s="362" t="str">
        <f t="shared" si="108"/>
        <v>МСМК</v>
      </c>
      <c r="J247" s="362" t="str">
        <f t="shared" si="109"/>
        <v>МСМК</v>
      </c>
      <c r="K247" s="626"/>
      <c r="L247" s="356">
        <v>0</v>
      </c>
      <c r="M247" s="362" t="str">
        <f t="shared" si="110"/>
        <v>МСМК</v>
      </c>
      <c r="N247" s="362" t="str">
        <f t="shared" si="111"/>
        <v>МСМК</v>
      </c>
      <c r="P247" s="537"/>
      <c r="Q247" s="537"/>
      <c r="R247" s="537"/>
      <c r="S247" s="537"/>
      <c r="T247" s="537"/>
      <c r="U247" s="537"/>
      <c r="V247" s="537"/>
      <c r="W247" s="537"/>
      <c r="X247" s="537"/>
      <c r="Y247" s="537"/>
      <c r="Z247" s="537"/>
      <c r="AA247" s="537"/>
      <c r="AB247" s="537"/>
      <c r="AC247" s="537"/>
      <c r="AD247" s="537"/>
      <c r="AE247" s="537"/>
      <c r="AF247" s="537"/>
      <c r="AG247" s="537"/>
      <c r="AH247" s="537"/>
    </row>
    <row r="248" spans="3:34" x14ac:dyDescent="0.25">
      <c r="C248" s="776"/>
      <c r="D248" s="355"/>
      <c r="E248" s="406"/>
      <c r="F248" s="776"/>
      <c r="G248" s="776"/>
      <c r="H248" s="356"/>
      <c r="I248" s="356"/>
      <c r="J248" s="364"/>
      <c r="K248" s="627"/>
      <c r="P248" s="528"/>
      <c r="Q248" s="528"/>
      <c r="R248" s="528"/>
      <c r="S248" s="528"/>
      <c r="T248" s="538"/>
      <c r="U248" s="538"/>
      <c r="V248" s="538"/>
      <c r="W248" s="538"/>
      <c r="X248" s="538"/>
      <c r="Y248" s="538"/>
      <c r="Z248" s="538"/>
      <c r="AA248" s="538"/>
      <c r="AB248" s="537"/>
      <c r="AC248" s="537"/>
      <c r="AD248" s="537"/>
      <c r="AE248" s="537"/>
      <c r="AF248" s="537"/>
      <c r="AG248" s="537"/>
      <c r="AH248" s="537"/>
    </row>
    <row r="249" spans="3:34" x14ac:dyDescent="0.25">
      <c r="C249" s="349" t="s">
        <v>1161</v>
      </c>
      <c r="D249" s="364"/>
      <c r="E249" s="364"/>
      <c r="F249" s="364"/>
      <c r="G249" s="364"/>
      <c r="H249" s="356"/>
      <c r="I249" s="356"/>
      <c r="J249" s="364"/>
      <c r="K249" s="627"/>
      <c r="P249" s="527"/>
      <c r="Q249" s="527"/>
      <c r="R249" s="527"/>
      <c r="S249" s="527"/>
      <c r="T249" s="527"/>
      <c r="U249" s="527"/>
      <c r="V249" s="527"/>
      <c r="W249" s="527"/>
      <c r="X249" s="527"/>
      <c r="Y249" s="527"/>
      <c r="Z249" s="527"/>
      <c r="AA249" s="527"/>
      <c r="AB249" s="537"/>
      <c r="AC249" s="537"/>
      <c r="AD249" s="537"/>
      <c r="AE249" s="537"/>
      <c r="AF249" s="537"/>
      <c r="AG249" s="537"/>
      <c r="AH249" s="537"/>
    </row>
    <row r="250" spans="3:34" x14ac:dyDescent="0.25">
      <c r="C250" s="364"/>
      <c r="D250" s="364"/>
      <c r="E250" s="364"/>
      <c r="F250" s="364"/>
      <c r="G250" s="364"/>
      <c r="H250" s="356">
        <v>0</v>
      </c>
      <c r="I250" s="362" t="str">
        <f t="shared" ref="I250:I255" si="112">IF(ISBLANK(H250)," ",IF(ISTEXT(H250)," ",IF(H250&lt;=250.2,"МСМК",IF(H250&lt;=259.2,"МС",IF(H250&lt;=307.9,"КМС",IF(H250&lt;=321.2,"I",IF(H250&lt;=338.2,"II",IF(H250&lt;=356.7,"III","б/р"))))))))</f>
        <v>МСМК</v>
      </c>
      <c r="J250" s="362" t="str">
        <f t="shared" ref="J250:J255" si="113">IF(ISBLANK(H250)," ",IF(ISTEXT(H250)," ",IF(H250&lt;=250.2,"МСМК",IF(H250&lt;=259.2,"МС",IF(H250&lt;=307.9,"КМС",IF(H250&lt;=321.2,"I",IF(H250&lt;=338.2,"II",IF(H250&lt;=356.7,"III","б/р"))))))))</f>
        <v>МСМК</v>
      </c>
      <c r="K250" s="626"/>
      <c r="L250" s="533">
        <v>0</v>
      </c>
      <c r="M250" s="531" t="str">
        <f t="shared" ref="M250:M255" si="114">IF(ISBLANK(L250)," ",IF(ISTEXT(L250)," ",IF(L250&lt;=250.2,"МСМК",IF(L250&lt;=259.2,"МС",IF(L250&lt;=307.7,"КМС",IF(L250&lt;=321,"I",IF(L250&lt;=338,"II",IF(L250&lt;=356.5,"III","б/р"))))))))</f>
        <v>МСМК</v>
      </c>
      <c r="N250" s="531" t="str">
        <f t="shared" ref="N250:N255" si="115">IF(ISBLANK(L250)," ",IF(ISTEXT(L250)," ",IF(L250&lt;=250.2,"МСМК",IF(L250&lt;=259.2,"МС",IF(L250&lt;=307.7,"КМС",IF(L250&lt;=321,"I",IF(L250&lt;=338,"II",IF(L250&lt;=356.5,"III","б/р"))))))))</f>
        <v>МСМК</v>
      </c>
      <c r="P250" s="537"/>
      <c r="Q250" s="537"/>
      <c r="R250" s="537"/>
      <c r="S250" s="537"/>
      <c r="T250" s="537"/>
      <c r="U250" s="537"/>
      <c r="V250" s="537"/>
      <c r="W250" s="537"/>
      <c r="X250" s="537"/>
      <c r="Y250" s="537"/>
      <c r="Z250" s="537"/>
      <c r="AA250" s="537"/>
      <c r="AB250" s="537"/>
      <c r="AC250" s="537"/>
      <c r="AD250" s="537"/>
      <c r="AE250" s="537"/>
      <c r="AF250" s="537"/>
      <c r="AG250" s="537"/>
      <c r="AH250" s="537"/>
    </row>
    <row r="251" spans="3:34" x14ac:dyDescent="0.25">
      <c r="C251" s="364"/>
      <c r="D251" s="364"/>
      <c r="E251" s="364"/>
      <c r="F251" s="364"/>
      <c r="G251" s="364"/>
      <c r="H251" s="356">
        <v>0</v>
      </c>
      <c r="I251" s="362" t="str">
        <f t="shared" si="112"/>
        <v>МСМК</v>
      </c>
      <c r="J251" s="362" t="str">
        <f t="shared" si="113"/>
        <v>МСМК</v>
      </c>
      <c r="K251" s="626"/>
      <c r="L251" s="533">
        <v>0</v>
      </c>
      <c r="M251" s="531" t="str">
        <f t="shared" si="114"/>
        <v>МСМК</v>
      </c>
      <c r="N251" s="531" t="str">
        <f t="shared" si="115"/>
        <v>МСМК</v>
      </c>
      <c r="P251" s="537"/>
      <c r="Q251" s="537"/>
      <c r="R251" s="537"/>
      <c r="S251" s="537"/>
      <c r="T251" s="537"/>
      <c r="U251" s="537"/>
      <c r="V251" s="537"/>
      <c r="W251" s="537"/>
      <c r="X251" s="537"/>
      <c r="Y251" s="537"/>
      <c r="Z251" s="537"/>
      <c r="AA251" s="537"/>
      <c r="AB251" s="537"/>
      <c r="AC251" s="537"/>
      <c r="AD251" s="537"/>
      <c r="AE251" s="537"/>
      <c r="AF251" s="537"/>
      <c r="AG251" s="537"/>
      <c r="AH251" s="537"/>
    </row>
    <row r="252" spans="3:34" x14ac:dyDescent="0.25">
      <c r="C252" s="364"/>
      <c r="D252" s="364"/>
      <c r="E252" s="364"/>
      <c r="F252" s="364"/>
      <c r="G252" s="364"/>
      <c r="H252" s="356">
        <v>0</v>
      </c>
      <c r="I252" s="362" t="str">
        <f t="shared" si="112"/>
        <v>МСМК</v>
      </c>
      <c r="J252" s="362" t="str">
        <f t="shared" si="113"/>
        <v>МСМК</v>
      </c>
      <c r="K252" s="626"/>
      <c r="L252" s="356">
        <v>0</v>
      </c>
      <c r="M252" s="362" t="str">
        <f t="shared" si="114"/>
        <v>МСМК</v>
      </c>
      <c r="N252" s="362" t="str">
        <f t="shared" si="115"/>
        <v>МСМК</v>
      </c>
      <c r="P252" s="537"/>
      <c r="Q252" s="537"/>
      <c r="R252" s="537"/>
      <c r="S252" s="537"/>
      <c r="T252" s="537"/>
      <c r="U252" s="537"/>
      <c r="V252" s="537"/>
      <c r="W252" s="537"/>
      <c r="X252" s="537"/>
      <c r="Y252" s="537"/>
      <c r="Z252" s="537"/>
      <c r="AA252" s="537"/>
      <c r="AB252" s="537"/>
      <c r="AC252" s="537"/>
      <c r="AD252" s="537"/>
      <c r="AE252" s="537"/>
      <c r="AF252" s="537"/>
      <c r="AG252" s="537"/>
      <c r="AH252" s="537"/>
    </row>
    <row r="253" spans="3:34" x14ac:dyDescent="0.25">
      <c r="C253" s="364"/>
      <c r="D253" s="364"/>
      <c r="E253" s="364"/>
      <c r="F253" s="364"/>
      <c r="G253" s="364"/>
      <c r="H253" s="356">
        <v>0</v>
      </c>
      <c r="I253" s="362" t="str">
        <f t="shared" si="112"/>
        <v>МСМК</v>
      </c>
      <c r="J253" s="362" t="str">
        <f t="shared" si="113"/>
        <v>МСМК</v>
      </c>
      <c r="K253" s="626"/>
      <c r="L253" s="356">
        <v>0</v>
      </c>
      <c r="M253" s="362" t="str">
        <f t="shared" si="114"/>
        <v>МСМК</v>
      </c>
      <c r="N253" s="362" t="str">
        <f t="shared" si="115"/>
        <v>МСМК</v>
      </c>
      <c r="P253" s="537"/>
      <c r="Q253" s="537"/>
      <c r="R253" s="537"/>
      <c r="S253" s="537"/>
      <c r="T253" s="537"/>
      <c r="U253" s="537"/>
      <c r="V253" s="537"/>
      <c r="W253" s="537"/>
      <c r="X253" s="537"/>
      <c r="Y253" s="537"/>
      <c r="Z253" s="537"/>
      <c r="AA253" s="537"/>
      <c r="AB253" s="537"/>
      <c r="AC253" s="537"/>
      <c r="AD253" s="537"/>
      <c r="AE253" s="537"/>
      <c r="AF253" s="537"/>
      <c r="AG253" s="537"/>
      <c r="AH253" s="537"/>
    </row>
    <row r="254" spans="3:34" x14ac:dyDescent="0.25">
      <c r="C254" s="364"/>
      <c r="D254" s="364"/>
      <c r="E254" s="364"/>
      <c r="F254" s="364"/>
      <c r="G254" s="364"/>
      <c r="H254" s="356">
        <v>0</v>
      </c>
      <c r="I254" s="362" t="str">
        <f t="shared" si="112"/>
        <v>МСМК</v>
      </c>
      <c r="J254" s="362" t="str">
        <f t="shared" si="113"/>
        <v>МСМК</v>
      </c>
      <c r="K254" s="626"/>
      <c r="L254" s="356">
        <v>0</v>
      </c>
      <c r="M254" s="362" t="str">
        <f t="shared" si="114"/>
        <v>МСМК</v>
      </c>
      <c r="N254" s="362" t="str">
        <f t="shared" si="115"/>
        <v>МСМК</v>
      </c>
      <c r="P254" s="537"/>
      <c r="Q254" s="537"/>
      <c r="R254" s="537"/>
      <c r="S254" s="537"/>
      <c r="T254" s="537"/>
      <c r="U254" s="537"/>
      <c r="V254" s="537"/>
      <c r="W254" s="537"/>
      <c r="X254" s="537"/>
      <c r="Y254" s="537"/>
      <c r="Z254" s="537"/>
      <c r="AA254" s="537"/>
      <c r="AB254" s="537"/>
      <c r="AC254" s="537"/>
      <c r="AD254" s="537"/>
      <c r="AE254" s="537"/>
      <c r="AF254" s="537"/>
      <c r="AG254" s="537"/>
      <c r="AH254" s="537"/>
    </row>
    <row r="255" spans="3:34" x14ac:dyDescent="0.25">
      <c r="C255" s="364"/>
      <c r="D255" s="364"/>
      <c r="E255" s="364"/>
      <c r="F255" s="364"/>
      <c r="G255" s="364"/>
      <c r="H255" s="356">
        <v>0</v>
      </c>
      <c r="I255" s="362" t="str">
        <f t="shared" si="112"/>
        <v>МСМК</v>
      </c>
      <c r="J255" s="362" t="str">
        <f t="shared" si="113"/>
        <v>МСМК</v>
      </c>
      <c r="K255" s="626"/>
      <c r="L255" s="356">
        <v>0</v>
      </c>
      <c r="M255" s="362" t="str">
        <f t="shared" si="114"/>
        <v>МСМК</v>
      </c>
      <c r="N255" s="362" t="str">
        <f t="shared" si="115"/>
        <v>МСМК</v>
      </c>
      <c r="P255" s="537"/>
      <c r="Q255" s="537"/>
      <c r="R255" s="537"/>
      <c r="S255" s="537"/>
      <c r="T255" s="537"/>
      <c r="U255" s="537"/>
      <c r="V255" s="537"/>
      <c r="W255" s="537"/>
      <c r="X255" s="537"/>
      <c r="Y255" s="537"/>
      <c r="Z255" s="537"/>
      <c r="AA255" s="537"/>
      <c r="AB255" s="537"/>
      <c r="AC255" s="537"/>
      <c r="AD255" s="537"/>
      <c r="AE255" s="537"/>
      <c r="AF255" s="537"/>
      <c r="AG255" s="537"/>
      <c r="AH255" s="537"/>
    </row>
    <row r="256" spans="3:34" x14ac:dyDescent="0.25">
      <c r="C256" s="364"/>
      <c r="D256" s="364"/>
      <c r="E256" s="364"/>
      <c r="F256" s="364"/>
      <c r="G256" s="364"/>
      <c r="H256" s="356"/>
      <c r="I256" s="362" t="str">
        <f>IF(ISBLANK(H256)," ",IF(ISTEXT(H256)," ",IF(H256&lt;=251,"МСМК",IF(H256&lt;=259.6,"МС",IF(H256&lt;=308.1,"КМС",IF(H256&lt;=321.8,"I",IF(H256&lt;=338.9,"II",IF(H256&lt;=357.7,"III","б/р"))))))))</f>
        <v xml:space="preserve"> </v>
      </c>
      <c r="J256" s="355" t="str">
        <f>IF(ISBLANK(H256)," ",IF(ISTEXT(H256)," ",IF(H256&lt;=251,"МСМК",IF(H256&lt;=259.6,"МС",IF(H256&lt;=308.1,"КМС",IF(H256&lt;=321.8,"I",IF(H256&lt;=338.9,"II",IF(H256&lt;=357.7,"III","б/р"))))))))</f>
        <v xml:space="preserve"> </v>
      </c>
      <c r="K256" s="626"/>
      <c r="P256" s="537"/>
      <c r="Q256" s="537"/>
      <c r="R256" s="537"/>
      <c r="S256" s="537"/>
      <c r="T256" s="537"/>
      <c r="U256" s="537"/>
      <c r="V256" s="537"/>
      <c r="W256" s="537"/>
      <c r="X256" s="537"/>
      <c r="Y256" s="537"/>
      <c r="Z256" s="537"/>
      <c r="AA256" s="537"/>
      <c r="AB256" s="537"/>
      <c r="AC256" s="537"/>
      <c r="AD256" s="537"/>
      <c r="AE256" s="537"/>
      <c r="AF256" s="537"/>
      <c r="AG256" s="537"/>
      <c r="AH256" s="537"/>
    </row>
    <row r="257" spans="3:34" x14ac:dyDescent="0.25">
      <c r="C257" s="349" t="s">
        <v>88</v>
      </c>
      <c r="D257" s="350"/>
      <c r="E257" s="351"/>
      <c r="F257" s="349"/>
      <c r="G257" s="349"/>
      <c r="H257" s="352"/>
      <c r="I257" s="356"/>
      <c r="J257" s="364"/>
      <c r="K257" s="627"/>
      <c r="P257" s="537"/>
      <c r="Q257" s="537"/>
      <c r="R257" s="537"/>
      <c r="S257" s="537"/>
      <c r="T257" s="537"/>
      <c r="U257" s="537"/>
      <c r="V257" s="537"/>
      <c r="W257" s="537"/>
      <c r="X257" s="537"/>
      <c r="Y257" s="537"/>
      <c r="Z257" s="537"/>
      <c r="AA257" s="537"/>
      <c r="AB257" s="537"/>
      <c r="AC257" s="537"/>
      <c r="AD257" s="537"/>
      <c r="AE257" s="537"/>
      <c r="AF257" s="537"/>
      <c r="AG257" s="537"/>
      <c r="AH257" s="537"/>
    </row>
    <row r="258" spans="3:34" x14ac:dyDescent="0.25">
      <c r="C258" s="546"/>
      <c r="D258" s="355"/>
      <c r="E258" s="406"/>
      <c r="F258" s="546"/>
      <c r="G258" s="546"/>
      <c r="H258" s="356">
        <v>304.60000000000002</v>
      </c>
      <c r="I258" s="362" t="str">
        <f t="shared" ref="I258:I263" si="116">IF(ISBLANK(H258)," ",IF(ISTEXT(H258)," ",IF(H258&lt;=304.6,"МСМК",IF(H258&lt;=314.4,"МС",IF(H258&lt;=323.2,"КМС",IF(H258&lt;=338.2,"I",IF(H258&lt;=356.2,"II",IF(H258&lt;=415.2,"III","б/р"))))))))</f>
        <v>МСМК</v>
      </c>
      <c r="J258" s="362" t="str">
        <f t="shared" ref="J258:J263" si="117">IF(ISBLANK(H258)," ",IF(ISTEXT(H258)," ",IF(H258&lt;=304.6,"МСМК",IF(H258&lt;=314.4,"МС",IF(H258&lt;=323.2,"КМС",IF(H258&lt;=338.2,"I",IF(H258&lt;=356.2,"II",IF(H258&lt;=415.2,"III","б/р"))))))))</f>
        <v>МСМК</v>
      </c>
      <c r="K258" s="626"/>
      <c r="L258" s="533">
        <f>H258</f>
        <v>304.60000000000002</v>
      </c>
      <c r="M258" s="531" t="str">
        <f t="shared" ref="M258:M263" si="118">IF(ISBLANK(L258)," ",IF(ISTEXT(L258)," ",IF(L258&lt;=304.6,"МСМК",IF(L258&lt;=314.4,"МС",IF(L258&lt;=323,"КМС",IF(L258&lt;=338,"I",IF(L258&lt;=356,"II",IF(L258&lt;=415,"III","б/р"))))))))</f>
        <v>МСМК</v>
      </c>
      <c r="N258" s="531" t="str">
        <f t="shared" ref="N258:N263" si="119">IF(ISBLANK(L258)," ",IF(ISTEXT(L258)," ",IF(L258&lt;=304.6,"МСМК",IF(L258&lt;=314.4,"МС",IF(L258&lt;=323,"КМС",IF(L258&lt;=338,"I",IF(L258&lt;=356,"II",IF(L258&lt;=415,"III","б/р"))))))))</f>
        <v>МСМК</v>
      </c>
      <c r="P258" s="537"/>
      <c r="Q258" s="537"/>
      <c r="R258" s="537"/>
      <c r="S258" s="537"/>
      <c r="T258" s="537"/>
      <c r="U258" s="537"/>
      <c r="V258" s="537"/>
      <c r="W258" s="537"/>
      <c r="X258" s="537"/>
      <c r="Y258" s="537"/>
      <c r="Z258" s="537"/>
      <c r="AA258" s="537"/>
      <c r="AB258" s="537"/>
      <c r="AC258" s="537"/>
      <c r="AD258" s="537"/>
      <c r="AE258" s="537"/>
      <c r="AF258" s="537"/>
      <c r="AG258" s="537"/>
      <c r="AH258" s="537"/>
    </row>
    <row r="259" spans="3:34" x14ac:dyDescent="0.25">
      <c r="C259" s="546"/>
      <c r="D259" s="355"/>
      <c r="E259" s="406"/>
      <c r="F259" s="546"/>
      <c r="G259" s="546"/>
      <c r="H259" s="356">
        <v>314.39999999999998</v>
      </c>
      <c r="I259" s="362" t="str">
        <f t="shared" si="116"/>
        <v>МС</v>
      </c>
      <c r="J259" s="362" t="str">
        <f t="shared" si="117"/>
        <v>МС</v>
      </c>
      <c r="K259" s="626"/>
      <c r="L259" s="533">
        <f>H259</f>
        <v>314.39999999999998</v>
      </c>
      <c r="M259" s="531" t="str">
        <f t="shared" si="118"/>
        <v>МС</v>
      </c>
      <c r="N259" s="531" t="str">
        <f t="shared" si="119"/>
        <v>МС</v>
      </c>
      <c r="P259" s="537"/>
      <c r="Q259" s="537"/>
      <c r="R259" s="537"/>
      <c r="S259" s="537"/>
      <c r="T259" s="537"/>
      <c r="U259" s="537"/>
      <c r="V259" s="537"/>
      <c r="W259" s="537"/>
      <c r="X259" s="537"/>
      <c r="Y259" s="537"/>
      <c r="Z259" s="537"/>
      <c r="AA259" s="537"/>
      <c r="AB259" s="537"/>
      <c r="AC259" s="537"/>
      <c r="AD259" s="537"/>
      <c r="AE259" s="537"/>
      <c r="AF259" s="537"/>
      <c r="AG259" s="537"/>
      <c r="AH259" s="537"/>
    </row>
    <row r="260" spans="3:34" x14ac:dyDescent="0.25">
      <c r="C260" s="546"/>
      <c r="D260" s="355"/>
      <c r="E260" s="406"/>
      <c r="F260" s="546"/>
      <c r="G260" s="546"/>
      <c r="H260" s="356">
        <v>323.2</v>
      </c>
      <c r="I260" s="362" t="str">
        <f t="shared" si="116"/>
        <v>КМС</v>
      </c>
      <c r="J260" s="362" t="str">
        <f t="shared" si="117"/>
        <v>КМС</v>
      </c>
      <c r="K260" s="626"/>
      <c r="L260" s="356">
        <f>H260-0.2</f>
        <v>323</v>
      </c>
      <c r="M260" s="362" t="str">
        <f t="shared" si="118"/>
        <v>КМС</v>
      </c>
      <c r="N260" s="362" t="str">
        <f t="shared" si="119"/>
        <v>КМС</v>
      </c>
      <c r="P260" s="537"/>
      <c r="Q260" s="537"/>
      <c r="R260" s="537"/>
      <c r="S260" s="537"/>
      <c r="T260" s="537"/>
      <c r="U260" s="537"/>
      <c r="V260" s="537"/>
      <c r="W260" s="537"/>
      <c r="X260" s="537"/>
      <c r="Y260" s="537"/>
      <c r="Z260" s="537"/>
      <c r="AA260" s="537"/>
      <c r="AB260" s="537"/>
      <c r="AC260" s="537"/>
      <c r="AD260" s="537"/>
      <c r="AE260" s="537"/>
      <c r="AF260" s="537"/>
      <c r="AG260" s="537"/>
      <c r="AH260" s="537"/>
    </row>
    <row r="261" spans="3:34" x14ac:dyDescent="0.25">
      <c r="C261" s="546"/>
      <c r="D261" s="355"/>
      <c r="E261" s="406"/>
      <c r="F261" s="546"/>
      <c r="G261" s="546"/>
      <c r="H261" s="356">
        <v>338.2</v>
      </c>
      <c r="I261" s="362" t="str">
        <f t="shared" si="116"/>
        <v>I</v>
      </c>
      <c r="J261" s="362" t="str">
        <f t="shared" si="117"/>
        <v>I</v>
      </c>
      <c r="K261" s="626"/>
      <c r="L261" s="356">
        <f>H261-0.2</f>
        <v>338</v>
      </c>
      <c r="M261" s="362" t="str">
        <f t="shared" si="118"/>
        <v>I</v>
      </c>
      <c r="N261" s="362" t="str">
        <f t="shared" si="119"/>
        <v>I</v>
      </c>
      <c r="P261" s="537"/>
      <c r="Q261" s="537"/>
      <c r="R261" s="537"/>
      <c r="S261" s="537"/>
      <c r="T261" s="537"/>
      <c r="U261" s="537"/>
      <c r="V261" s="537"/>
      <c r="W261" s="537"/>
      <c r="X261" s="537"/>
      <c r="Y261" s="537"/>
      <c r="Z261" s="537"/>
      <c r="AA261" s="537"/>
      <c r="AB261" s="537"/>
      <c r="AC261" s="537"/>
      <c r="AD261" s="537"/>
      <c r="AE261" s="537"/>
      <c r="AF261" s="537"/>
      <c r="AG261" s="537"/>
      <c r="AH261" s="537"/>
    </row>
    <row r="262" spans="3:34" x14ac:dyDescent="0.25">
      <c r="C262" s="546"/>
      <c r="D262" s="355"/>
      <c r="E262" s="406"/>
      <c r="F262" s="546"/>
      <c r="G262" s="546"/>
      <c r="H262" s="356">
        <v>356.2</v>
      </c>
      <c r="I262" s="362" t="str">
        <f t="shared" si="116"/>
        <v>II</v>
      </c>
      <c r="J262" s="362" t="str">
        <f t="shared" si="117"/>
        <v>II</v>
      </c>
      <c r="K262" s="626"/>
      <c r="L262" s="356">
        <f>H262-0.2</f>
        <v>356</v>
      </c>
      <c r="M262" s="362" t="str">
        <f t="shared" si="118"/>
        <v>II</v>
      </c>
      <c r="N262" s="362" t="str">
        <f t="shared" si="119"/>
        <v>II</v>
      </c>
      <c r="P262" s="537"/>
      <c r="Q262" s="537"/>
      <c r="R262" s="537"/>
      <c r="S262" s="537"/>
      <c r="T262" s="537"/>
      <c r="U262" s="537"/>
      <c r="V262" s="537"/>
      <c r="W262" s="537"/>
      <c r="X262" s="537"/>
      <c r="Y262" s="537"/>
      <c r="Z262" s="537"/>
      <c r="AA262" s="537"/>
      <c r="AB262" s="537"/>
      <c r="AC262" s="537"/>
      <c r="AD262" s="537"/>
      <c r="AE262" s="537"/>
      <c r="AF262" s="537"/>
      <c r="AG262" s="537"/>
      <c r="AH262" s="537"/>
    </row>
    <row r="263" spans="3:34" x14ac:dyDescent="0.25">
      <c r="C263" s="546"/>
      <c r="D263" s="355"/>
      <c r="E263" s="406"/>
      <c r="F263" s="546"/>
      <c r="G263" s="546"/>
      <c r="H263" s="356">
        <v>415.2</v>
      </c>
      <c r="I263" s="362" t="str">
        <f t="shared" si="116"/>
        <v>III</v>
      </c>
      <c r="J263" s="362" t="str">
        <f t="shared" si="117"/>
        <v>III</v>
      </c>
      <c r="K263" s="626"/>
      <c r="L263" s="356">
        <f>H263-0.2</f>
        <v>415</v>
      </c>
      <c r="M263" s="362" t="str">
        <f t="shared" si="118"/>
        <v>III</v>
      </c>
      <c r="N263" s="362" t="str">
        <f t="shared" si="119"/>
        <v>III</v>
      </c>
      <c r="P263" s="537"/>
      <c r="Q263" s="537"/>
      <c r="R263" s="537"/>
      <c r="S263" s="537"/>
      <c r="T263" s="537"/>
      <c r="U263" s="537"/>
      <c r="V263" s="537"/>
      <c r="W263" s="537"/>
      <c r="X263" s="537"/>
      <c r="Y263" s="537"/>
      <c r="Z263" s="537"/>
      <c r="AA263" s="537"/>
      <c r="AB263" s="537"/>
      <c r="AC263" s="537"/>
      <c r="AD263" s="537"/>
      <c r="AE263" s="537"/>
      <c r="AF263" s="537"/>
      <c r="AG263" s="537"/>
      <c r="AH263" s="537"/>
    </row>
    <row r="264" spans="3:34" x14ac:dyDescent="0.25">
      <c r="C264" s="546"/>
      <c r="D264" s="355"/>
      <c r="E264" s="406"/>
      <c r="F264" s="546"/>
      <c r="G264" s="546"/>
      <c r="H264" s="356"/>
      <c r="I264" s="356"/>
      <c r="J264" s="364"/>
      <c r="K264" s="627"/>
      <c r="P264" s="528"/>
      <c r="Q264" s="528"/>
      <c r="R264" s="528"/>
      <c r="S264" s="528"/>
      <c r="T264" s="538"/>
      <c r="U264" s="538"/>
      <c r="V264" s="538"/>
      <c r="W264" s="538"/>
      <c r="X264" s="538"/>
      <c r="Y264" s="538"/>
      <c r="Z264" s="538"/>
      <c r="AA264" s="538"/>
      <c r="AB264" s="537"/>
      <c r="AC264" s="537"/>
      <c r="AD264" s="537"/>
      <c r="AE264" s="537"/>
      <c r="AF264" s="537"/>
      <c r="AG264" s="537"/>
      <c r="AH264" s="537"/>
    </row>
    <row r="265" spans="3:34" x14ac:dyDescent="0.25">
      <c r="C265" s="349" t="s">
        <v>89</v>
      </c>
      <c r="D265" s="364"/>
      <c r="E265" s="364"/>
      <c r="F265" s="364"/>
      <c r="G265" s="364"/>
      <c r="H265" s="356"/>
      <c r="I265" s="356"/>
      <c r="J265" s="364"/>
      <c r="K265" s="627"/>
      <c r="P265" s="527"/>
      <c r="Q265" s="527"/>
      <c r="R265" s="527"/>
      <c r="S265" s="527"/>
      <c r="T265" s="527"/>
      <c r="U265" s="527"/>
      <c r="V265" s="527"/>
      <c r="W265" s="527"/>
      <c r="X265" s="527"/>
      <c r="Y265" s="527"/>
      <c r="Z265" s="527"/>
      <c r="AA265" s="527"/>
      <c r="AB265" s="537"/>
      <c r="AC265" s="537"/>
      <c r="AD265" s="537"/>
      <c r="AE265" s="537"/>
      <c r="AF265" s="537"/>
      <c r="AG265" s="537"/>
      <c r="AH265" s="537"/>
    </row>
    <row r="266" spans="3:34" x14ac:dyDescent="0.25">
      <c r="C266" s="364"/>
      <c r="D266" s="364"/>
      <c r="E266" s="364"/>
      <c r="F266" s="364"/>
      <c r="G266" s="364"/>
      <c r="H266" s="356">
        <v>250.2</v>
      </c>
      <c r="I266" s="362" t="str">
        <f t="shared" ref="I266:I271" si="120">IF(ISBLANK(H266)," ",IF(ISTEXT(H266)," ",IF(H266&lt;=250.2,"МСМК",IF(H266&lt;=259.2,"МС",IF(H266&lt;=307.9,"КМС",IF(H266&lt;=321.2,"I",IF(H266&lt;=338.2,"II",IF(H266&lt;=356.7,"III","б/р"))))))))</f>
        <v>МСМК</v>
      </c>
      <c r="J266" s="362" t="str">
        <f t="shared" ref="J266:J271" si="121">IF(ISBLANK(H266)," ",IF(ISTEXT(H266)," ",IF(H266&lt;=250.2,"МСМК",IF(H266&lt;=259.2,"МС",IF(H266&lt;=307.9,"КМС",IF(H266&lt;=321.2,"I",IF(H266&lt;=338.2,"II",IF(H266&lt;=356.7,"III","б/р"))))))))</f>
        <v>МСМК</v>
      </c>
      <c r="K266" s="626"/>
      <c r="L266" s="533">
        <f>H266</f>
        <v>250.2</v>
      </c>
      <c r="M266" s="531" t="str">
        <f t="shared" ref="M266:M271" si="122">IF(ISBLANK(L266)," ",IF(ISTEXT(L266)," ",IF(L266&lt;=250.2,"МСМК",IF(L266&lt;=259.2,"МС",IF(L266&lt;=307.7,"КМС",IF(L266&lt;=321,"I",IF(L266&lt;=338,"II",IF(L266&lt;=356.5,"III","б/р"))))))))</f>
        <v>МСМК</v>
      </c>
      <c r="N266" s="531" t="str">
        <f t="shared" ref="N266:N271" si="123">IF(ISBLANK(L266)," ",IF(ISTEXT(L266)," ",IF(L266&lt;=250.2,"МСМК",IF(L266&lt;=259.2,"МС",IF(L266&lt;=307.7,"КМС",IF(L266&lt;=321,"I",IF(L266&lt;=338,"II",IF(L266&lt;=356.5,"III","б/р"))))))))</f>
        <v>МСМК</v>
      </c>
      <c r="P266" s="537"/>
      <c r="Q266" s="537"/>
      <c r="R266" s="537"/>
      <c r="S266" s="537"/>
      <c r="T266" s="537"/>
      <c r="U266" s="537"/>
      <c r="V266" s="537"/>
      <c r="W266" s="537"/>
      <c r="X266" s="537"/>
      <c r="Y266" s="537"/>
      <c r="Z266" s="537"/>
      <c r="AA266" s="537"/>
      <c r="AB266" s="537"/>
      <c r="AC266" s="537"/>
      <c r="AD266" s="537"/>
      <c r="AE266" s="537"/>
      <c r="AF266" s="537"/>
      <c r="AG266" s="537"/>
      <c r="AH266" s="537"/>
    </row>
    <row r="267" spans="3:34" x14ac:dyDescent="0.25">
      <c r="C267" s="364"/>
      <c r="D267" s="364"/>
      <c r="E267" s="364"/>
      <c r="F267" s="364"/>
      <c r="G267" s="364"/>
      <c r="H267" s="356">
        <v>259.2</v>
      </c>
      <c r="I267" s="362" t="str">
        <f t="shared" si="120"/>
        <v>МС</v>
      </c>
      <c r="J267" s="362" t="str">
        <f t="shared" si="121"/>
        <v>МС</v>
      </c>
      <c r="K267" s="626"/>
      <c r="L267" s="533">
        <f>H267</f>
        <v>259.2</v>
      </c>
      <c r="M267" s="531" t="str">
        <f t="shared" si="122"/>
        <v>МС</v>
      </c>
      <c r="N267" s="531" t="str">
        <f t="shared" si="123"/>
        <v>МС</v>
      </c>
      <c r="P267" s="537"/>
      <c r="Q267" s="537"/>
      <c r="R267" s="537"/>
      <c r="S267" s="537"/>
      <c r="T267" s="537"/>
      <c r="U267" s="537"/>
      <c r="V267" s="537"/>
      <c r="W267" s="537"/>
      <c r="X267" s="537"/>
      <c r="Y267" s="537"/>
      <c r="Z267" s="537"/>
      <c r="AA267" s="537"/>
      <c r="AB267" s="537"/>
      <c r="AC267" s="537"/>
      <c r="AD267" s="537"/>
      <c r="AE267" s="537"/>
      <c r="AF267" s="537"/>
      <c r="AG267" s="537"/>
      <c r="AH267" s="537"/>
    </row>
    <row r="268" spans="3:34" x14ac:dyDescent="0.25">
      <c r="C268" s="364"/>
      <c r="D268" s="364"/>
      <c r="E268" s="364"/>
      <c r="F268" s="364"/>
      <c r="G268" s="364"/>
      <c r="H268" s="356">
        <v>307.89999999999998</v>
      </c>
      <c r="I268" s="362" t="str">
        <f t="shared" si="120"/>
        <v>КМС</v>
      </c>
      <c r="J268" s="362" t="str">
        <f t="shared" si="121"/>
        <v>КМС</v>
      </c>
      <c r="K268" s="626"/>
      <c r="L268" s="356">
        <f>H268-0.2</f>
        <v>307.7</v>
      </c>
      <c r="M268" s="362" t="str">
        <f t="shared" si="122"/>
        <v>КМС</v>
      </c>
      <c r="N268" s="362" t="str">
        <f t="shared" si="123"/>
        <v>КМС</v>
      </c>
      <c r="P268" s="537"/>
      <c r="Q268" s="537"/>
      <c r="R268" s="537"/>
      <c r="S268" s="537"/>
      <c r="T268" s="537"/>
      <c r="U268" s="537"/>
      <c r="V268" s="537"/>
      <c r="W268" s="537"/>
      <c r="X268" s="537"/>
      <c r="Y268" s="537"/>
      <c r="Z268" s="537"/>
      <c r="AA268" s="537"/>
      <c r="AB268" s="537"/>
      <c r="AC268" s="537"/>
      <c r="AD268" s="537"/>
      <c r="AE268" s="537"/>
      <c r="AF268" s="537"/>
      <c r="AG268" s="537"/>
      <c r="AH268" s="537"/>
    </row>
    <row r="269" spans="3:34" x14ac:dyDescent="0.25">
      <c r="C269" s="364"/>
      <c r="D269" s="364"/>
      <c r="E269" s="364"/>
      <c r="F269" s="364"/>
      <c r="G269" s="364"/>
      <c r="H269" s="356">
        <v>321.2</v>
      </c>
      <c r="I269" s="362" t="str">
        <f t="shared" si="120"/>
        <v>I</v>
      </c>
      <c r="J269" s="362" t="str">
        <f t="shared" si="121"/>
        <v>I</v>
      </c>
      <c r="K269" s="626"/>
      <c r="L269" s="356">
        <f>H269-0.2</f>
        <v>321</v>
      </c>
      <c r="M269" s="362" t="str">
        <f t="shared" si="122"/>
        <v>I</v>
      </c>
      <c r="N269" s="362" t="str">
        <f t="shared" si="123"/>
        <v>I</v>
      </c>
      <c r="P269" s="537"/>
      <c r="Q269" s="537"/>
      <c r="R269" s="537"/>
      <c r="S269" s="537"/>
      <c r="T269" s="537"/>
      <c r="U269" s="537"/>
      <c r="V269" s="537"/>
      <c r="W269" s="537"/>
      <c r="X269" s="537"/>
      <c r="Y269" s="537"/>
      <c r="Z269" s="537"/>
      <c r="AA269" s="537"/>
      <c r="AB269" s="537"/>
      <c r="AC269" s="537"/>
      <c r="AD269" s="537"/>
      <c r="AE269" s="537"/>
      <c r="AF269" s="537"/>
      <c r="AG269" s="537"/>
      <c r="AH269" s="537"/>
    </row>
    <row r="270" spans="3:34" x14ac:dyDescent="0.25">
      <c r="C270" s="364"/>
      <c r="D270" s="364"/>
      <c r="E270" s="364"/>
      <c r="F270" s="364"/>
      <c r="G270" s="364"/>
      <c r="H270" s="356">
        <v>338.2</v>
      </c>
      <c r="I270" s="362" t="str">
        <f t="shared" si="120"/>
        <v>II</v>
      </c>
      <c r="J270" s="362" t="str">
        <f t="shared" si="121"/>
        <v>II</v>
      </c>
      <c r="K270" s="626"/>
      <c r="L270" s="356">
        <f>H270-0.2</f>
        <v>338</v>
      </c>
      <c r="M270" s="362" t="str">
        <f t="shared" si="122"/>
        <v>II</v>
      </c>
      <c r="N270" s="362" t="str">
        <f t="shared" si="123"/>
        <v>II</v>
      </c>
      <c r="P270" s="537"/>
      <c r="Q270" s="537"/>
      <c r="R270" s="537"/>
      <c r="S270" s="537"/>
      <c r="T270" s="537"/>
      <c r="U270" s="537"/>
      <c r="V270" s="537"/>
      <c r="W270" s="537"/>
      <c r="X270" s="537"/>
      <c r="Y270" s="537"/>
      <c r="Z270" s="537"/>
      <c r="AA270" s="537"/>
      <c r="AB270" s="537"/>
      <c r="AC270" s="537"/>
      <c r="AD270" s="537"/>
      <c r="AE270" s="537"/>
      <c r="AF270" s="537"/>
      <c r="AG270" s="537"/>
      <c r="AH270" s="537"/>
    </row>
    <row r="271" spans="3:34" x14ac:dyDescent="0.25">
      <c r="C271" s="364"/>
      <c r="D271" s="364"/>
      <c r="E271" s="364"/>
      <c r="F271" s="364"/>
      <c r="G271" s="364"/>
      <c r="H271" s="356">
        <v>356.7</v>
      </c>
      <c r="I271" s="362" t="str">
        <f t="shared" si="120"/>
        <v>III</v>
      </c>
      <c r="J271" s="362" t="str">
        <f t="shared" si="121"/>
        <v>III</v>
      </c>
      <c r="K271" s="626"/>
      <c r="L271" s="356">
        <f>H271-0.2</f>
        <v>356.5</v>
      </c>
      <c r="M271" s="362" t="str">
        <f t="shared" si="122"/>
        <v>III</v>
      </c>
      <c r="N271" s="362" t="str">
        <f t="shared" si="123"/>
        <v>III</v>
      </c>
      <c r="P271" s="537"/>
      <c r="Q271" s="537"/>
      <c r="R271" s="537"/>
      <c r="S271" s="537"/>
      <c r="T271" s="537"/>
      <c r="U271" s="537"/>
      <c r="V271" s="537"/>
      <c r="W271" s="537"/>
      <c r="X271" s="537"/>
      <c r="Y271" s="537"/>
      <c r="Z271" s="537"/>
      <c r="AA271" s="537"/>
      <c r="AB271" s="537"/>
      <c r="AC271" s="537"/>
      <c r="AD271" s="537"/>
      <c r="AE271" s="537"/>
      <c r="AF271" s="537"/>
      <c r="AG271" s="537"/>
      <c r="AH271" s="537"/>
    </row>
    <row r="272" spans="3:34" x14ac:dyDescent="0.25">
      <c r="C272" s="364"/>
      <c r="D272" s="364"/>
      <c r="E272" s="364"/>
      <c r="F272" s="364"/>
      <c r="G272" s="364"/>
      <c r="H272" s="356"/>
      <c r="I272" s="362" t="str">
        <f>IF(ISBLANK(H272)," ",IF(ISTEXT(H272)," ",IF(H272&lt;=251,"МСМК",IF(H272&lt;=259.6,"МС",IF(H272&lt;=308.1,"КМС",IF(H272&lt;=321.8,"I",IF(H272&lt;=338.9,"II",IF(H272&lt;=357.7,"III","б/р"))))))))</f>
        <v xml:space="preserve"> </v>
      </c>
      <c r="J272" s="355" t="str">
        <f>IF(ISBLANK(H272)," ",IF(ISTEXT(H272)," ",IF(H272&lt;=251,"МСМК",IF(H272&lt;=259.6,"МС",IF(H272&lt;=308.1,"КМС",IF(H272&lt;=321.8,"I",IF(H272&lt;=338.9,"II",IF(H272&lt;=357.7,"III","б/р"))))))))</f>
        <v xml:space="preserve"> </v>
      </c>
      <c r="K272" s="626"/>
      <c r="P272" s="537"/>
      <c r="Q272" s="537"/>
      <c r="R272" s="537"/>
      <c r="S272" s="537"/>
      <c r="T272" s="537"/>
      <c r="U272" s="537"/>
      <c r="V272" s="537"/>
      <c r="W272" s="537"/>
      <c r="X272" s="537"/>
      <c r="Y272" s="537"/>
      <c r="Z272" s="537"/>
      <c r="AA272" s="537"/>
      <c r="AB272" s="537"/>
      <c r="AC272" s="537"/>
      <c r="AD272" s="537"/>
      <c r="AE272" s="537"/>
      <c r="AF272" s="537"/>
      <c r="AG272" s="537"/>
      <c r="AH272" s="537"/>
    </row>
    <row r="273" spans="3:34" x14ac:dyDescent="0.25">
      <c r="C273" s="349" t="s">
        <v>90</v>
      </c>
      <c r="D273" s="350"/>
      <c r="E273" s="351"/>
      <c r="F273" s="349"/>
      <c r="G273" s="349"/>
      <c r="H273" s="352"/>
      <c r="I273" s="356"/>
      <c r="J273" s="364"/>
      <c r="K273" s="627"/>
      <c r="P273" s="537"/>
      <c r="Q273" s="537"/>
      <c r="R273" s="537"/>
      <c r="S273" s="537"/>
      <c r="T273" s="537"/>
      <c r="U273" s="537"/>
      <c r="V273" s="537"/>
      <c r="W273" s="537"/>
      <c r="X273" s="537"/>
      <c r="Y273" s="537"/>
      <c r="Z273" s="537"/>
      <c r="AA273" s="537"/>
      <c r="AB273" s="537"/>
      <c r="AC273" s="537"/>
      <c r="AD273" s="537"/>
      <c r="AE273" s="537"/>
      <c r="AF273" s="537"/>
      <c r="AG273" s="537"/>
      <c r="AH273" s="537"/>
    </row>
    <row r="274" spans="3:34" x14ac:dyDescent="0.25">
      <c r="C274" s="546"/>
      <c r="D274" s="355"/>
      <c r="E274" s="406"/>
      <c r="F274" s="546"/>
      <c r="G274" s="546"/>
      <c r="H274" s="356">
        <v>637.29999999999995</v>
      </c>
      <c r="I274" s="362" t="str">
        <f t="shared" ref="I274:I280" si="124">IF(ISBLANK(H274)," ",IF(ISTEXT(H274)," ",IF(H274&lt;=637.3,"МСМК",IF(H274&lt;=657.2,"МС",IF(H274&lt;=717,"КМС",IF(H274&lt;=748.8,"I",IF(H274&lt;=828.5,"II",IF(H274&lt;=912.2,"III","б/р"))))))))</f>
        <v>МСМК</v>
      </c>
      <c r="J274" s="355" t="str">
        <f t="shared" ref="J274:J280" si="125">IF(ISBLANK(H274)," ",IF(ISTEXT(H274)," ",IF(H274&lt;=637.3,"МСМК",IF(H274&lt;=657.2,"МС",IF(H274&lt;=717,"КМС",IF(H274&lt;=748.8,"I",IF(H274&lt;=828.5,"II",IF(H274&lt;=912.2,"III","б/р"))))))))</f>
        <v>МСМК</v>
      </c>
      <c r="K274" s="626"/>
      <c r="P274" s="537"/>
      <c r="Q274" s="537"/>
      <c r="R274" s="537"/>
      <c r="S274" s="537"/>
      <c r="T274" s="537"/>
      <c r="U274" s="537"/>
      <c r="V274" s="537"/>
      <c r="W274" s="537"/>
      <c r="X274" s="537"/>
      <c r="Y274" s="537"/>
      <c r="Z274" s="537"/>
      <c r="AA274" s="537"/>
      <c r="AB274" s="537"/>
      <c r="AC274" s="537"/>
      <c r="AD274" s="537"/>
      <c r="AE274" s="537"/>
      <c r="AF274" s="537"/>
      <c r="AG274" s="537"/>
      <c r="AH274" s="537"/>
    </row>
    <row r="275" spans="3:34" x14ac:dyDescent="0.25">
      <c r="C275" s="546"/>
      <c r="D275" s="355"/>
      <c r="E275" s="406"/>
      <c r="F275" s="546"/>
      <c r="G275" s="546"/>
      <c r="H275" s="356">
        <v>657.2</v>
      </c>
      <c r="I275" s="362" t="str">
        <f t="shared" si="124"/>
        <v>МС</v>
      </c>
      <c r="J275" s="355" t="str">
        <f t="shared" si="125"/>
        <v>МС</v>
      </c>
      <c r="K275" s="626"/>
      <c r="P275" s="537"/>
      <c r="Q275" s="537"/>
      <c r="R275" s="537"/>
      <c r="S275" s="537"/>
      <c r="T275" s="537"/>
      <c r="U275" s="537"/>
      <c r="V275" s="537"/>
      <c r="W275" s="537"/>
      <c r="X275" s="537"/>
      <c r="Y275" s="537"/>
      <c r="Z275" s="537"/>
      <c r="AA275" s="537"/>
      <c r="AB275" s="537"/>
      <c r="AC275" s="537"/>
      <c r="AD275" s="537"/>
      <c r="AE275" s="537"/>
      <c r="AF275" s="537"/>
      <c r="AG275" s="537"/>
      <c r="AH275" s="537"/>
    </row>
    <row r="276" spans="3:34" x14ac:dyDescent="0.25">
      <c r="C276" s="546"/>
      <c r="D276" s="355"/>
      <c r="E276" s="406"/>
      <c r="F276" s="546"/>
      <c r="G276" s="546"/>
      <c r="H276" s="356">
        <v>717</v>
      </c>
      <c r="I276" s="362" t="str">
        <f t="shared" si="124"/>
        <v>КМС</v>
      </c>
      <c r="J276" s="355" t="str">
        <f t="shared" si="125"/>
        <v>КМС</v>
      </c>
      <c r="K276" s="626"/>
      <c r="P276" s="537"/>
      <c r="Q276" s="537"/>
      <c r="R276" s="537"/>
      <c r="S276" s="537"/>
      <c r="T276" s="537"/>
      <c r="U276" s="537"/>
      <c r="V276" s="537"/>
      <c r="W276" s="537"/>
      <c r="X276" s="537"/>
      <c r="Y276" s="537"/>
      <c r="Z276" s="537"/>
      <c r="AA276" s="537"/>
      <c r="AB276" s="537"/>
      <c r="AC276" s="537"/>
      <c r="AD276" s="537"/>
      <c r="AE276" s="537"/>
      <c r="AF276" s="537"/>
      <c r="AG276" s="537"/>
      <c r="AH276" s="537"/>
    </row>
    <row r="277" spans="3:34" x14ac:dyDescent="0.25">
      <c r="C277" s="546"/>
      <c r="D277" s="355"/>
      <c r="E277" s="406"/>
      <c r="F277" s="546"/>
      <c r="G277" s="546"/>
      <c r="H277" s="356">
        <v>748.8</v>
      </c>
      <c r="I277" s="362" t="str">
        <f t="shared" si="124"/>
        <v>I</v>
      </c>
      <c r="J277" s="355" t="str">
        <f t="shared" si="125"/>
        <v>I</v>
      </c>
      <c r="K277" s="626"/>
      <c r="P277" s="537"/>
      <c r="Q277" s="537"/>
      <c r="R277" s="537"/>
      <c r="S277" s="537"/>
      <c r="T277" s="537"/>
      <c r="U277" s="537"/>
      <c r="V277" s="537"/>
      <c r="W277" s="537"/>
      <c r="X277" s="537"/>
      <c r="Y277" s="537"/>
      <c r="Z277" s="537"/>
      <c r="AA277" s="537"/>
      <c r="AB277" s="537"/>
      <c r="AC277" s="537"/>
      <c r="AD277" s="537"/>
      <c r="AE277" s="537"/>
      <c r="AF277" s="537"/>
      <c r="AG277" s="537"/>
      <c r="AH277" s="537"/>
    </row>
    <row r="278" spans="3:34" x14ac:dyDescent="0.25">
      <c r="C278" s="546"/>
      <c r="D278" s="355"/>
      <c r="E278" s="406"/>
      <c r="F278" s="546"/>
      <c r="G278" s="546"/>
      <c r="H278" s="356">
        <v>828.5</v>
      </c>
      <c r="I278" s="362" t="str">
        <f t="shared" si="124"/>
        <v>II</v>
      </c>
      <c r="J278" s="355" t="str">
        <f t="shared" si="125"/>
        <v>II</v>
      </c>
      <c r="K278" s="626"/>
      <c r="P278" s="537"/>
      <c r="Q278" s="537"/>
      <c r="R278" s="537"/>
      <c r="S278" s="537"/>
      <c r="T278" s="537"/>
      <c r="U278" s="537"/>
      <c r="V278" s="537"/>
      <c r="W278" s="537"/>
      <c r="X278" s="537"/>
      <c r="Y278" s="537"/>
      <c r="Z278" s="537"/>
      <c r="AA278" s="537"/>
      <c r="AB278" s="537"/>
      <c r="AC278" s="537"/>
      <c r="AD278" s="537"/>
      <c r="AE278" s="537"/>
      <c r="AF278" s="537"/>
      <c r="AG278" s="537"/>
      <c r="AH278" s="537"/>
    </row>
    <row r="279" spans="3:34" x14ac:dyDescent="0.25">
      <c r="C279" s="546"/>
      <c r="D279" s="355"/>
      <c r="E279" s="406"/>
      <c r="F279" s="546"/>
      <c r="G279" s="546"/>
      <c r="H279" s="356">
        <v>912.2</v>
      </c>
      <c r="I279" s="362" t="str">
        <f t="shared" si="124"/>
        <v>III</v>
      </c>
      <c r="J279" s="355" t="str">
        <f t="shared" si="125"/>
        <v>III</v>
      </c>
      <c r="K279" s="626"/>
      <c r="P279" s="537"/>
      <c r="Q279" s="537"/>
      <c r="R279" s="537"/>
      <c r="S279" s="537"/>
      <c r="T279" s="537"/>
      <c r="U279" s="537"/>
      <c r="V279" s="537"/>
      <c r="W279" s="537"/>
      <c r="X279" s="537"/>
      <c r="Y279" s="537"/>
      <c r="Z279" s="537"/>
      <c r="AA279" s="537"/>
      <c r="AB279" s="537"/>
      <c r="AC279" s="537"/>
      <c r="AD279" s="537"/>
      <c r="AE279" s="537"/>
      <c r="AF279" s="537"/>
      <c r="AG279" s="537"/>
      <c r="AH279" s="537"/>
    </row>
    <row r="280" spans="3:34" x14ac:dyDescent="0.25">
      <c r="C280" s="546"/>
      <c r="D280" s="355"/>
      <c r="E280" s="406"/>
      <c r="F280" s="546"/>
      <c r="G280" s="546"/>
      <c r="H280" s="356"/>
      <c r="I280" s="362" t="str">
        <f t="shared" si="124"/>
        <v xml:space="preserve"> </v>
      </c>
      <c r="J280" s="355" t="str">
        <f t="shared" si="125"/>
        <v xml:space="preserve"> </v>
      </c>
      <c r="K280" s="626"/>
      <c r="P280" s="537"/>
      <c r="Q280" s="537"/>
      <c r="R280" s="537"/>
      <c r="S280" s="537"/>
      <c r="T280" s="537"/>
      <c r="U280" s="537"/>
      <c r="V280" s="537"/>
      <c r="W280" s="537"/>
      <c r="X280" s="537"/>
      <c r="Y280" s="537"/>
      <c r="Z280" s="537"/>
      <c r="AA280" s="537"/>
      <c r="AB280" s="537"/>
      <c r="AC280" s="537"/>
      <c r="AD280" s="537"/>
      <c r="AE280" s="537"/>
      <c r="AF280" s="537"/>
      <c r="AG280" s="537"/>
      <c r="AH280" s="537"/>
    </row>
    <row r="281" spans="3:34" x14ac:dyDescent="0.25">
      <c r="C281" s="349" t="s">
        <v>91</v>
      </c>
      <c r="D281" s="364"/>
      <c r="E281" s="364"/>
      <c r="F281" s="364"/>
      <c r="G281" s="364"/>
      <c r="H281" s="352"/>
      <c r="I281" s="356"/>
      <c r="J281" s="364"/>
      <c r="K281" s="627"/>
      <c r="P281" s="537"/>
      <c r="Q281" s="537"/>
      <c r="R281" s="537"/>
      <c r="S281" s="537"/>
      <c r="T281" s="537"/>
      <c r="U281" s="537"/>
      <c r="V281" s="537"/>
      <c r="W281" s="537"/>
      <c r="X281" s="537"/>
      <c r="Y281" s="537"/>
      <c r="Z281" s="537"/>
      <c r="AA281" s="537"/>
      <c r="AB281" s="537"/>
      <c r="AC281" s="537"/>
      <c r="AD281" s="537"/>
      <c r="AE281" s="537"/>
      <c r="AF281" s="537"/>
      <c r="AG281" s="537"/>
      <c r="AH281" s="537"/>
    </row>
    <row r="282" spans="3:34" x14ac:dyDescent="0.25">
      <c r="C282" s="546"/>
      <c r="D282" s="364"/>
      <c r="E282" s="364"/>
      <c r="F282" s="364"/>
      <c r="G282" s="364"/>
      <c r="H282" s="356">
        <v>604.4</v>
      </c>
      <c r="I282" s="362" t="str">
        <f>IF(ISBLANK(H282)," ",IF(ISTEXT(H282)," ",IF(H282&lt;=604.4,"МСМК",IF(H282&lt;=622.6,"МС",IF(H282&lt;=640.8,"КМС",IF(H282&lt;=710,"I",IF(H282&lt;=746.4,"II",IF(H282&lt;=826.5,"III","б/р"))))))))</f>
        <v>МСМК</v>
      </c>
      <c r="J282" s="355" t="str">
        <f>IF(ISBLANK(H282)," ",IF(ISTEXT(H282)," ",IF(H282&lt;=604.4,"МСМК",IF(H282&lt;=622.6,"МС",IF(H282&lt;=640.8,"КМС",IF(H282&lt;=710,"I",IF(H282&lt;=746.4,"II",IF(H282&lt;=826.5,"III","б/р"))))))))</f>
        <v>МСМК</v>
      </c>
      <c r="K282" s="626"/>
      <c r="P282" s="537"/>
      <c r="Q282" s="537"/>
      <c r="R282" s="537"/>
      <c r="S282" s="537"/>
      <c r="T282" s="537"/>
      <c r="U282" s="537"/>
      <c r="V282" s="537"/>
      <c r="W282" s="537"/>
      <c r="X282" s="537"/>
      <c r="Y282" s="537"/>
      <c r="Z282" s="537"/>
      <c r="AA282" s="537"/>
      <c r="AB282" s="537"/>
      <c r="AC282" s="537"/>
      <c r="AD282" s="537"/>
      <c r="AE282" s="537"/>
      <c r="AF282" s="537"/>
      <c r="AG282" s="537"/>
      <c r="AH282" s="537"/>
    </row>
    <row r="283" spans="3:34" x14ac:dyDescent="0.25">
      <c r="C283" s="546"/>
      <c r="D283" s="364"/>
      <c r="E283" s="364"/>
      <c r="F283" s="364"/>
      <c r="G283" s="364"/>
      <c r="H283" s="356">
        <v>622.6</v>
      </c>
      <c r="I283" s="362" t="str">
        <f t="shared" ref="I283:I288" si="126">IF(ISBLANK(H283)," ",IF(ISTEXT(H283)," ",IF(H283&lt;=604.4,"МСМК",IF(H283&lt;=622.6,"МС",IF(H283&lt;=640.8,"КМС",IF(H283&lt;=710,"I",IF(H283&lt;=746.4,"II",IF(H283&lt;=826.5,"III","б/р"))))))))</f>
        <v>МС</v>
      </c>
      <c r="J283" s="355" t="str">
        <f t="shared" ref="J283:J288" si="127">IF(ISBLANK(H283)," ",IF(ISTEXT(H283)," ",IF(H283&lt;=604.4,"МСМК",IF(H283&lt;=622.6,"МС",IF(H283&lt;=640.8,"КМС",IF(H283&lt;=710,"I",IF(H283&lt;=746.4,"II",IF(H283&lt;=826.5,"III","б/р"))))))))</f>
        <v>МС</v>
      </c>
      <c r="K283" s="626"/>
      <c r="P283" s="537"/>
      <c r="Q283" s="537"/>
      <c r="R283" s="537"/>
      <c r="S283" s="537"/>
      <c r="T283" s="537"/>
      <c r="U283" s="537"/>
      <c r="V283" s="537"/>
      <c r="W283" s="537"/>
      <c r="X283" s="537"/>
      <c r="Y283" s="537"/>
      <c r="Z283" s="537"/>
      <c r="AA283" s="537"/>
      <c r="AB283" s="537"/>
      <c r="AC283" s="537"/>
      <c r="AD283" s="537"/>
      <c r="AE283" s="537"/>
      <c r="AF283" s="537"/>
      <c r="AG283" s="537"/>
      <c r="AH283" s="537"/>
    </row>
    <row r="284" spans="3:34" x14ac:dyDescent="0.25">
      <c r="C284" s="546"/>
      <c r="D284" s="364"/>
      <c r="E284" s="364"/>
      <c r="F284" s="364"/>
      <c r="G284" s="364"/>
      <c r="H284" s="356">
        <v>640.79999999999995</v>
      </c>
      <c r="I284" s="362" t="str">
        <f t="shared" si="126"/>
        <v>КМС</v>
      </c>
      <c r="J284" s="355" t="str">
        <f t="shared" si="127"/>
        <v>КМС</v>
      </c>
      <c r="K284" s="626"/>
      <c r="P284" s="537"/>
      <c r="Q284" s="537"/>
      <c r="R284" s="537"/>
      <c r="S284" s="537"/>
      <c r="T284" s="537"/>
      <c r="U284" s="537"/>
      <c r="V284" s="537"/>
      <c r="W284" s="537"/>
      <c r="X284" s="537"/>
      <c r="Y284" s="537"/>
      <c r="Z284" s="537"/>
      <c r="AA284" s="537"/>
      <c r="AB284" s="537"/>
      <c r="AC284" s="537"/>
      <c r="AD284" s="537"/>
      <c r="AE284" s="537"/>
      <c r="AF284" s="537"/>
      <c r="AG284" s="537"/>
      <c r="AH284" s="537"/>
    </row>
    <row r="285" spans="3:34" x14ac:dyDescent="0.25">
      <c r="C285" s="546"/>
      <c r="D285" s="364"/>
      <c r="E285" s="364"/>
      <c r="F285" s="364"/>
      <c r="G285" s="364"/>
      <c r="H285" s="356">
        <v>710</v>
      </c>
      <c r="I285" s="362" t="str">
        <f t="shared" si="126"/>
        <v>I</v>
      </c>
      <c r="J285" s="355" t="str">
        <f t="shared" si="127"/>
        <v>I</v>
      </c>
      <c r="K285" s="626"/>
      <c r="P285" s="537"/>
      <c r="Q285" s="537"/>
      <c r="R285" s="537"/>
      <c r="S285" s="537"/>
      <c r="T285" s="537"/>
      <c r="U285" s="537"/>
      <c r="V285" s="537"/>
      <c r="W285" s="537"/>
      <c r="X285" s="537"/>
      <c r="Y285" s="537"/>
      <c r="Z285" s="537"/>
      <c r="AA285" s="537"/>
      <c r="AB285" s="537"/>
      <c r="AC285" s="537"/>
      <c r="AD285" s="537"/>
      <c r="AE285" s="537"/>
      <c r="AF285" s="537"/>
      <c r="AG285" s="537"/>
      <c r="AH285" s="537"/>
    </row>
    <row r="286" spans="3:34" x14ac:dyDescent="0.25">
      <c r="C286" s="546"/>
      <c r="D286" s="364"/>
      <c r="E286" s="364"/>
      <c r="F286" s="364"/>
      <c r="G286" s="364"/>
      <c r="H286" s="356">
        <v>746.4</v>
      </c>
      <c r="I286" s="362" t="str">
        <f t="shared" si="126"/>
        <v>II</v>
      </c>
      <c r="J286" s="355" t="str">
        <f t="shared" si="127"/>
        <v>II</v>
      </c>
      <c r="K286" s="626"/>
      <c r="P286" s="537"/>
      <c r="Q286" s="537"/>
      <c r="R286" s="537"/>
      <c r="S286" s="537"/>
      <c r="T286" s="537"/>
      <c r="U286" s="537"/>
      <c r="V286" s="537"/>
      <c r="W286" s="537"/>
      <c r="X286" s="537"/>
      <c r="Y286" s="537"/>
      <c r="Z286" s="537"/>
      <c r="AA286" s="537"/>
      <c r="AB286" s="537"/>
      <c r="AC286" s="537"/>
      <c r="AD286" s="537"/>
      <c r="AE286" s="537"/>
      <c r="AF286" s="537"/>
      <c r="AG286" s="537"/>
      <c r="AH286" s="537"/>
    </row>
    <row r="287" spans="3:34" x14ac:dyDescent="0.25">
      <c r="C287" s="546"/>
      <c r="D287" s="364"/>
      <c r="E287" s="364"/>
      <c r="F287" s="364"/>
      <c r="G287" s="364"/>
      <c r="H287" s="356">
        <v>826.5</v>
      </c>
      <c r="I287" s="362" t="str">
        <f t="shared" si="126"/>
        <v>III</v>
      </c>
      <c r="J287" s="355" t="str">
        <f t="shared" si="127"/>
        <v>III</v>
      </c>
      <c r="K287" s="626"/>
      <c r="P287" s="537"/>
      <c r="Q287" s="537"/>
      <c r="R287" s="537"/>
      <c r="S287" s="537"/>
      <c r="T287" s="537"/>
      <c r="U287" s="537"/>
      <c r="V287" s="537"/>
      <c r="W287" s="537"/>
      <c r="X287" s="537"/>
      <c r="Y287" s="537"/>
      <c r="Z287" s="537"/>
      <c r="AA287" s="537"/>
      <c r="AB287" s="537"/>
      <c r="AC287" s="537"/>
      <c r="AD287" s="537"/>
      <c r="AE287" s="537"/>
      <c r="AF287" s="537"/>
      <c r="AG287" s="537"/>
      <c r="AH287" s="537"/>
    </row>
    <row r="288" spans="3:34" x14ac:dyDescent="0.25">
      <c r="C288" s="364"/>
      <c r="D288" s="364"/>
      <c r="E288" s="364"/>
      <c r="F288" s="364"/>
      <c r="G288" s="364"/>
      <c r="H288" s="356"/>
      <c r="I288" s="362" t="str">
        <f t="shared" si="126"/>
        <v xml:space="preserve"> </v>
      </c>
      <c r="J288" s="355" t="str">
        <f t="shared" si="127"/>
        <v xml:space="preserve"> </v>
      </c>
      <c r="K288" s="626"/>
      <c r="P288" s="537"/>
      <c r="Q288" s="537"/>
      <c r="R288" s="537"/>
      <c r="S288" s="537"/>
      <c r="T288" s="537"/>
      <c r="U288" s="537"/>
      <c r="V288" s="537"/>
      <c r="W288" s="537"/>
      <c r="X288" s="537"/>
      <c r="Y288" s="537"/>
      <c r="Z288" s="537"/>
      <c r="AA288" s="537"/>
      <c r="AB288" s="537"/>
      <c r="AC288" s="537"/>
      <c r="AD288" s="537"/>
      <c r="AE288" s="537"/>
      <c r="AF288" s="537"/>
      <c r="AG288" s="537"/>
      <c r="AH288" s="537"/>
    </row>
    <row r="289" spans="3:34" ht="18" x14ac:dyDescent="0.25">
      <c r="C289" s="349" t="s">
        <v>94</v>
      </c>
      <c r="D289" s="350"/>
      <c r="E289" s="351"/>
      <c r="F289" s="349"/>
      <c r="G289" s="349"/>
      <c r="H289" s="352"/>
      <c r="I289" s="356"/>
      <c r="J289" s="364"/>
      <c r="K289" s="627"/>
      <c r="N289" s="526"/>
      <c r="O289" s="526"/>
      <c r="P289" s="529"/>
      <c r="Q289" s="528"/>
      <c r="R289" s="528"/>
      <c r="S289" s="528"/>
      <c r="T289" s="528"/>
      <c r="U289" s="528"/>
      <c r="V289" s="528"/>
      <c r="W289" s="528"/>
      <c r="X289" s="528"/>
      <c r="Y289" s="528"/>
      <c r="Z289" s="528"/>
      <c r="AA289" s="528"/>
      <c r="AB289" s="528"/>
      <c r="AC289" s="528"/>
      <c r="AD289" s="537"/>
      <c r="AE289" s="537"/>
      <c r="AF289" s="537"/>
      <c r="AG289" s="537"/>
      <c r="AH289" s="537"/>
    </row>
    <row r="290" spans="3:34" x14ac:dyDescent="0.25">
      <c r="C290" s="546"/>
      <c r="D290" s="355"/>
      <c r="E290" s="406"/>
      <c r="F290" s="546"/>
      <c r="G290" s="546"/>
      <c r="H290" s="356">
        <v>16.7</v>
      </c>
      <c r="I290" s="362" t="str">
        <f t="shared" ref="I290:I295" si="128">IF(ISBLANK(H290)," ",IF(ISTEXT(H290)," ",IF(H290&lt;=16.7,"МСМК",IF(H290&lt;=17.5,"МС",IF(H290&lt;=18.4,"КМС",IF(H290&lt;=19.6,"I",IF(H290&lt;=21.3,"II",IF(H290&lt;=23.1,"III","б/р"))))))))</f>
        <v>МСМК</v>
      </c>
      <c r="J290" s="355" t="str">
        <f t="shared" ref="J290:J295" si="129">IF(ISBLANK(H290)," ",IF(ISTEXT(H290)," ",IF(H290&lt;=16.7,"МСМК",IF(H290&lt;=17.5,"МС",IF(H290&lt;=18.4,"КМС",IF(H290&lt;=19.6,"I",IF(H290&lt;=21.3,"II",IF(H290&lt;=23.1,"III","б/р"))))))))</f>
        <v>МСМК</v>
      </c>
      <c r="K290" s="626"/>
      <c r="L290" s="533">
        <f>H290</f>
        <v>16.7</v>
      </c>
      <c r="M290" s="531" t="str">
        <f t="shared" ref="M290:M295" si="130">IF(ISBLANK(L290)," ",IF(ISTEXT(L290)," ",IF(L290&lt;=16.7,"МСМК",IF(L290&lt;=17.5,"МС",IF(L290&lt;=18.2,"КМС",IF(L290&lt;=19.4,"I",IF(L290&lt;=21.1,"II",IF(L290&lt;=22.9,"III","б/р"))))))))</f>
        <v>МСМК</v>
      </c>
      <c r="N290" s="531" t="str">
        <f t="shared" ref="N290:N295" si="131">IF(ISBLANK(L290)," ",IF(ISTEXT(L290)," ",IF(L290&lt;=16.7,"МСМК",IF(L290&lt;=17.5,"МС",IF(L290&lt;=18.2,"КМС",IF(L290&lt;=19.4,"I",IF(L290&lt;=21.1,"II",IF(L290&lt;=22.9,"III","б/р"))))))))</f>
        <v>МСМК</v>
      </c>
      <c r="O290" s="355"/>
      <c r="P290" s="529"/>
      <c r="Q290" s="528"/>
      <c r="R290" s="527"/>
      <c r="S290" s="527"/>
      <c r="T290" s="527"/>
      <c r="U290" s="527"/>
      <c r="V290" s="527"/>
      <c r="W290" s="527"/>
      <c r="X290" s="527"/>
      <c r="Y290" s="527"/>
      <c r="Z290" s="527"/>
      <c r="AA290" s="527"/>
      <c r="AB290" s="527"/>
      <c r="AC290" s="527"/>
      <c r="AD290" s="537"/>
      <c r="AE290" s="537"/>
      <c r="AF290" s="537"/>
      <c r="AG290" s="537"/>
      <c r="AH290" s="537"/>
    </row>
    <row r="291" spans="3:34" x14ac:dyDescent="0.25">
      <c r="C291" s="546"/>
      <c r="D291" s="355"/>
      <c r="E291" s="406"/>
      <c r="F291" s="546"/>
      <c r="G291" s="546"/>
      <c r="H291" s="356">
        <v>17.5</v>
      </c>
      <c r="I291" s="362" t="str">
        <f t="shared" si="128"/>
        <v>МС</v>
      </c>
      <c r="J291" s="355" t="str">
        <f t="shared" si="129"/>
        <v>МС</v>
      </c>
      <c r="K291" s="626"/>
      <c r="L291" s="533">
        <f>H291</f>
        <v>17.5</v>
      </c>
      <c r="M291" s="531" t="str">
        <f t="shared" si="130"/>
        <v>МС</v>
      </c>
      <c r="N291" s="531" t="str">
        <f t="shared" si="131"/>
        <v>МС</v>
      </c>
      <c r="O291" s="355"/>
      <c r="P291" s="537"/>
      <c r="Q291" s="537"/>
      <c r="R291" s="537"/>
      <c r="S291" s="537"/>
      <c r="T291" s="537"/>
      <c r="U291" s="537"/>
      <c r="V291" s="537"/>
      <c r="W291" s="537"/>
      <c r="X291" s="537"/>
      <c r="Y291" s="537"/>
      <c r="Z291" s="537"/>
      <c r="AA291" s="537"/>
      <c r="AB291" s="537"/>
      <c r="AC291" s="537"/>
      <c r="AD291" s="537"/>
      <c r="AE291" s="537"/>
      <c r="AF291" s="537"/>
      <c r="AG291" s="537"/>
      <c r="AH291" s="537"/>
    </row>
    <row r="292" spans="3:34" x14ac:dyDescent="0.25">
      <c r="C292" s="546"/>
      <c r="D292" s="355"/>
      <c r="E292" s="406"/>
      <c r="F292" s="546"/>
      <c r="G292" s="546"/>
      <c r="H292" s="356">
        <v>18.399999999999999</v>
      </c>
      <c r="I292" s="362" t="str">
        <f t="shared" si="128"/>
        <v>КМС</v>
      </c>
      <c r="J292" s="355" t="str">
        <f t="shared" si="129"/>
        <v>КМС</v>
      </c>
      <c r="K292" s="626"/>
      <c r="L292" s="356">
        <f>H292-0.2</f>
        <v>18.2</v>
      </c>
      <c r="M292" s="362" t="str">
        <f t="shared" si="130"/>
        <v>КМС</v>
      </c>
      <c r="N292" s="362" t="str">
        <f t="shared" si="131"/>
        <v>КМС</v>
      </c>
      <c r="O292" s="355"/>
      <c r="P292" s="537"/>
      <c r="Q292" s="537"/>
      <c r="R292" s="537"/>
      <c r="S292" s="537"/>
      <c r="T292" s="537"/>
      <c r="U292" s="537"/>
      <c r="V292" s="537"/>
      <c r="W292" s="537"/>
      <c r="X292" s="537"/>
      <c r="Y292" s="537"/>
      <c r="Z292" s="537"/>
      <c r="AA292" s="537"/>
      <c r="AB292" s="537"/>
      <c r="AC292" s="537"/>
      <c r="AD292" s="537"/>
      <c r="AE292" s="537"/>
      <c r="AF292" s="537"/>
      <c r="AG292" s="537"/>
      <c r="AH292" s="537"/>
    </row>
    <row r="293" spans="3:34" x14ac:dyDescent="0.25">
      <c r="C293" s="546"/>
      <c r="D293" s="355"/>
      <c r="E293" s="406"/>
      <c r="F293" s="546"/>
      <c r="G293" s="546"/>
      <c r="H293" s="356">
        <v>19.600000000000001</v>
      </c>
      <c r="I293" s="362" t="str">
        <f t="shared" si="128"/>
        <v>I</v>
      </c>
      <c r="J293" s="355" t="str">
        <f t="shared" si="129"/>
        <v>I</v>
      </c>
      <c r="K293" s="626"/>
      <c r="L293" s="356">
        <f>H293-0.2</f>
        <v>19.400000000000002</v>
      </c>
      <c r="M293" s="362" t="str">
        <f t="shared" si="130"/>
        <v>I</v>
      </c>
      <c r="N293" s="362" t="str">
        <f t="shared" si="131"/>
        <v>I</v>
      </c>
      <c r="O293" s="355"/>
      <c r="P293" s="537"/>
      <c r="Q293" s="537"/>
      <c r="R293" s="537"/>
      <c r="S293" s="537"/>
      <c r="T293" s="537"/>
      <c r="U293" s="537"/>
      <c r="V293" s="537"/>
      <c r="W293" s="537"/>
      <c r="X293" s="537"/>
      <c r="Y293" s="537"/>
      <c r="Z293" s="537"/>
      <c r="AA293" s="537"/>
      <c r="AB293" s="537"/>
      <c r="AC293" s="537"/>
      <c r="AD293" s="537"/>
      <c r="AE293" s="537"/>
      <c r="AF293" s="537"/>
      <c r="AG293" s="537"/>
      <c r="AH293" s="537"/>
    </row>
    <row r="294" spans="3:34" x14ac:dyDescent="0.25">
      <c r="C294" s="546"/>
      <c r="D294" s="355"/>
      <c r="E294" s="406"/>
      <c r="F294" s="546"/>
      <c r="G294" s="546"/>
      <c r="H294" s="356">
        <v>21.3</v>
      </c>
      <c r="I294" s="362" t="str">
        <f t="shared" si="128"/>
        <v>II</v>
      </c>
      <c r="J294" s="355" t="str">
        <f t="shared" si="129"/>
        <v>II</v>
      </c>
      <c r="K294" s="626"/>
      <c r="L294" s="356">
        <f>H294-0.2</f>
        <v>21.1</v>
      </c>
      <c r="M294" s="362" t="str">
        <f t="shared" si="130"/>
        <v>II</v>
      </c>
      <c r="N294" s="362" t="str">
        <f t="shared" si="131"/>
        <v>II</v>
      </c>
      <c r="O294" s="355"/>
      <c r="P294" s="537"/>
      <c r="Q294" s="537"/>
      <c r="R294" s="537"/>
      <c r="S294" s="537"/>
      <c r="T294" s="537"/>
      <c r="U294" s="537"/>
      <c r="V294" s="537"/>
      <c r="W294" s="537"/>
      <c r="X294" s="537"/>
      <c r="Y294" s="537"/>
      <c r="Z294" s="537"/>
      <c r="AA294" s="537"/>
      <c r="AB294" s="537"/>
      <c r="AC294" s="537"/>
      <c r="AD294" s="537"/>
      <c r="AE294" s="537"/>
      <c r="AF294" s="537"/>
      <c r="AG294" s="537"/>
      <c r="AH294" s="537"/>
    </row>
    <row r="295" spans="3:34" x14ac:dyDescent="0.25">
      <c r="C295" s="546"/>
      <c r="D295" s="355"/>
      <c r="E295" s="406"/>
      <c r="F295" s="546"/>
      <c r="G295" s="546"/>
      <c r="H295" s="356">
        <v>23.1</v>
      </c>
      <c r="I295" s="362" t="str">
        <f t="shared" si="128"/>
        <v>III</v>
      </c>
      <c r="J295" s="355" t="str">
        <f t="shared" si="129"/>
        <v>III</v>
      </c>
      <c r="K295" s="626"/>
      <c r="L295" s="356">
        <f>H295-0.2</f>
        <v>22.900000000000002</v>
      </c>
      <c r="M295" s="362" t="str">
        <f t="shared" si="130"/>
        <v>III</v>
      </c>
      <c r="N295" s="362" t="str">
        <f t="shared" si="131"/>
        <v>III</v>
      </c>
      <c r="O295" s="355"/>
      <c r="P295" s="537"/>
      <c r="Q295" s="537"/>
      <c r="R295" s="537"/>
      <c r="S295" s="537"/>
      <c r="T295" s="537"/>
      <c r="U295" s="537"/>
      <c r="V295" s="537"/>
      <c r="W295" s="537"/>
      <c r="X295" s="537"/>
      <c r="Y295" s="537"/>
      <c r="Z295" s="537"/>
      <c r="AA295" s="537"/>
      <c r="AB295" s="537"/>
      <c r="AC295" s="537"/>
      <c r="AD295" s="537"/>
      <c r="AE295" s="537"/>
      <c r="AF295" s="537"/>
      <c r="AG295" s="537"/>
      <c r="AH295" s="537"/>
    </row>
    <row r="296" spans="3:34" x14ac:dyDescent="0.25">
      <c r="C296" s="546"/>
      <c r="D296" s="355"/>
      <c r="E296" s="406"/>
      <c r="F296" s="546"/>
      <c r="G296" s="546"/>
      <c r="H296" s="356"/>
      <c r="I296" s="362" t="str">
        <f>IF(ISBLANK(H296)," ",IF(ISTEXT(H296)," ",IF(H296&lt;=16.5,"МСМК",IF(H296&lt;=17.3,"МС",IF(H296&lt;=18.2,"КМС",IF(H296&lt;=19.4,"I",IF(H296&lt;=21.1,"II",IF(H296&lt;=22.9,"III","б/р"))))))))</f>
        <v xml:space="preserve"> </v>
      </c>
      <c r="J296" s="355" t="str">
        <f>IF(ISBLANK(H296)," ",IF(ISTEXT(H296)," ",IF(H296&lt;=16.5,"МСМК",IF(H296&lt;=17.3,"МС",IF(H296&lt;=18.2,"КМС",IF(H296&lt;=19.4,"I",IF(H296&lt;=21.1,"II",IF(H296&lt;=22.9,"III","б/р"))))))))</f>
        <v xml:space="preserve"> </v>
      </c>
      <c r="K296" s="626"/>
      <c r="P296" s="528"/>
      <c r="Q296" s="528"/>
      <c r="R296" s="528"/>
      <c r="S296" s="528"/>
      <c r="T296" s="528"/>
      <c r="U296" s="528"/>
      <c r="V296" s="528"/>
      <c r="W296" s="528"/>
      <c r="X296" s="528"/>
      <c r="Y296" s="528"/>
      <c r="Z296" s="528"/>
      <c r="AA296" s="528"/>
      <c r="AB296" s="537"/>
      <c r="AC296" s="537"/>
      <c r="AD296" s="537"/>
      <c r="AE296" s="537"/>
      <c r="AF296" s="537"/>
      <c r="AG296" s="537"/>
      <c r="AH296" s="537"/>
    </row>
    <row r="297" spans="3:34" x14ac:dyDescent="0.25">
      <c r="C297" s="349" t="s">
        <v>95</v>
      </c>
      <c r="D297" s="355"/>
      <c r="E297" s="406"/>
      <c r="F297" s="546"/>
      <c r="G297" s="546"/>
      <c r="H297" s="356"/>
      <c r="I297" s="356"/>
      <c r="J297" s="364"/>
      <c r="K297" s="627"/>
      <c r="P297" s="527"/>
      <c r="Q297" s="527"/>
      <c r="R297" s="527"/>
      <c r="S297" s="527"/>
      <c r="T297" s="527"/>
      <c r="U297" s="527"/>
      <c r="V297" s="527"/>
      <c r="W297" s="527"/>
      <c r="X297" s="527"/>
      <c r="Y297" s="527"/>
      <c r="Z297" s="527"/>
      <c r="AA297" s="527"/>
      <c r="AB297" s="537"/>
      <c r="AC297" s="537"/>
      <c r="AD297" s="537"/>
      <c r="AE297" s="537"/>
      <c r="AF297" s="537"/>
      <c r="AG297" s="537"/>
      <c r="AH297" s="537"/>
    </row>
    <row r="298" spans="3:34" x14ac:dyDescent="0.25">
      <c r="C298" s="364"/>
      <c r="D298" s="364"/>
      <c r="E298" s="364"/>
      <c r="F298" s="364"/>
      <c r="G298" s="364"/>
      <c r="H298" s="356">
        <v>14.9</v>
      </c>
      <c r="I298" s="362" t="str">
        <f t="shared" ref="I298:I303" si="132">IF(ISBLANK(H298)," ",IF(ISTEXT(H298)," ",IF(H298&lt;=14.9,"МСМК",IF(H298&lt;=15.6,"МС",IF(H298&lt;=16.4,"КМС",IF(H298&lt;=17.5,"I",IF(H298&lt;=19,"II",IF(H298&lt;=20.6,"III","б/р"))))))))</f>
        <v>МСМК</v>
      </c>
      <c r="J298" s="355" t="str">
        <f t="shared" ref="J298:J303" si="133">IF(ISBLANK(H298)," ",IF(ISTEXT(H298)," ",IF(H298&lt;=14.9,"МСМК",IF(H298&lt;=15.6,"МС",IF(H298&lt;=16.4,"КМС",IF(H298&lt;=17.5,"I",IF(H298&lt;=19,"II",IF(H298&lt;=20.6,"III","б/р"))))))))</f>
        <v>МСМК</v>
      </c>
      <c r="K298" s="626"/>
      <c r="L298" s="533">
        <f>H298</f>
        <v>14.9</v>
      </c>
      <c r="M298" s="531" t="str">
        <f t="shared" ref="M298:M303" si="134">IF(ISBLANK(L298)," ",IF(ISTEXT(L298)," ",IF(L298&lt;=14.9,"МСМК",IF(L298&lt;=15.6,"МС",IF(L298&lt;=16.2,"КМС",IF(L298&lt;=17.3,"I",IF(L298&lt;=18.8,"II",IF(L298&lt;=20.4,"III","б/р"))))))))</f>
        <v>МСМК</v>
      </c>
      <c r="N298" s="531" t="str">
        <f t="shared" ref="N298:N303" si="135">IF(ISBLANK(L298)," ",IF(ISTEXT(L298)," ",IF(L298&lt;=14.9,"МСМК",IF(L298&lt;=15.6,"МС",IF(L298&lt;=16.2,"КМС",IF(L298&lt;=17.3,"I",IF(L298&lt;=18.8,"II",IF(L298&lt;=20.4,"III","б/р"))))))))</f>
        <v>МСМК</v>
      </c>
      <c r="O298" s="355"/>
      <c r="P298" s="527"/>
      <c r="Q298" s="527"/>
      <c r="R298" s="527"/>
      <c r="S298" s="527"/>
      <c r="T298" s="527"/>
      <c r="U298" s="527"/>
      <c r="V298" s="527"/>
      <c r="W298" s="527"/>
      <c r="X298" s="527"/>
      <c r="Y298" s="527"/>
      <c r="Z298" s="527"/>
      <c r="AA298" s="527"/>
      <c r="AB298" s="537"/>
      <c r="AC298" s="537"/>
      <c r="AD298" s="537"/>
      <c r="AE298" s="537"/>
      <c r="AF298" s="537"/>
      <c r="AG298" s="537"/>
      <c r="AH298" s="537"/>
    </row>
    <row r="299" spans="3:34" x14ac:dyDescent="0.25">
      <c r="C299" s="364"/>
      <c r="D299" s="364"/>
      <c r="E299" s="364"/>
      <c r="F299" s="364"/>
      <c r="G299" s="364"/>
      <c r="H299" s="356">
        <v>15.6</v>
      </c>
      <c r="I299" s="362" t="str">
        <f t="shared" si="132"/>
        <v>МС</v>
      </c>
      <c r="J299" s="355" t="str">
        <f t="shared" si="133"/>
        <v>МС</v>
      </c>
      <c r="K299" s="626"/>
      <c r="L299" s="533">
        <f>H299</f>
        <v>15.6</v>
      </c>
      <c r="M299" s="531" t="str">
        <f t="shared" si="134"/>
        <v>МС</v>
      </c>
      <c r="N299" s="531" t="str">
        <f t="shared" si="135"/>
        <v>МС</v>
      </c>
      <c r="O299" s="355"/>
      <c r="P299" s="537"/>
      <c r="Q299" s="537"/>
      <c r="R299" s="537"/>
      <c r="S299" s="537"/>
      <c r="T299" s="537"/>
      <c r="U299" s="537"/>
      <c r="V299" s="537"/>
      <c r="W299" s="537"/>
      <c r="X299" s="537"/>
      <c r="Y299" s="537"/>
      <c r="Z299" s="537"/>
      <c r="AA299" s="537"/>
      <c r="AB299" s="537"/>
      <c r="AC299" s="537"/>
      <c r="AD299" s="537"/>
      <c r="AE299" s="537"/>
      <c r="AF299" s="537"/>
      <c r="AG299" s="537"/>
      <c r="AH299" s="537"/>
    </row>
    <row r="300" spans="3:34" x14ac:dyDescent="0.25">
      <c r="C300" s="364"/>
      <c r="D300" s="364"/>
      <c r="E300" s="364"/>
      <c r="F300" s="364"/>
      <c r="G300" s="364"/>
      <c r="H300" s="356">
        <v>16.399999999999999</v>
      </c>
      <c r="I300" s="362" t="str">
        <f t="shared" si="132"/>
        <v>КМС</v>
      </c>
      <c r="J300" s="355" t="str">
        <f t="shared" si="133"/>
        <v>КМС</v>
      </c>
      <c r="K300" s="626"/>
      <c r="L300" s="356">
        <f>H300-0.2</f>
        <v>16.2</v>
      </c>
      <c r="M300" s="362" t="str">
        <f t="shared" si="134"/>
        <v>КМС</v>
      </c>
      <c r="N300" s="362" t="str">
        <f t="shared" si="135"/>
        <v>КМС</v>
      </c>
      <c r="O300" s="355"/>
      <c r="P300" s="537"/>
      <c r="Q300" s="537"/>
      <c r="R300" s="537"/>
      <c r="S300" s="537"/>
      <c r="T300" s="537"/>
      <c r="U300" s="537"/>
      <c r="V300" s="537"/>
      <c r="W300" s="537"/>
      <c r="X300" s="537"/>
      <c r="Y300" s="537"/>
      <c r="Z300" s="537"/>
      <c r="AA300" s="537"/>
      <c r="AB300" s="537"/>
      <c r="AC300" s="537"/>
      <c r="AD300" s="537"/>
      <c r="AE300" s="537"/>
      <c r="AF300" s="537"/>
      <c r="AG300" s="537"/>
      <c r="AH300" s="537"/>
    </row>
    <row r="301" spans="3:34" x14ac:dyDescent="0.25">
      <c r="C301" s="364"/>
      <c r="D301" s="364"/>
      <c r="E301" s="364"/>
      <c r="F301" s="364"/>
      <c r="G301" s="364"/>
      <c r="H301" s="356">
        <v>17.5</v>
      </c>
      <c r="I301" s="362" t="str">
        <f t="shared" si="132"/>
        <v>I</v>
      </c>
      <c r="J301" s="355" t="str">
        <f t="shared" si="133"/>
        <v>I</v>
      </c>
      <c r="K301" s="626"/>
      <c r="L301" s="356">
        <f>H301-0.2</f>
        <v>17.3</v>
      </c>
      <c r="M301" s="362" t="str">
        <f t="shared" si="134"/>
        <v>I</v>
      </c>
      <c r="N301" s="362" t="str">
        <f t="shared" si="135"/>
        <v>I</v>
      </c>
      <c r="O301" s="355"/>
      <c r="P301" s="537"/>
      <c r="Q301" s="537"/>
      <c r="R301" s="537"/>
      <c r="S301" s="537"/>
      <c r="T301" s="537"/>
      <c r="U301" s="537"/>
      <c r="V301" s="537"/>
      <c r="W301" s="537"/>
      <c r="X301" s="537"/>
      <c r="Y301" s="537"/>
      <c r="Z301" s="537"/>
      <c r="AA301" s="537"/>
      <c r="AB301" s="537"/>
      <c r="AC301" s="537"/>
      <c r="AD301" s="537"/>
      <c r="AE301" s="537"/>
      <c r="AF301" s="537"/>
      <c r="AG301" s="537"/>
      <c r="AH301" s="537"/>
    </row>
    <row r="302" spans="3:34" x14ac:dyDescent="0.25">
      <c r="C302" s="364"/>
      <c r="D302" s="364"/>
      <c r="E302" s="364"/>
      <c r="F302" s="364"/>
      <c r="G302" s="364"/>
      <c r="H302" s="356">
        <v>19</v>
      </c>
      <c r="I302" s="362" t="str">
        <f t="shared" si="132"/>
        <v>II</v>
      </c>
      <c r="J302" s="355" t="str">
        <f t="shared" si="133"/>
        <v>II</v>
      </c>
      <c r="K302" s="626"/>
      <c r="L302" s="356">
        <f>H302-0.2</f>
        <v>18.8</v>
      </c>
      <c r="M302" s="362" t="str">
        <f t="shared" si="134"/>
        <v>II</v>
      </c>
      <c r="N302" s="362" t="str">
        <f t="shared" si="135"/>
        <v>II</v>
      </c>
      <c r="O302" s="355"/>
      <c r="P302" s="537"/>
      <c r="Q302" s="537"/>
      <c r="R302" s="537"/>
      <c r="S302" s="537"/>
      <c r="T302" s="537"/>
      <c r="U302" s="537"/>
      <c r="V302" s="537"/>
      <c r="W302" s="537"/>
      <c r="X302" s="537"/>
      <c r="Y302" s="537"/>
      <c r="Z302" s="537"/>
      <c r="AA302" s="537"/>
      <c r="AB302" s="537"/>
      <c r="AC302" s="537"/>
      <c r="AD302" s="537"/>
      <c r="AE302" s="537"/>
      <c r="AF302" s="537"/>
      <c r="AG302" s="537"/>
      <c r="AH302" s="537"/>
    </row>
    <row r="303" spans="3:34" x14ac:dyDescent="0.25">
      <c r="C303" s="364"/>
      <c r="D303" s="364"/>
      <c r="E303" s="364"/>
      <c r="F303" s="364"/>
      <c r="G303" s="364"/>
      <c r="H303" s="356">
        <v>20.6</v>
      </c>
      <c r="I303" s="362" t="str">
        <f t="shared" si="132"/>
        <v>III</v>
      </c>
      <c r="J303" s="355" t="str">
        <f t="shared" si="133"/>
        <v>III</v>
      </c>
      <c r="K303" s="626"/>
      <c r="L303" s="356">
        <f>H303-0.2</f>
        <v>20.400000000000002</v>
      </c>
      <c r="M303" s="362" t="str">
        <f t="shared" si="134"/>
        <v>III</v>
      </c>
      <c r="N303" s="362" t="str">
        <f t="shared" si="135"/>
        <v>III</v>
      </c>
      <c r="O303" s="355"/>
      <c r="P303" s="537"/>
      <c r="Q303" s="537"/>
      <c r="R303" s="537"/>
      <c r="S303" s="537"/>
      <c r="T303" s="537"/>
      <c r="U303" s="537"/>
      <c r="V303" s="537"/>
      <c r="W303" s="537"/>
      <c r="X303" s="537"/>
      <c r="Y303" s="537"/>
      <c r="Z303" s="537"/>
      <c r="AA303" s="537"/>
      <c r="AB303" s="537"/>
      <c r="AC303" s="537"/>
      <c r="AD303" s="537"/>
      <c r="AE303" s="537"/>
      <c r="AF303" s="537"/>
      <c r="AG303" s="537"/>
      <c r="AH303" s="537"/>
    </row>
    <row r="304" spans="3:34" x14ac:dyDescent="0.25">
      <c r="C304" s="364"/>
      <c r="D304" s="364"/>
      <c r="E304" s="364"/>
      <c r="F304" s="364"/>
      <c r="G304" s="364"/>
      <c r="H304" s="356"/>
      <c r="I304" s="362"/>
      <c r="J304" s="355"/>
      <c r="K304" s="626"/>
      <c r="L304" s="356"/>
      <c r="M304" s="362"/>
      <c r="N304" s="362"/>
      <c r="O304" s="355"/>
      <c r="P304" s="537"/>
      <c r="Q304" s="537"/>
      <c r="R304" s="537"/>
      <c r="S304" s="537"/>
      <c r="T304" s="537"/>
      <c r="U304" s="537"/>
      <c r="V304" s="537"/>
      <c r="W304" s="537"/>
      <c r="X304" s="537"/>
      <c r="Y304" s="537"/>
      <c r="Z304" s="537"/>
      <c r="AA304" s="537"/>
      <c r="AB304" s="537"/>
      <c r="AC304" s="537"/>
      <c r="AD304" s="537"/>
      <c r="AE304" s="537"/>
      <c r="AF304" s="537"/>
      <c r="AG304" s="537"/>
      <c r="AH304" s="537"/>
    </row>
    <row r="305" spans="3:34" x14ac:dyDescent="0.25">
      <c r="C305" s="368" t="s">
        <v>296</v>
      </c>
      <c r="K305" s="630"/>
    </row>
    <row r="306" spans="3:34" x14ac:dyDescent="0.25">
      <c r="C306" s="364"/>
      <c r="D306" s="364"/>
      <c r="E306" s="364"/>
      <c r="F306" s="364"/>
      <c r="G306" s="621" t="s">
        <v>652</v>
      </c>
      <c r="H306" s="620"/>
      <c r="I306" s="362"/>
      <c r="J306" s="362"/>
      <c r="K306" s="629"/>
      <c r="L306" s="620">
        <v>155</v>
      </c>
      <c r="M306" s="362" t="str">
        <f t="shared" ref="M306:M311" si="136">IF(ISBLANK(L306)," ",IF(ISTEXT(L306)," ",IF(L306&gt;=155,"МСМК",IF(L306&gt;=128,"МС",IF(L306&gt;=103,"КМС",IF(L306&gt;=88,"I",IF(L306&gt;=71,"II",IF(L306&gt;=53,"III","б/р"))))))))</f>
        <v>МСМК</v>
      </c>
      <c r="N306" s="362" t="str">
        <f t="shared" ref="N306:N311" si="137">IF(ISBLANK(L306)," ",IF(ISTEXT(L306)," ",IF(L306&gt;=155,"МСМК",IF(L306&gt;=128,"МС",IF(L306&gt;=103,"КМС",IF(L306&gt;=88,"I",IF(L306&gt;=71,"II",IF(L306&gt;=53,"III","б/р"))))))))</f>
        <v>МСМК</v>
      </c>
      <c r="O306" s="362"/>
      <c r="P306" s="537"/>
      <c r="Q306" s="537"/>
      <c r="R306" s="537"/>
      <c r="S306" s="537"/>
      <c r="T306" s="537"/>
      <c r="U306" s="537"/>
      <c r="V306" s="537"/>
      <c r="W306" s="537"/>
      <c r="X306" s="537"/>
      <c r="Y306" s="537"/>
      <c r="Z306" s="537"/>
      <c r="AA306" s="537"/>
      <c r="AB306" s="537"/>
      <c r="AC306" s="537"/>
      <c r="AD306" s="537"/>
      <c r="AE306" s="537"/>
      <c r="AF306" s="537"/>
      <c r="AG306" s="537"/>
      <c r="AH306" s="537"/>
    </row>
    <row r="307" spans="3:34" x14ac:dyDescent="0.25">
      <c r="C307" s="364"/>
      <c r="D307" s="364"/>
      <c r="E307" s="364"/>
      <c r="F307" s="364"/>
      <c r="G307" s="621" t="s">
        <v>652</v>
      </c>
      <c r="H307" s="620"/>
      <c r="I307" s="362"/>
      <c r="J307" s="362"/>
      <c r="K307" s="629"/>
      <c r="L307" s="620">
        <v>128</v>
      </c>
      <c r="M307" s="362" t="str">
        <f t="shared" si="136"/>
        <v>МС</v>
      </c>
      <c r="N307" s="362" t="str">
        <f t="shared" si="137"/>
        <v>МС</v>
      </c>
      <c r="O307" s="362"/>
      <c r="P307" s="537"/>
      <c r="Q307" s="537"/>
      <c r="R307" s="537"/>
      <c r="S307" s="537"/>
      <c r="T307" s="537"/>
      <c r="U307" s="537"/>
      <c r="V307" s="537"/>
      <c r="W307" s="537"/>
      <c r="X307" s="537"/>
      <c r="Y307" s="537"/>
      <c r="Z307" s="537"/>
      <c r="AA307" s="537"/>
      <c r="AB307" s="537"/>
      <c r="AC307" s="537"/>
      <c r="AD307" s="537"/>
      <c r="AE307" s="537"/>
      <c r="AF307" s="537"/>
      <c r="AG307" s="537"/>
      <c r="AH307" s="537"/>
    </row>
    <row r="308" spans="3:34" x14ac:dyDescent="0.25">
      <c r="C308" s="364"/>
      <c r="D308" s="364"/>
      <c r="E308" s="364"/>
      <c r="F308" s="364"/>
      <c r="G308" s="621" t="s">
        <v>652</v>
      </c>
      <c r="H308" s="620"/>
      <c r="I308" s="362"/>
      <c r="J308" s="362"/>
      <c r="K308" s="629"/>
      <c r="L308" s="620">
        <v>103</v>
      </c>
      <c r="M308" s="362" t="str">
        <f t="shared" si="136"/>
        <v>КМС</v>
      </c>
      <c r="N308" s="362" t="str">
        <f t="shared" si="137"/>
        <v>КМС</v>
      </c>
      <c r="O308" s="362"/>
      <c r="P308" s="537"/>
      <c r="Q308" s="537"/>
      <c r="R308" s="537"/>
      <c r="S308" s="537"/>
      <c r="T308" s="537"/>
      <c r="U308" s="537"/>
      <c r="V308" s="537"/>
      <c r="W308" s="537"/>
      <c r="X308" s="537"/>
      <c r="Y308" s="537"/>
      <c r="Z308" s="537"/>
      <c r="AA308" s="537"/>
      <c r="AB308" s="537"/>
      <c r="AC308" s="537"/>
      <c r="AD308" s="537"/>
      <c r="AE308" s="537"/>
      <c r="AF308" s="537"/>
      <c r="AG308" s="537"/>
      <c r="AH308" s="537"/>
    </row>
    <row r="309" spans="3:34" x14ac:dyDescent="0.25">
      <c r="C309" s="364"/>
      <c r="D309" s="364"/>
      <c r="E309" s="364"/>
      <c r="F309" s="364"/>
      <c r="G309" s="621" t="s">
        <v>652</v>
      </c>
      <c r="H309" s="620"/>
      <c r="I309" s="362"/>
      <c r="J309" s="362"/>
      <c r="K309" s="629"/>
      <c r="L309" s="620">
        <v>88</v>
      </c>
      <c r="M309" s="362" t="str">
        <f t="shared" si="136"/>
        <v>I</v>
      </c>
      <c r="N309" s="362" t="str">
        <f t="shared" si="137"/>
        <v>I</v>
      </c>
      <c r="O309" s="362"/>
      <c r="P309" s="537"/>
      <c r="Q309" s="537"/>
      <c r="R309" s="537"/>
      <c r="S309" s="537"/>
      <c r="T309" s="537"/>
      <c r="U309" s="537"/>
      <c r="V309" s="537"/>
      <c r="W309" s="537"/>
      <c r="X309" s="537"/>
      <c r="Y309" s="537"/>
      <c r="Z309" s="537"/>
      <c r="AA309" s="537"/>
      <c r="AB309" s="537"/>
      <c r="AC309" s="537"/>
      <c r="AD309" s="537"/>
      <c r="AE309" s="537"/>
      <c r="AF309" s="537"/>
      <c r="AG309" s="537"/>
      <c r="AH309" s="537"/>
    </row>
    <row r="310" spans="3:34" x14ac:dyDescent="0.25">
      <c r="C310" s="364"/>
      <c r="D310" s="364"/>
      <c r="E310" s="364"/>
      <c r="F310" s="364"/>
      <c r="G310" s="621" t="s">
        <v>652</v>
      </c>
      <c r="H310" s="620"/>
      <c r="I310" s="362"/>
      <c r="J310" s="362"/>
      <c r="K310" s="629"/>
      <c r="L310" s="620">
        <v>71</v>
      </c>
      <c r="M310" s="362" t="str">
        <f t="shared" si="136"/>
        <v>II</v>
      </c>
      <c r="N310" s="362" t="str">
        <f t="shared" si="137"/>
        <v>II</v>
      </c>
      <c r="O310" s="362"/>
      <c r="P310" s="537"/>
      <c r="Q310" s="537"/>
      <c r="R310" s="537"/>
      <c r="S310" s="537"/>
      <c r="T310" s="537"/>
      <c r="U310" s="537"/>
      <c r="V310" s="537"/>
      <c r="W310" s="537"/>
      <c r="X310" s="537"/>
      <c r="Y310" s="537"/>
      <c r="Z310" s="537"/>
      <c r="AA310" s="537"/>
      <c r="AB310" s="537"/>
      <c r="AC310" s="537"/>
      <c r="AD310" s="537"/>
      <c r="AE310" s="537"/>
      <c r="AF310" s="537"/>
      <c r="AG310" s="537"/>
      <c r="AH310" s="537"/>
    </row>
    <row r="311" spans="3:34" x14ac:dyDescent="0.25">
      <c r="C311" s="364"/>
      <c r="D311" s="364"/>
      <c r="E311" s="364"/>
      <c r="F311" s="364"/>
      <c r="G311" s="621" t="s">
        <v>652</v>
      </c>
      <c r="H311" s="620"/>
      <c r="I311" s="362"/>
      <c r="J311" s="362"/>
      <c r="K311" s="629"/>
      <c r="L311" s="620">
        <v>53</v>
      </c>
      <c r="M311" s="362" t="str">
        <f t="shared" si="136"/>
        <v>III</v>
      </c>
      <c r="N311" s="362" t="str">
        <f t="shared" si="137"/>
        <v>III</v>
      </c>
      <c r="O311" s="362"/>
      <c r="P311" s="537"/>
      <c r="Q311" s="537"/>
      <c r="R311" s="537"/>
      <c r="S311" s="537"/>
      <c r="T311" s="537"/>
      <c r="U311" s="537"/>
      <c r="V311" s="537"/>
      <c r="W311" s="537"/>
      <c r="X311" s="537"/>
      <c r="Y311" s="537"/>
      <c r="Z311" s="537"/>
      <c r="AA311" s="537"/>
      <c r="AB311" s="537"/>
      <c r="AC311" s="537"/>
      <c r="AD311" s="537"/>
      <c r="AE311" s="537"/>
      <c r="AF311" s="537"/>
      <c r="AG311" s="537"/>
      <c r="AH311" s="537"/>
    </row>
    <row r="312" spans="3:34" x14ac:dyDescent="0.25">
      <c r="C312" s="368"/>
      <c r="K312" s="630"/>
    </row>
    <row r="313" spans="3:34" x14ac:dyDescent="0.25">
      <c r="C313" s="368" t="s">
        <v>327</v>
      </c>
      <c r="K313" s="630"/>
    </row>
    <row r="314" spans="3:34" x14ac:dyDescent="0.25">
      <c r="C314" s="364"/>
      <c r="D314" s="364"/>
      <c r="E314" s="364"/>
      <c r="F314" s="364"/>
      <c r="G314" s="621" t="s">
        <v>652</v>
      </c>
      <c r="H314" s="620"/>
      <c r="I314" s="362"/>
      <c r="J314" s="362"/>
      <c r="K314" s="629"/>
      <c r="L314" s="620">
        <v>185</v>
      </c>
      <c r="M314" s="362" t="str">
        <f t="shared" ref="M314:M319" si="138">IF(ISBLANK(L314)," ",IF(ISTEXT(L314)," ",IF(L314&gt;=165,"МСМК",IF(L314&gt;=155,"МС",IF(L314&gt;=130,"КМС",IF(L314&gt;=115,"I",IF(L314&gt;=96,"II",IF(L314&gt;=76,"III","б/р"))))))))</f>
        <v>МСМК</v>
      </c>
      <c r="N314" s="362" t="str">
        <f t="shared" ref="N314:N319" si="139">IF(ISBLANK(L314)," ",IF(ISTEXT(L314)," ",IF(L314&gt;=165,"МСМК",IF(L314&gt;=155,"МС",IF(L314&gt;=130,"КМС",IF(L314&gt;=115,"I",IF(L314&gt;=96,"II",IF(L314&gt;=76,"III","б/р"))))))))</f>
        <v>МСМК</v>
      </c>
      <c r="O314" s="362"/>
      <c r="P314" s="537"/>
      <c r="Q314" s="537"/>
      <c r="R314" s="537"/>
      <c r="S314" s="537"/>
      <c r="T314" s="537"/>
      <c r="U314" s="537"/>
      <c r="V314" s="537"/>
      <c r="W314" s="537"/>
      <c r="X314" s="537"/>
      <c r="Y314" s="537"/>
      <c r="Z314" s="537"/>
      <c r="AA314" s="537"/>
      <c r="AB314" s="537"/>
      <c r="AC314" s="537"/>
      <c r="AD314" s="537"/>
      <c r="AE314" s="537"/>
      <c r="AF314" s="537"/>
      <c r="AG314" s="537"/>
      <c r="AH314" s="537"/>
    </row>
    <row r="315" spans="3:34" x14ac:dyDescent="0.25">
      <c r="C315" s="364"/>
      <c r="D315" s="364"/>
      <c r="E315" s="364"/>
      <c r="F315" s="364"/>
      <c r="G315" s="621" t="s">
        <v>652</v>
      </c>
      <c r="H315" s="620"/>
      <c r="I315" s="362"/>
      <c r="J315" s="362"/>
      <c r="K315" s="629"/>
      <c r="L315" s="620">
        <v>155</v>
      </c>
      <c r="M315" s="362" t="str">
        <f t="shared" si="138"/>
        <v>МС</v>
      </c>
      <c r="N315" s="362" t="str">
        <f t="shared" si="139"/>
        <v>МС</v>
      </c>
      <c r="O315" s="362"/>
      <c r="P315" s="537"/>
      <c r="Q315" s="537"/>
      <c r="R315" s="537"/>
      <c r="S315" s="537"/>
      <c r="T315" s="537"/>
      <c r="U315" s="537"/>
      <c r="V315" s="537"/>
      <c r="W315" s="537"/>
      <c r="X315" s="537"/>
      <c r="Y315" s="537"/>
      <c r="Z315" s="537"/>
      <c r="AA315" s="537"/>
      <c r="AB315" s="537"/>
      <c r="AC315" s="537"/>
      <c r="AD315" s="537"/>
      <c r="AE315" s="537"/>
      <c r="AF315" s="537"/>
      <c r="AG315" s="537"/>
      <c r="AH315" s="537"/>
    </row>
    <row r="316" spans="3:34" x14ac:dyDescent="0.25">
      <c r="C316" s="364"/>
      <c r="D316" s="364"/>
      <c r="E316" s="364"/>
      <c r="F316" s="364"/>
      <c r="G316" s="621" t="s">
        <v>652</v>
      </c>
      <c r="H316" s="620"/>
      <c r="I316" s="362"/>
      <c r="J316" s="362"/>
      <c r="K316" s="629"/>
      <c r="L316" s="620">
        <v>130</v>
      </c>
      <c r="M316" s="362" t="str">
        <f t="shared" si="138"/>
        <v>КМС</v>
      </c>
      <c r="N316" s="362" t="str">
        <f t="shared" si="139"/>
        <v>КМС</v>
      </c>
      <c r="O316" s="362"/>
      <c r="P316" s="537"/>
      <c r="Q316" s="537"/>
      <c r="R316" s="537"/>
      <c r="S316" s="537"/>
      <c r="T316" s="537"/>
      <c r="U316" s="537"/>
      <c r="V316" s="537"/>
      <c r="W316" s="537"/>
      <c r="X316" s="537"/>
      <c r="Y316" s="537"/>
      <c r="Z316" s="537"/>
      <c r="AA316" s="537"/>
      <c r="AB316" s="537"/>
      <c r="AC316" s="537"/>
      <c r="AD316" s="537"/>
      <c r="AE316" s="537"/>
      <c r="AF316" s="537"/>
      <c r="AG316" s="537"/>
      <c r="AH316" s="537"/>
    </row>
    <row r="317" spans="3:34" x14ac:dyDescent="0.25">
      <c r="C317" s="364"/>
      <c r="D317" s="364"/>
      <c r="E317" s="364"/>
      <c r="F317" s="364"/>
      <c r="G317" s="621" t="s">
        <v>652</v>
      </c>
      <c r="H317" s="620"/>
      <c r="I317" s="362"/>
      <c r="J317" s="362"/>
      <c r="K317" s="629"/>
      <c r="L317" s="620">
        <v>115</v>
      </c>
      <c r="M317" s="362" t="str">
        <f t="shared" si="138"/>
        <v>I</v>
      </c>
      <c r="N317" s="362" t="str">
        <f t="shared" si="139"/>
        <v>I</v>
      </c>
      <c r="O317" s="362"/>
      <c r="P317" s="537"/>
      <c r="Q317" s="537"/>
      <c r="R317" s="537"/>
      <c r="S317" s="537"/>
      <c r="T317" s="537"/>
      <c r="U317" s="537"/>
      <c r="V317" s="537"/>
      <c r="W317" s="537"/>
      <c r="X317" s="537"/>
      <c r="Y317" s="537"/>
      <c r="Z317" s="537"/>
      <c r="AA317" s="537"/>
      <c r="AB317" s="537"/>
      <c r="AC317" s="537"/>
      <c r="AD317" s="537"/>
      <c r="AE317" s="537"/>
      <c r="AF317" s="537"/>
      <c r="AG317" s="537"/>
      <c r="AH317" s="537"/>
    </row>
    <row r="318" spans="3:34" x14ac:dyDescent="0.25">
      <c r="C318" s="364"/>
      <c r="D318" s="364"/>
      <c r="E318" s="364"/>
      <c r="F318" s="364"/>
      <c r="G318" s="621" t="s">
        <v>652</v>
      </c>
      <c r="H318" s="620"/>
      <c r="I318" s="362"/>
      <c r="J318" s="362"/>
      <c r="K318" s="629"/>
      <c r="L318" s="620">
        <v>96</v>
      </c>
      <c r="M318" s="362" t="str">
        <f t="shared" si="138"/>
        <v>II</v>
      </c>
      <c r="N318" s="362" t="str">
        <f t="shared" si="139"/>
        <v>II</v>
      </c>
      <c r="O318" s="362"/>
      <c r="P318" s="537"/>
      <c r="Q318" s="537"/>
      <c r="R318" s="537"/>
      <c r="S318" s="537"/>
      <c r="T318" s="537"/>
      <c r="U318" s="537"/>
      <c r="V318" s="537"/>
      <c r="W318" s="537"/>
      <c r="X318" s="537"/>
      <c r="Y318" s="537"/>
      <c r="Z318" s="537"/>
      <c r="AA318" s="537"/>
      <c r="AB318" s="537"/>
      <c r="AC318" s="537"/>
      <c r="AD318" s="537"/>
      <c r="AE318" s="537"/>
      <c r="AF318" s="537"/>
      <c r="AG318" s="537"/>
      <c r="AH318" s="537"/>
    </row>
    <row r="319" spans="3:34" x14ac:dyDescent="0.25">
      <c r="C319" s="364"/>
      <c r="D319" s="364"/>
      <c r="E319" s="364"/>
      <c r="F319" s="364"/>
      <c r="G319" s="621" t="s">
        <v>652</v>
      </c>
      <c r="H319" s="620"/>
      <c r="I319" s="362"/>
      <c r="J319" s="362"/>
      <c r="K319" s="629"/>
      <c r="L319" s="620">
        <v>76</v>
      </c>
      <c r="M319" s="362" t="str">
        <f t="shared" si="138"/>
        <v>III</v>
      </c>
      <c r="N319" s="362" t="str">
        <f t="shared" si="139"/>
        <v>III</v>
      </c>
      <c r="O319" s="362"/>
      <c r="P319" s="537"/>
      <c r="Q319" s="537"/>
      <c r="R319" s="537"/>
      <c r="S319" s="537"/>
      <c r="T319" s="537"/>
      <c r="U319" s="537"/>
      <c r="V319" s="537"/>
      <c r="W319" s="537"/>
      <c r="X319" s="537"/>
      <c r="Y319" s="537"/>
      <c r="Z319" s="537"/>
      <c r="AA319" s="537"/>
      <c r="AB319" s="537"/>
      <c r="AC319" s="537"/>
      <c r="AD319" s="537"/>
      <c r="AE319" s="537"/>
      <c r="AF319" s="537"/>
      <c r="AG319" s="537"/>
      <c r="AH319" s="537"/>
    </row>
    <row r="320" spans="3:34" ht="15" customHeight="1" x14ac:dyDescent="0.25">
      <c r="C320" s="364"/>
      <c r="D320" s="364"/>
      <c r="E320" s="364"/>
      <c r="F320" s="364"/>
      <c r="G320" s="364"/>
      <c r="H320" s="363"/>
      <c r="I320" s="363"/>
      <c r="J320" s="364"/>
      <c r="K320" s="627"/>
    </row>
    <row r="321" spans="3:34" x14ac:dyDescent="0.25">
      <c r="C321" s="368" t="s">
        <v>297</v>
      </c>
      <c r="K321" s="630"/>
    </row>
    <row r="322" spans="3:34" x14ac:dyDescent="0.25">
      <c r="C322" s="364"/>
      <c r="D322" s="364"/>
      <c r="E322" s="364"/>
      <c r="F322" s="364"/>
      <c r="G322" s="621" t="s">
        <v>652</v>
      </c>
      <c r="H322" s="620"/>
      <c r="I322" s="362"/>
      <c r="J322" s="362"/>
      <c r="K322" s="629"/>
      <c r="L322" s="620">
        <v>219</v>
      </c>
      <c r="M322" s="362" t="str">
        <f t="shared" ref="M322:M327" si="140">IF(ISBLANK(L322)," ",IF(ISTEXT(L322)," ",IF(L322&gt;=219,"МСМК",IF(L322&gt;=178,"МС",IF(L322&gt;=148,"КМС",IF(L322&gt;=115,"I",IF(L322&gt;=82,"II",IF(L322&gt;=64,"III","б/р"))))))))</f>
        <v>МСМК</v>
      </c>
      <c r="N322" s="362" t="str">
        <f t="shared" ref="N322:N327" si="141">IF(ISBLANK(L322)," ",IF(ISTEXT(L322)," ",IF(L322&gt;=219,"МСМК",IF(L322&gt;=178,"МС",IF(L322&gt;=148,"КМС",IF(L322&gt;=115,"I",IF(L322&gt;=82,"II",IF(L322&gt;=64,"III","б/р"))))))))</f>
        <v>МСМК</v>
      </c>
      <c r="O322" s="362"/>
      <c r="P322" s="537"/>
      <c r="Q322" s="537"/>
      <c r="R322" s="537"/>
      <c r="S322" s="537"/>
      <c r="T322" s="537"/>
      <c r="U322" s="537"/>
      <c r="V322" s="537"/>
      <c r="W322" s="537"/>
      <c r="X322" s="537"/>
      <c r="Y322" s="537"/>
      <c r="Z322" s="537"/>
      <c r="AA322" s="537"/>
      <c r="AB322" s="537"/>
      <c r="AC322" s="537"/>
      <c r="AD322" s="537"/>
      <c r="AE322" s="537"/>
      <c r="AF322" s="537"/>
      <c r="AG322" s="537"/>
      <c r="AH322" s="537"/>
    </row>
    <row r="323" spans="3:34" x14ac:dyDescent="0.25">
      <c r="C323" s="364"/>
      <c r="D323" s="364"/>
      <c r="E323" s="364"/>
      <c r="F323" s="364"/>
      <c r="G323" s="621" t="s">
        <v>652</v>
      </c>
      <c r="H323" s="620"/>
      <c r="I323" s="362"/>
      <c r="J323" s="362"/>
      <c r="K323" s="629"/>
      <c r="L323" s="620">
        <v>178</v>
      </c>
      <c r="M323" s="362" t="str">
        <f t="shared" si="140"/>
        <v>МС</v>
      </c>
      <c r="N323" s="362" t="str">
        <f t="shared" si="141"/>
        <v>МС</v>
      </c>
      <c r="O323" s="362"/>
      <c r="P323" s="537"/>
      <c r="Q323" s="537"/>
      <c r="R323" s="537"/>
      <c r="S323" s="537"/>
      <c r="T323" s="537"/>
      <c r="U323" s="537"/>
      <c r="V323" s="537"/>
      <c r="W323" s="537"/>
      <c r="X323" s="537"/>
      <c r="Y323" s="537"/>
      <c r="Z323" s="537"/>
      <c r="AA323" s="537"/>
      <c r="AB323" s="537"/>
      <c r="AC323" s="537"/>
      <c r="AD323" s="537"/>
      <c r="AE323" s="537"/>
      <c r="AF323" s="537"/>
      <c r="AG323" s="537"/>
      <c r="AH323" s="537"/>
    </row>
    <row r="324" spans="3:34" x14ac:dyDescent="0.25">
      <c r="C324" s="364"/>
      <c r="D324" s="364"/>
      <c r="E324" s="364"/>
      <c r="F324" s="364"/>
      <c r="G324" s="621" t="s">
        <v>652</v>
      </c>
      <c r="H324" s="620"/>
      <c r="I324" s="362"/>
      <c r="J324" s="362"/>
      <c r="K324" s="629"/>
      <c r="L324" s="620">
        <v>148</v>
      </c>
      <c r="M324" s="362" t="str">
        <f t="shared" si="140"/>
        <v>КМС</v>
      </c>
      <c r="N324" s="362" t="str">
        <f t="shared" si="141"/>
        <v>КМС</v>
      </c>
      <c r="O324" s="362"/>
      <c r="P324" s="537"/>
      <c r="Q324" s="537"/>
      <c r="R324" s="537"/>
      <c r="S324" s="537"/>
      <c r="T324" s="537"/>
      <c r="U324" s="537"/>
      <c r="V324" s="537"/>
      <c r="W324" s="537"/>
      <c r="X324" s="537"/>
      <c r="Y324" s="537"/>
      <c r="Z324" s="537"/>
      <c r="AA324" s="537"/>
      <c r="AB324" s="537"/>
      <c r="AC324" s="537"/>
      <c r="AD324" s="537"/>
      <c r="AE324" s="537"/>
      <c r="AF324" s="537"/>
      <c r="AG324" s="537"/>
      <c r="AH324" s="537"/>
    </row>
    <row r="325" spans="3:34" x14ac:dyDescent="0.25">
      <c r="C325" s="364"/>
      <c r="D325" s="364"/>
      <c r="E325" s="364"/>
      <c r="F325" s="364"/>
      <c r="G325" s="621" t="s">
        <v>652</v>
      </c>
      <c r="H325" s="620"/>
      <c r="I325" s="362"/>
      <c r="J325" s="362"/>
      <c r="K325" s="629"/>
      <c r="L325" s="620">
        <v>115</v>
      </c>
      <c r="M325" s="362" t="str">
        <f t="shared" si="140"/>
        <v>I</v>
      </c>
      <c r="N325" s="362" t="str">
        <f t="shared" si="141"/>
        <v>I</v>
      </c>
      <c r="O325" s="362"/>
      <c r="P325" s="537"/>
      <c r="Q325" s="537"/>
      <c r="R325" s="537"/>
      <c r="S325" s="537"/>
      <c r="T325" s="537"/>
      <c r="U325" s="537"/>
      <c r="V325" s="537"/>
      <c r="W325" s="537"/>
      <c r="X325" s="537"/>
      <c r="Y325" s="537"/>
      <c r="Z325" s="537"/>
      <c r="AA325" s="537"/>
      <c r="AB325" s="537"/>
      <c r="AC325" s="537"/>
      <c r="AD325" s="537"/>
      <c r="AE325" s="537"/>
      <c r="AF325" s="537"/>
      <c r="AG325" s="537"/>
      <c r="AH325" s="537"/>
    </row>
    <row r="326" spans="3:34" x14ac:dyDescent="0.25">
      <c r="C326" s="364"/>
      <c r="D326" s="364"/>
      <c r="E326" s="364"/>
      <c r="F326" s="364"/>
      <c r="G326" s="621" t="s">
        <v>652</v>
      </c>
      <c r="H326" s="620"/>
      <c r="I326" s="362"/>
      <c r="J326" s="362"/>
      <c r="K326" s="629"/>
      <c r="L326" s="620">
        <v>82</v>
      </c>
      <c r="M326" s="362" t="str">
        <f t="shared" si="140"/>
        <v>II</v>
      </c>
      <c r="N326" s="362" t="str">
        <f t="shared" si="141"/>
        <v>II</v>
      </c>
      <c r="O326" s="362"/>
      <c r="P326" s="537"/>
      <c r="Q326" s="537"/>
      <c r="R326" s="537"/>
      <c r="S326" s="537"/>
      <c r="T326" s="537"/>
      <c r="U326" s="537"/>
      <c r="V326" s="537"/>
      <c r="W326" s="537"/>
      <c r="X326" s="537"/>
      <c r="Y326" s="537"/>
      <c r="Z326" s="537"/>
      <c r="AA326" s="537"/>
      <c r="AB326" s="537"/>
      <c r="AC326" s="537"/>
      <c r="AD326" s="537"/>
      <c r="AE326" s="537"/>
      <c r="AF326" s="537"/>
      <c r="AG326" s="537"/>
      <c r="AH326" s="537"/>
    </row>
    <row r="327" spans="3:34" x14ac:dyDescent="0.25">
      <c r="C327" s="364"/>
      <c r="D327" s="364"/>
      <c r="E327" s="364"/>
      <c r="F327" s="364"/>
      <c r="G327" s="621" t="s">
        <v>652</v>
      </c>
      <c r="H327" s="620"/>
      <c r="I327" s="362"/>
      <c r="J327" s="362"/>
      <c r="K327" s="629"/>
      <c r="L327" s="620">
        <v>64</v>
      </c>
      <c r="M327" s="362" t="str">
        <f t="shared" si="140"/>
        <v>III</v>
      </c>
      <c r="N327" s="362" t="str">
        <f t="shared" si="141"/>
        <v>III</v>
      </c>
      <c r="O327" s="362"/>
      <c r="P327" s="537"/>
      <c r="Q327" s="537"/>
      <c r="R327" s="537"/>
      <c r="S327" s="537"/>
      <c r="T327" s="537"/>
      <c r="U327" s="537"/>
      <c r="V327" s="537"/>
      <c r="W327" s="537"/>
      <c r="X327" s="537"/>
      <c r="Y327" s="537"/>
      <c r="Z327" s="537"/>
      <c r="AA327" s="537"/>
      <c r="AB327" s="537"/>
      <c r="AC327" s="537"/>
      <c r="AD327" s="537"/>
      <c r="AE327" s="537"/>
      <c r="AF327" s="537"/>
      <c r="AG327" s="537"/>
      <c r="AH327" s="537"/>
    </row>
    <row r="328" spans="3:34" x14ac:dyDescent="0.25">
      <c r="C328" s="368"/>
      <c r="K328" s="630"/>
      <c r="L328" s="535"/>
    </row>
    <row r="329" spans="3:34" x14ac:dyDescent="0.25">
      <c r="C329" s="368" t="s">
        <v>328</v>
      </c>
      <c r="K329" s="630"/>
      <c r="L329" s="535"/>
    </row>
    <row r="330" spans="3:34" x14ac:dyDescent="0.25">
      <c r="C330" s="364"/>
      <c r="D330" s="364"/>
      <c r="E330" s="364"/>
      <c r="F330" s="364"/>
      <c r="G330" s="621" t="s">
        <v>652</v>
      </c>
      <c r="H330" s="620"/>
      <c r="I330" s="362"/>
      <c r="J330" s="362"/>
      <c r="K330" s="629"/>
      <c r="L330" s="620">
        <v>248</v>
      </c>
      <c r="M330" s="362" t="str">
        <f t="shared" ref="M330:M335" si="142">IF(ISBLANK(L330)," ",IF(ISTEXT(L330)," ",IF(L330&gt;=248,"МСМК",IF(L330&gt;=208,"МС",IF(L330&gt;=180,"КМС",IF(L330&gt;=148,"I",IF(L330&gt;=104,"II",IF(L330&gt;=85,"III","б/р"))))))))</f>
        <v>МСМК</v>
      </c>
      <c r="N330" s="362" t="str">
        <f t="shared" ref="N330:N335" si="143">IF(ISBLANK(L330)," ",IF(ISTEXT(L330)," ",IF(L330&gt;=248,"МСМК",IF(L330&gt;=208,"МС",IF(L330&gt;=180,"КМС",IF(L330&gt;=148,"I",IF(L330&gt;=104,"II",IF(L330&gt;=85,"III","б/р"))))))))</f>
        <v>МСМК</v>
      </c>
      <c r="O330" s="362"/>
      <c r="P330" s="537"/>
      <c r="Q330" s="537"/>
      <c r="R330" s="537"/>
      <c r="S330" s="537"/>
      <c r="T330" s="537"/>
      <c r="U330" s="537"/>
      <c r="V330" s="537"/>
      <c r="W330" s="537"/>
      <c r="X330" s="537"/>
      <c r="Y330" s="537"/>
      <c r="Z330" s="537"/>
      <c r="AA330" s="537"/>
      <c r="AB330" s="537"/>
      <c r="AC330" s="537"/>
      <c r="AD330" s="537"/>
      <c r="AE330" s="537"/>
      <c r="AF330" s="537"/>
      <c r="AG330" s="537"/>
      <c r="AH330" s="537"/>
    </row>
    <row r="331" spans="3:34" x14ac:dyDescent="0.25">
      <c r="C331" s="364"/>
      <c r="D331" s="364"/>
      <c r="E331" s="364"/>
      <c r="F331" s="364"/>
      <c r="G331" s="621" t="s">
        <v>652</v>
      </c>
      <c r="H331" s="620"/>
      <c r="I331" s="362"/>
      <c r="J331" s="362"/>
      <c r="K331" s="629"/>
      <c r="L331" s="620">
        <v>208</v>
      </c>
      <c r="M331" s="362" t="str">
        <f t="shared" si="142"/>
        <v>МС</v>
      </c>
      <c r="N331" s="362" t="str">
        <f t="shared" si="143"/>
        <v>МС</v>
      </c>
      <c r="O331" s="362"/>
      <c r="P331" s="537"/>
      <c r="Q331" s="537"/>
      <c r="R331" s="537"/>
      <c r="S331" s="537"/>
      <c r="T331" s="537"/>
      <c r="U331" s="537"/>
      <c r="V331" s="537"/>
      <c r="W331" s="537"/>
      <c r="X331" s="537"/>
      <c r="Y331" s="537"/>
      <c r="Z331" s="537"/>
      <c r="AA331" s="537"/>
      <c r="AB331" s="537"/>
      <c r="AC331" s="537"/>
      <c r="AD331" s="537"/>
      <c r="AE331" s="537"/>
      <c r="AF331" s="537"/>
      <c r="AG331" s="537"/>
      <c r="AH331" s="537"/>
    </row>
    <row r="332" spans="3:34" x14ac:dyDescent="0.25">
      <c r="C332" s="364"/>
      <c r="D332" s="364"/>
      <c r="E332" s="364"/>
      <c r="F332" s="364"/>
      <c r="G332" s="621" t="s">
        <v>652</v>
      </c>
      <c r="H332" s="620"/>
      <c r="I332" s="362"/>
      <c r="J332" s="362"/>
      <c r="K332" s="629"/>
      <c r="L332" s="620">
        <v>180</v>
      </c>
      <c r="M332" s="362" t="str">
        <f t="shared" si="142"/>
        <v>КМС</v>
      </c>
      <c r="N332" s="362" t="str">
        <f t="shared" si="143"/>
        <v>КМС</v>
      </c>
      <c r="O332" s="362"/>
      <c r="P332" s="537"/>
      <c r="Q332" s="537"/>
      <c r="R332" s="537"/>
      <c r="S332" s="537"/>
      <c r="T332" s="537"/>
      <c r="U332" s="537"/>
      <c r="V332" s="537"/>
      <c r="W332" s="537"/>
      <c r="X332" s="537"/>
      <c r="Y332" s="537"/>
      <c r="Z332" s="537"/>
      <c r="AA332" s="537"/>
      <c r="AB332" s="537"/>
      <c r="AC332" s="537"/>
      <c r="AD332" s="537"/>
      <c r="AE332" s="537"/>
      <c r="AF332" s="537"/>
      <c r="AG332" s="537"/>
      <c r="AH332" s="537"/>
    </row>
    <row r="333" spans="3:34" x14ac:dyDescent="0.25">
      <c r="C333" s="364"/>
      <c r="D333" s="364"/>
      <c r="E333" s="364"/>
      <c r="F333" s="364"/>
      <c r="G333" s="621" t="s">
        <v>652</v>
      </c>
      <c r="H333" s="620"/>
      <c r="I333" s="362"/>
      <c r="J333" s="362"/>
      <c r="K333" s="629"/>
      <c r="L333" s="620">
        <v>148</v>
      </c>
      <c r="M333" s="362" t="str">
        <f t="shared" si="142"/>
        <v>I</v>
      </c>
      <c r="N333" s="362" t="str">
        <f t="shared" si="143"/>
        <v>I</v>
      </c>
      <c r="O333" s="362"/>
      <c r="P333" s="537"/>
      <c r="Q333" s="537"/>
      <c r="R333" s="537"/>
      <c r="S333" s="537"/>
      <c r="T333" s="537"/>
      <c r="U333" s="537"/>
      <c r="V333" s="537"/>
      <c r="W333" s="537"/>
      <c r="X333" s="537"/>
      <c r="Y333" s="537"/>
      <c r="Z333" s="537"/>
      <c r="AA333" s="537"/>
      <c r="AB333" s="537"/>
      <c r="AC333" s="537"/>
      <c r="AD333" s="537"/>
      <c r="AE333" s="537"/>
      <c r="AF333" s="537"/>
      <c r="AG333" s="537"/>
      <c r="AH333" s="537"/>
    </row>
    <row r="334" spans="3:34" x14ac:dyDescent="0.25">
      <c r="C334" s="364"/>
      <c r="D334" s="364"/>
      <c r="E334" s="364"/>
      <c r="F334" s="364"/>
      <c r="G334" s="621" t="s">
        <v>652</v>
      </c>
      <c r="H334" s="620"/>
      <c r="I334" s="362"/>
      <c r="J334" s="362"/>
      <c r="K334" s="629"/>
      <c r="L334" s="620">
        <v>104</v>
      </c>
      <c r="M334" s="362" t="str">
        <f t="shared" si="142"/>
        <v>II</v>
      </c>
      <c r="N334" s="362" t="str">
        <f t="shared" si="143"/>
        <v>II</v>
      </c>
      <c r="O334" s="362"/>
      <c r="P334" s="537"/>
      <c r="Q334" s="537"/>
      <c r="R334" s="537"/>
      <c r="S334" s="537"/>
      <c r="T334" s="537"/>
      <c r="U334" s="537"/>
      <c r="V334" s="537"/>
      <c r="W334" s="537"/>
      <c r="X334" s="537"/>
      <c r="Y334" s="537"/>
      <c r="Z334" s="537"/>
      <c r="AA334" s="537"/>
      <c r="AB334" s="537"/>
      <c r="AC334" s="537"/>
      <c r="AD334" s="537"/>
      <c r="AE334" s="537"/>
      <c r="AF334" s="537"/>
      <c r="AG334" s="537"/>
      <c r="AH334" s="537"/>
    </row>
    <row r="335" spans="3:34" x14ac:dyDescent="0.25">
      <c r="C335" s="364"/>
      <c r="D335" s="364"/>
      <c r="E335" s="364"/>
      <c r="F335" s="364"/>
      <c r="G335" s="621" t="s">
        <v>652</v>
      </c>
      <c r="H335" s="620"/>
      <c r="I335" s="362"/>
      <c r="J335" s="362"/>
      <c r="K335" s="629"/>
      <c r="L335" s="620">
        <v>85</v>
      </c>
      <c r="M335" s="362" t="str">
        <f t="shared" si="142"/>
        <v>III</v>
      </c>
      <c r="N335" s="362" t="str">
        <f t="shared" si="143"/>
        <v>III</v>
      </c>
      <c r="O335" s="362"/>
      <c r="P335" s="537"/>
      <c r="Q335" s="537"/>
      <c r="R335" s="537"/>
      <c r="S335" s="537"/>
      <c r="T335" s="537"/>
      <c r="U335" s="537"/>
      <c r="V335" s="537"/>
      <c r="W335" s="537"/>
      <c r="X335" s="537"/>
      <c r="Y335" s="537"/>
      <c r="Z335" s="537"/>
      <c r="AA335" s="537"/>
      <c r="AB335" s="537"/>
      <c r="AC335" s="537"/>
      <c r="AD335" s="537"/>
      <c r="AE335" s="537"/>
      <c r="AF335" s="537"/>
      <c r="AG335" s="537"/>
      <c r="AH335" s="537"/>
    </row>
    <row r="336" spans="3:34" x14ac:dyDescent="0.25">
      <c r="C336" s="368"/>
      <c r="K336" s="630"/>
    </row>
    <row r="337" spans="3:34" x14ac:dyDescent="0.25">
      <c r="C337" s="368" t="s">
        <v>957</v>
      </c>
    </row>
    <row r="338" spans="3:34" x14ac:dyDescent="0.25">
      <c r="C338" s="364"/>
      <c r="D338" s="364"/>
      <c r="E338" s="364"/>
      <c r="F338" s="364"/>
      <c r="G338" s="621" t="s">
        <v>652</v>
      </c>
      <c r="H338" s="620"/>
      <c r="I338" s="362"/>
      <c r="J338" s="362"/>
      <c r="K338" s="629"/>
      <c r="L338" s="620">
        <v>205</v>
      </c>
      <c r="M338" s="362" t="str">
        <f t="shared" ref="M338:M343" si="144">IF(ISBLANK(L338)," ",IF(ISTEXT(L338)," ",IF(L338&gt;=205,"МСМК",IF(L338&gt;=151,"МС",IF(L338&gt;=118,"КМС",IF(L338&gt;=98,"I",IF(L338&gt;=75,"II",IF(L338&gt;=58,"III","б/р"))))))))</f>
        <v>МСМК</v>
      </c>
      <c r="N338" s="362" t="str">
        <f t="shared" ref="N338:N343" si="145">IF(ISBLANK(L338)," ",IF(ISTEXT(L338)," ",IF(L338&gt;=205,"МСМК",IF(L338&gt;=151,"МС",IF(L338&gt;=118,"КМС",IF(L338&gt;=98,"I",IF(L338&gt;=75,"II",IF(L338&gt;=58,"III","б/р"))))))))</f>
        <v>МСМК</v>
      </c>
      <c r="O338" s="362"/>
      <c r="P338" s="537"/>
      <c r="Q338" s="537"/>
      <c r="R338" s="537"/>
      <c r="S338" s="537"/>
      <c r="T338" s="537"/>
      <c r="U338" s="537"/>
      <c r="V338" s="537"/>
      <c r="W338" s="537"/>
      <c r="X338" s="537"/>
      <c r="Y338" s="537"/>
      <c r="Z338" s="537"/>
      <c r="AA338" s="537"/>
      <c r="AB338" s="537"/>
      <c r="AC338" s="537"/>
      <c r="AD338" s="537"/>
      <c r="AE338" s="537"/>
      <c r="AF338" s="537"/>
      <c r="AG338" s="537"/>
      <c r="AH338" s="537"/>
    </row>
    <row r="339" spans="3:34" x14ac:dyDescent="0.25">
      <c r="C339" s="364"/>
      <c r="D339" s="364"/>
      <c r="E339" s="364"/>
      <c r="F339" s="364"/>
      <c r="G339" s="621" t="s">
        <v>652</v>
      </c>
      <c r="H339" s="620"/>
      <c r="I339" s="362"/>
      <c r="J339" s="362"/>
      <c r="K339" s="629"/>
      <c r="L339" s="620">
        <v>151</v>
      </c>
      <c r="M339" s="362" t="str">
        <f t="shared" si="144"/>
        <v>МС</v>
      </c>
      <c r="N339" s="362" t="str">
        <f t="shared" si="145"/>
        <v>МС</v>
      </c>
      <c r="O339" s="362"/>
      <c r="P339" s="537"/>
      <c r="Q339" s="537"/>
      <c r="R339" s="537"/>
      <c r="S339" s="537"/>
      <c r="T339" s="537"/>
      <c r="U339" s="537"/>
      <c r="V339" s="537"/>
      <c r="W339" s="537"/>
      <c r="X339" s="537"/>
      <c r="Y339" s="537"/>
      <c r="Z339" s="537"/>
      <c r="AA339" s="537"/>
      <c r="AB339" s="537"/>
      <c r="AC339" s="537"/>
      <c r="AD339" s="537"/>
      <c r="AE339" s="537"/>
      <c r="AF339" s="537"/>
      <c r="AG339" s="537"/>
      <c r="AH339" s="537"/>
    </row>
    <row r="340" spans="3:34" x14ac:dyDescent="0.25">
      <c r="C340" s="364"/>
      <c r="D340" s="364"/>
      <c r="E340" s="364"/>
      <c r="F340" s="364"/>
      <c r="G340" s="621" t="s">
        <v>652</v>
      </c>
      <c r="H340" s="620"/>
      <c r="I340" s="362"/>
      <c r="J340" s="362"/>
      <c r="K340" s="629"/>
      <c r="L340" s="620">
        <v>118</v>
      </c>
      <c r="M340" s="362" t="str">
        <f t="shared" si="144"/>
        <v>КМС</v>
      </c>
      <c r="N340" s="362" t="str">
        <f t="shared" si="145"/>
        <v>КМС</v>
      </c>
      <c r="O340" s="362"/>
      <c r="P340" s="537"/>
      <c r="Q340" s="537"/>
      <c r="R340" s="537"/>
      <c r="S340" s="537"/>
      <c r="T340" s="537"/>
      <c r="U340" s="537"/>
      <c r="V340" s="537"/>
      <c r="W340" s="537"/>
      <c r="X340" s="537"/>
      <c r="Y340" s="537"/>
      <c r="Z340" s="537"/>
      <c r="AA340" s="537"/>
      <c r="AB340" s="537"/>
      <c r="AC340" s="537"/>
      <c r="AD340" s="537"/>
      <c r="AE340" s="537"/>
      <c r="AF340" s="537"/>
      <c r="AG340" s="537"/>
      <c r="AH340" s="537"/>
    </row>
    <row r="341" spans="3:34" x14ac:dyDescent="0.25">
      <c r="C341" s="364"/>
      <c r="D341" s="364"/>
      <c r="E341" s="364"/>
      <c r="F341" s="364"/>
      <c r="G341" s="621" t="s">
        <v>652</v>
      </c>
      <c r="H341" s="620"/>
      <c r="I341" s="362"/>
      <c r="J341" s="362"/>
      <c r="K341" s="629"/>
      <c r="L341" s="620">
        <v>98</v>
      </c>
      <c r="M341" s="362" t="str">
        <f t="shared" si="144"/>
        <v>I</v>
      </c>
      <c r="N341" s="362" t="str">
        <f t="shared" si="145"/>
        <v>I</v>
      </c>
      <c r="O341" s="362"/>
      <c r="P341" s="537"/>
      <c r="Q341" s="537"/>
      <c r="R341" s="537"/>
      <c r="S341" s="537"/>
      <c r="T341" s="537"/>
      <c r="U341" s="537"/>
      <c r="V341" s="537"/>
      <c r="W341" s="537"/>
      <c r="X341" s="537"/>
      <c r="Y341" s="537"/>
      <c r="Z341" s="537"/>
      <c r="AA341" s="537"/>
      <c r="AB341" s="537"/>
      <c r="AC341" s="537"/>
      <c r="AD341" s="537"/>
      <c r="AE341" s="537"/>
      <c r="AF341" s="537"/>
      <c r="AG341" s="537"/>
      <c r="AH341" s="537"/>
    </row>
    <row r="342" spans="3:34" x14ac:dyDescent="0.25">
      <c r="C342" s="364"/>
      <c r="D342" s="364"/>
      <c r="E342" s="364"/>
      <c r="F342" s="364"/>
      <c r="G342" s="621" t="s">
        <v>652</v>
      </c>
      <c r="H342" s="620"/>
      <c r="I342" s="362"/>
      <c r="J342" s="362"/>
      <c r="K342" s="629"/>
      <c r="L342" s="620">
        <v>75</v>
      </c>
      <c r="M342" s="362" t="str">
        <f t="shared" si="144"/>
        <v>II</v>
      </c>
      <c r="N342" s="362" t="str">
        <f t="shared" si="145"/>
        <v>II</v>
      </c>
      <c r="O342" s="362"/>
      <c r="P342" s="537"/>
      <c r="Q342" s="537"/>
      <c r="R342" s="537"/>
      <c r="S342" s="537"/>
      <c r="T342" s="537"/>
      <c r="U342" s="537"/>
      <c r="V342" s="537"/>
      <c r="W342" s="537"/>
      <c r="X342" s="537"/>
      <c r="Y342" s="537"/>
      <c r="Z342" s="537"/>
      <c r="AA342" s="537"/>
      <c r="AB342" s="537"/>
      <c r="AC342" s="537"/>
      <c r="AD342" s="537"/>
      <c r="AE342" s="537"/>
      <c r="AF342" s="537"/>
      <c r="AG342" s="537"/>
      <c r="AH342" s="537"/>
    </row>
    <row r="343" spans="3:34" x14ac:dyDescent="0.25">
      <c r="C343" s="364"/>
      <c r="D343" s="364"/>
      <c r="E343" s="364"/>
      <c r="F343" s="364"/>
      <c r="G343" s="621" t="s">
        <v>652</v>
      </c>
      <c r="H343" s="620"/>
      <c r="I343" s="362"/>
      <c r="J343" s="362"/>
      <c r="K343" s="629"/>
      <c r="L343" s="620">
        <v>58</v>
      </c>
      <c r="M343" s="362" t="str">
        <f t="shared" si="144"/>
        <v>III</v>
      </c>
      <c r="N343" s="362" t="str">
        <f t="shared" si="145"/>
        <v>III</v>
      </c>
      <c r="O343" s="362"/>
      <c r="P343" s="537"/>
      <c r="Q343" s="537"/>
      <c r="R343" s="537"/>
      <c r="S343" s="537"/>
      <c r="T343" s="537"/>
      <c r="U343" s="537"/>
      <c r="V343" s="537"/>
      <c r="W343" s="537"/>
      <c r="X343" s="537"/>
      <c r="Y343" s="537"/>
      <c r="Z343" s="537"/>
      <c r="AA343" s="537"/>
      <c r="AB343" s="537"/>
      <c r="AC343" s="537"/>
      <c r="AD343" s="537"/>
      <c r="AE343" s="537"/>
      <c r="AF343" s="537"/>
      <c r="AG343" s="537"/>
      <c r="AH343" s="537"/>
    </row>
    <row r="344" spans="3:34" ht="15" customHeight="1" x14ac:dyDescent="0.25">
      <c r="C344" s="364"/>
      <c r="D344" s="364"/>
      <c r="E344" s="364"/>
      <c r="F344" s="364"/>
      <c r="G344" s="364"/>
      <c r="H344" s="363"/>
      <c r="I344" s="363"/>
      <c r="J344" s="364"/>
      <c r="K344" s="367"/>
    </row>
    <row r="345" spans="3:34" x14ac:dyDescent="0.25">
      <c r="C345" s="368" t="s">
        <v>956</v>
      </c>
    </row>
    <row r="346" spans="3:34" x14ac:dyDescent="0.25">
      <c r="C346" s="364"/>
      <c r="D346" s="364"/>
      <c r="E346" s="364"/>
      <c r="F346" s="364"/>
      <c r="G346" s="621" t="s">
        <v>652</v>
      </c>
      <c r="H346" s="620"/>
      <c r="I346" s="362"/>
      <c r="J346" s="362"/>
      <c r="K346" s="629"/>
      <c r="L346" s="620">
        <v>225</v>
      </c>
      <c r="M346" s="362" t="str">
        <f t="shared" ref="M346:M351" si="146">IF(ISBLANK(L346)," ",IF(ISTEXT(L346)," ",IF(L346&gt;=225,"МСМК",IF(L346&gt;=195,"МС",IF(L346&gt;=152,"КМС",IF(L346&gt;=125,"I",IF(L346&gt;=98,"II",IF(L346&gt;=78,"III","б/р"))))))))</f>
        <v>МСМК</v>
      </c>
      <c r="N346" s="362" t="str">
        <f t="shared" ref="N346:N351" si="147">IF(ISBLANK(L346)," ",IF(ISTEXT(L346)," ",IF(L346&gt;=225,"МСМК",IF(L346&gt;=195,"МС",IF(L346&gt;=152,"КМС",IF(L346&gt;=125,"I",IF(L346&gt;=98,"II",IF(L346&gt;=78,"III","б/р"))))))))</f>
        <v>МСМК</v>
      </c>
      <c r="O346" s="362"/>
      <c r="P346" s="537"/>
      <c r="Q346" s="537"/>
      <c r="R346" s="537"/>
      <c r="S346" s="537"/>
      <c r="T346" s="537"/>
      <c r="U346" s="537"/>
      <c r="V346" s="537"/>
      <c r="W346" s="537"/>
      <c r="X346" s="537"/>
      <c r="Y346" s="537"/>
      <c r="Z346" s="537"/>
      <c r="AA346" s="537"/>
      <c r="AB346" s="537"/>
      <c r="AC346" s="537"/>
      <c r="AD346" s="537"/>
      <c r="AE346" s="537"/>
      <c r="AF346" s="537"/>
      <c r="AG346" s="537"/>
      <c r="AH346" s="537"/>
    </row>
    <row r="347" spans="3:34" x14ac:dyDescent="0.25">
      <c r="C347" s="364"/>
      <c r="D347" s="364"/>
      <c r="E347" s="364"/>
      <c r="F347" s="364"/>
      <c r="G347" s="621" t="s">
        <v>652</v>
      </c>
      <c r="H347" s="620"/>
      <c r="I347" s="362"/>
      <c r="J347" s="362"/>
      <c r="K347" s="629"/>
      <c r="L347" s="620">
        <v>195</v>
      </c>
      <c r="M347" s="362" t="str">
        <f t="shared" si="146"/>
        <v>МС</v>
      </c>
      <c r="N347" s="362" t="str">
        <f t="shared" si="147"/>
        <v>МС</v>
      </c>
      <c r="O347" s="362"/>
      <c r="P347" s="537"/>
      <c r="Q347" s="537"/>
      <c r="R347" s="537"/>
      <c r="S347" s="537"/>
      <c r="T347" s="537"/>
      <c r="U347" s="537"/>
      <c r="V347" s="537"/>
      <c r="W347" s="537"/>
      <c r="X347" s="537"/>
      <c r="Y347" s="537"/>
      <c r="Z347" s="537"/>
      <c r="AA347" s="537"/>
      <c r="AB347" s="537"/>
      <c r="AC347" s="537"/>
      <c r="AD347" s="537"/>
      <c r="AE347" s="537"/>
      <c r="AF347" s="537"/>
      <c r="AG347" s="537"/>
      <c r="AH347" s="537"/>
    </row>
    <row r="348" spans="3:34" x14ac:dyDescent="0.25">
      <c r="C348" s="364"/>
      <c r="D348" s="364"/>
      <c r="E348" s="364"/>
      <c r="F348" s="364"/>
      <c r="G348" s="621" t="s">
        <v>652</v>
      </c>
      <c r="H348" s="620"/>
      <c r="I348" s="362"/>
      <c r="J348" s="362"/>
      <c r="K348" s="629"/>
      <c r="L348" s="620">
        <v>152</v>
      </c>
      <c r="M348" s="362" t="str">
        <f t="shared" si="146"/>
        <v>КМС</v>
      </c>
      <c r="N348" s="362" t="str">
        <f t="shared" si="147"/>
        <v>КМС</v>
      </c>
      <c r="O348" s="362"/>
      <c r="P348" s="537"/>
      <c r="Q348" s="537"/>
      <c r="R348" s="537"/>
      <c r="S348" s="537"/>
      <c r="T348" s="537"/>
      <c r="U348" s="537"/>
      <c r="V348" s="537"/>
      <c r="W348" s="537"/>
      <c r="X348" s="537"/>
      <c r="Y348" s="537"/>
      <c r="Z348" s="537"/>
      <c r="AA348" s="537"/>
      <c r="AB348" s="537"/>
      <c r="AC348" s="537"/>
      <c r="AD348" s="537"/>
      <c r="AE348" s="537"/>
      <c r="AF348" s="537"/>
      <c r="AG348" s="537"/>
      <c r="AH348" s="537"/>
    </row>
    <row r="349" spans="3:34" x14ac:dyDescent="0.25">
      <c r="C349" s="364"/>
      <c r="D349" s="364"/>
      <c r="E349" s="364"/>
      <c r="F349" s="364"/>
      <c r="G349" s="621" t="s">
        <v>652</v>
      </c>
      <c r="H349" s="620"/>
      <c r="I349" s="362"/>
      <c r="J349" s="362"/>
      <c r="K349" s="629"/>
      <c r="L349" s="620">
        <v>125</v>
      </c>
      <c r="M349" s="362" t="str">
        <f t="shared" si="146"/>
        <v>I</v>
      </c>
      <c r="N349" s="362" t="str">
        <f t="shared" si="147"/>
        <v>I</v>
      </c>
      <c r="O349" s="362"/>
      <c r="P349" s="537"/>
      <c r="Q349" s="537"/>
      <c r="R349" s="537"/>
      <c r="S349" s="537"/>
      <c r="T349" s="537"/>
      <c r="U349" s="537"/>
      <c r="V349" s="537"/>
      <c r="W349" s="537"/>
      <c r="X349" s="537"/>
      <c r="Y349" s="537"/>
      <c r="Z349" s="537"/>
      <c r="AA349" s="537"/>
      <c r="AB349" s="537"/>
      <c r="AC349" s="537"/>
      <c r="AD349" s="537"/>
      <c r="AE349" s="537"/>
      <c r="AF349" s="537"/>
      <c r="AG349" s="537"/>
      <c r="AH349" s="537"/>
    </row>
    <row r="350" spans="3:34" x14ac:dyDescent="0.25">
      <c r="C350" s="364"/>
      <c r="D350" s="364"/>
      <c r="E350" s="364"/>
      <c r="F350" s="364"/>
      <c r="G350" s="621" t="s">
        <v>652</v>
      </c>
      <c r="H350" s="620"/>
      <c r="I350" s="362"/>
      <c r="J350" s="362"/>
      <c r="K350" s="629"/>
      <c r="L350" s="620">
        <v>98</v>
      </c>
      <c r="M350" s="362" t="str">
        <f t="shared" si="146"/>
        <v>II</v>
      </c>
      <c r="N350" s="362" t="str">
        <f t="shared" si="147"/>
        <v>II</v>
      </c>
      <c r="O350" s="362"/>
      <c r="P350" s="537"/>
      <c r="Q350" s="537"/>
      <c r="R350" s="537"/>
      <c r="S350" s="537"/>
      <c r="T350" s="537"/>
      <c r="U350" s="537"/>
      <c r="V350" s="537"/>
      <c r="W350" s="537"/>
      <c r="X350" s="537"/>
      <c r="Y350" s="537"/>
      <c r="Z350" s="537"/>
      <c r="AA350" s="537"/>
      <c r="AB350" s="537"/>
      <c r="AC350" s="537"/>
      <c r="AD350" s="537"/>
      <c r="AE350" s="537"/>
      <c r="AF350" s="537"/>
      <c r="AG350" s="537"/>
      <c r="AH350" s="537"/>
    </row>
    <row r="351" spans="3:34" x14ac:dyDescent="0.25">
      <c r="C351" s="364"/>
      <c r="D351" s="364"/>
      <c r="E351" s="364"/>
      <c r="F351" s="364"/>
      <c r="G351" s="621" t="s">
        <v>652</v>
      </c>
      <c r="H351" s="620"/>
      <c r="I351" s="362"/>
      <c r="J351" s="362"/>
      <c r="K351" s="629"/>
      <c r="L351" s="620">
        <v>78</v>
      </c>
      <c r="M351" s="362" t="str">
        <f t="shared" si="146"/>
        <v>III</v>
      </c>
      <c r="N351" s="362" t="str">
        <f t="shared" si="147"/>
        <v>III</v>
      </c>
      <c r="O351" s="362"/>
      <c r="P351" s="537"/>
      <c r="Q351" s="537"/>
      <c r="R351" s="537"/>
      <c r="S351" s="537"/>
      <c r="T351" s="537"/>
      <c r="U351" s="537"/>
      <c r="V351" s="537"/>
      <c r="W351" s="537"/>
      <c r="X351" s="537"/>
      <c r="Y351" s="537"/>
      <c r="Z351" s="537"/>
      <c r="AA351" s="537"/>
      <c r="AB351" s="537"/>
      <c r="AC351" s="537"/>
      <c r="AD351" s="537"/>
      <c r="AE351" s="537"/>
      <c r="AF351" s="537"/>
      <c r="AG351" s="537"/>
      <c r="AH351" s="537"/>
    </row>
    <row r="352" spans="3:34" x14ac:dyDescent="0.25">
      <c r="C352" s="368"/>
    </row>
    <row r="353" spans="3:34" x14ac:dyDescent="0.25">
      <c r="C353" s="368" t="s">
        <v>298</v>
      </c>
      <c r="K353" s="630"/>
    </row>
    <row r="354" spans="3:34" x14ac:dyDescent="0.25">
      <c r="C354" s="364"/>
      <c r="D354" s="364"/>
      <c r="E354" s="364"/>
      <c r="F354" s="364"/>
      <c r="G354" s="364"/>
      <c r="H354" s="356">
        <v>37.200000000000003</v>
      </c>
      <c r="I354" s="362" t="str">
        <f t="shared" ref="I354:I359" si="148">IF(ISBLANK(H354)," ",IF(ISTEXT(H354)," ",IF(H354&lt;=37.2,"МСМК",IF(H354&lt;=39.5,"МС",IF(H354&lt;=41.8,"КМС",IF(H354&lt;=45.2,"I",IF(H354&lt;=48.8,"II",IF(H354&lt;=53.2,"III","б/р"))))))))</f>
        <v>МСМК</v>
      </c>
      <c r="J354" s="362" t="str">
        <f t="shared" ref="J354:J359" si="149">IF(ISBLANK(H354)," ",IF(ISTEXT(H354)," ",IF(H354&lt;=37.2,"МСМК",IF(H354&lt;=39.5,"МС",IF(H354&lt;=41.8,"КМС",IF(H354&lt;=45.2,"I",IF(H354&lt;=48.8,"II",IF(H354&lt;=53.2,"III","б/р"))))))))</f>
        <v>МСМК</v>
      </c>
      <c r="K354" s="629"/>
      <c r="L354" s="533">
        <f>H354</f>
        <v>37.200000000000003</v>
      </c>
      <c r="M354" s="531" t="str">
        <f t="shared" ref="M354:M359" si="150">IF(ISBLANK(L354)," ",IF(ISTEXT(L354)," ",IF(L354&lt;=37.2,"МСМК",IF(L354&lt;=39.5,"МС",IF(L354&lt;=41.6,"КМС",IF(L354&lt;=45,"I",IF(L354&lt;=48.6,"II",IF(L354&lt;=53,"III","б/р"))))))))</f>
        <v>МСМК</v>
      </c>
      <c r="N354" s="531" t="str">
        <f t="shared" ref="N354:N359" si="151">IF(ISBLANK(L354)," ",IF(ISTEXT(L354)," ",IF(L354&lt;=37.2,"МСМК",IF(L354&lt;=39.5,"МС",IF(L354&lt;=41.6,"КМС",IF(L354&lt;=45,"I",IF(L354&lt;=48.6,"II",IF(L354&lt;=53,"III","б/р"))))))))</f>
        <v>МСМК</v>
      </c>
      <c r="O354" s="362"/>
      <c r="P354" s="537"/>
      <c r="Q354" s="537"/>
      <c r="R354" s="537"/>
      <c r="S354" s="537"/>
      <c r="T354" s="537"/>
      <c r="U354" s="537"/>
      <c r="V354" s="537"/>
      <c r="W354" s="537"/>
      <c r="X354" s="537"/>
      <c r="Y354" s="537"/>
      <c r="Z354" s="537"/>
      <c r="AA354" s="537"/>
      <c r="AB354" s="537"/>
      <c r="AC354" s="537"/>
      <c r="AD354" s="537"/>
      <c r="AE354" s="537"/>
      <c r="AF354" s="537"/>
      <c r="AG354" s="537"/>
      <c r="AH354" s="537"/>
    </row>
    <row r="355" spans="3:34" x14ac:dyDescent="0.25">
      <c r="C355" s="364"/>
      <c r="D355" s="364"/>
      <c r="E355" s="364"/>
      <c r="F355" s="364"/>
      <c r="G355" s="364"/>
      <c r="H355" s="356">
        <v>39.5</v>
      </c>
      <c r="I355" s="362" t="str">
        <f t="shared" si="148"/>
        <v>МС</v>
      </c>
      <c r="J355" s="362" t="str">
        <f t="shared" si="149"/>
        <v>МС</v>
      </c>
      <c r="K355" s="629"/>
      <c r="L355" s="533">
        <f>H355</f>
        <v>39.5</v>
      </c>
      <c r="M355" s="531" t="str">
        <f t="shared" si="150"/>
        <v>МС</v>
      </c>
      <c r="N355" s="531" t="str">
        <f t="shared" si="151"/>
        <v>МС</v>
      </c>
      <c r="O355" s="362"/>
      <c r="P355" s="537"/>
      <c r="Q355" s="537"/>
      <c r="R355" s="537"/>
      <c r="S355" s="537"/>
      <c r="T355" s="537"/>
      <c r="U355" s="537"/>
      <c r="V355" s="537"/>
      <c r="W355" s="537"/>
      <c r="X355" s="537"/>
      <c r="Y355" s="537"/>
      <c r="Z355" s="537"/>
      <c r="AA355" s="537"/>
      <c r="AB355" s="537"/>
      <c r="AC355" s="537"/>
      <c r="AD355" s="537"/>
      <c r="AE355" s="537"/>
      <c r="AF355" s="537"/>
      <c r="AG355" s="537"/>
      <c r="AH355" s="537"/>
    </row>
    <row r="356" spans="3:34" x14ac:dyDescent="0.25">
      <c r="C356" s="364"/>
      <c r="D356" s="364"/>
      <c r="E356" s="364"/>
      <c r="F356" s="364"/>
      <c r="G356" s="364"/>
      <c r="H356" s="356">
        <v>41.8</v>
      </c>
      <c r="I356" s="362" t="str">
        <f t="shared" si="148"/>
        <v>КМС</v>
      </c>
      <c r="J356" s="362" t="str">
        <f t="shared" si="149"/>
        <v>КМС</v>
      </c>
      <c r="K356" s="629"/>
      <c r="L356" s="356">
        <f>H356-0.2</f>
        <v>41.599999999999994</v>
      </c>
      <c r="M356" s="362" t="str">
        <f t="shared" si="150"/>
        <v>КМС</v>
      </c>
      <c r="N356" s="362" t="str">
        <f t="shared" si="151"/>
        <v>КМС</v>
      </c>
      <c r="O356" s="362"/>
      <c r="P356" s="537"/>
      <c r="Q356" s="537"/>
      <c r="R356" s="537"/>
      <c r="S356" s="537"/>
      <c r="T356" s="537"/>
      <c r="U356" s="537"/>
      <c r="V356" s="537"/>
      <c r="W356" s="537"/>
      <c r="X356" s="537"/>
      <c r="Y356" s="537"/>
      <c r="Z356" s="537"/>
      <c r="AA356" s="537"/>
      <c r="AB356" s="537"/>
      <c r="AC356" s="537"/>
      <c r="AD356" s="537"/>
      <c r="AE356" s="537"/>
      <c r="AF356" s="537"/>
      <c r="AG356" s="537"/>
      <c r="AH356" s="537"/>
    </row>
    <row r="357" spans="3:34" x14ac:dyDescent="0.25">
      <c r="C357" s="364"/>
      <c r="D357" s="364"/>
      <c r="E357" s="364"/>
      <c r="F357" s="364"/>
      <c r="G357" s="364"/>
      <c r="H357" s="356">
        <v>45.2</v>
      </c>
      <c r="I357" s="362" t="str">
        <f t="shared" si="148"/>
        <v>I</v>
      </c>
      <c r="J357" s="362" t="str">
        <f t="shared" si="149"/>
        <v>I</v>
      </c>
      <c r="K357" s="629"/>
      <c r="L357" s="356">
        <f>H357-0.2</f>
        <v>45</v>
      </c>
      <c r="M357" s="362" t="str">
        <f t="shared" si="150"/>
        <v>I</v>
      </c>
      <c r="N357" s="362" t="str">
        <f t="shared" si="151"/>
        <v>I</v>
      </c>
      <c r="O357" s="362"/>
      <c r="P357" s="537"/>
      <c r="Q357" s="537"/>
      <c r="R357" s="537"/>
      <c r="S357" s="537"/>
      <c r="T357" s="537"/>
      <c r="U357" s="537"/>
      <c r="V357" s="537"/>
      <c r="W357" s="537"/>
      <c r="X357" s="537"/>
      <c r="Y357" s="537"/>
      <c r="Z357" s="537"/>
      <c r="AA357" s="537"/>
      <c r="AB357" s="537"/>
      <c r="AC357" s="537"/>
      <c r="AD357" s="537"/>
      <c r="AE357" s="537"/>
      <c r="AF357" s="537"/>
      <c r="AG357" s="537"/>
      <c r="AH357" s="537"/>
    </row>
    <row r="358" spans="3:34" x14ac:dyDescent="0.25">
      <c r="C358" s="364"/>
      <c r="D358" s="364"/>
      <c r="E358" s="364"/>
      <c r="F358" s="364"/>
      <c r="G358" s="364"/>
      <c r="H358" s="356">
        <v>48.8</v>
      </c>
      <c r="I358" s="362" t="str">
        <f t="shared" si="148"/>
        <v>II</v>
      </c>
      <c r="J358" s="362" t="str">
        <f t="shared" si="149"/>
        <v>II</v>
      </c>
      <c r="K358" s="629"/>
      <c r="L358" s="356">
        <f>H358-0.2</f>
        <v>48.599999999999994</v>
      </c>
      <c r="M358" s="362" t="str">
        <f t="shared" si="150"/>
        <v>II</v>
      </c>
      <c r="N358" s="362" t="str">
        <f t="shared" si="151"/>
        <v>II</v>
      </c>
      <c r="O358" s="362"/>
      <c r="P358" s="537"/>
      <c r="Q358" s="537"/>
      <c r="R358" s="537"/>
      <c r="S358" s="537"/>
      <c r="T358" s="537"/>
      <c r="U358" s="537"/>
      <c r="V358" s="537"/>
      <c r="W358" s="537"/>
      <c r="X358" s="537"/>
      <c r="Y358" s="537"/>
      <c r="Z358" s="537"/>
      <c r="AA358" s="537"/>
      <c r="AB358" s="537"/>
      <c r="AC358" s="537"/>
      <c r="AD358" s="537"/>
      <c r="AE358" s="537"/>
      <c r="AF358" s="537"/>
      <c r="AG358" s="537"/>
      <c r="AH358" s="537"/>
    </row>
    <row r="359" spans="3:34" x14ac:dyDescent="0.25">
      <c r="C359" s="364"/>
      <c r="D359" s="364"/>
      <c r="E359" s="364"/>
      <c r="F359" s="364"/>
      <c r="G359" s="364"/>
      <c r="H359" s="356">
        <v>53.2</v>
      </c>
      <c r="I359" s="362" t="str">
        <f t="shared" si="148"/>
        <v>III</v>
      </c>
      <c r="J359" s="362" t="str">
        <f t="shared" si="149"/>
        <v>III</v>
      </c>
      <c r="K359" s="629"/>
      <c r="L359" s="356">
        <f>H359-0.2</f>
        <v>53</v>
      </c>
      <c r="M359" s="362" t="str">
        <f t="shared" si="150"/>
        <v>III</v>
      </c>
      <c r="N359" s="362" t="str">
        <f t="shared" si="151"/>
        <v>III</v>
      </c>
      <c r="O359" s="362"/>
      <c r="P359" s="537"/>
      <c r="Q359" s="537"/>
      <c r="R359" s="537"/>
      <c r="S359" s="537"/>
      <c r="T359" s="537"/>
      <c r="U359" s="537"/>
      <c r="V359" s="537"/>
      <c r="W359" s="537"/>
      <c r="X359" s="537"/>
      <c r="Y359" s="537"/>
      <c r="Z359" s="537"/>
      <c r="AA359" s="537"/>
      <c r="AB359" s="537"/>
      <c r="AC359" s="537"/>
      <c r="AD359" s="537"/>
      <c r="AE359" s="537"/>
      <c r="AF359" s="537"/>
      <c r="AG359" s="537"/>
      <c r="AH359" s="537"/>
    </row>
    <row r="360" spans="3:34" x14ac:dyDescent="0.25">
      <c r="C360" s="368"/>
      <c r="K360" s="630"/>
    </row>
    <row r="361" spans="3:34" x14ac:dyDescent="0.25">
      <c r="C361" s="368" t="s">
        <v>329</v>
      </c>
      <c r="K361" s="630"/>
    </row>
    <row r="362" spans="3:34" x14ac:dyDescent="0.25">
      <c r="C362" s="364"/>
      <c r="D362" s="364"/>
      <c r="E362" s="364"/>
      <c r="F362" s="364"/>
      <c r="G362" s="364"/>
      <c r="H362" s="356">
        <v>32.799999999999997</v>
      </c>
      <c r="I362" s="362" t="str">
        <f t="shared" ref="I362:I367" si="152">IF(ISBLANK(H362)," ",IF(ISTEXT(H362)," ",IF(H362&lt;=32.8,"МСМК",IF(H362&lt;=35,"МС",IF(H362&lt;=39.8,"КМС",IF(H362&lt;=42.4,"I",IF(H362&lt;=45.8,"II",IF(H362&lt;=49.7,"III","б/р"))))))))</f>
        <v>МСМК</v>
      </c>
      <c r="J362" s="362" t="str">
        <f t="shared" ref="J362:J367" si="153">IF(ISBLANK(H362)," ",IF(ISTEXT(H362)," ",IF(H362&lt;=32.8,"МСМК",IF(H362&lt;=35,"МС",IF(H362&lt;=39.8,"КМС",IF(H362&lt;=42.4,"I",IF(H362&lt;=45.8,"II",IF(H362&lt;=49.7,"III","б/р"))))))))</f>
        <v>МСМК</v>
      </c>
      <c r="K362" s="629"/>
      <c r="L362" s="533">
        <f>H362</f>
        <v>32.799999999999997</v>
      </c>
      <c r="M362" s="531" t="str">
        <f t="shared" ref="M362:M367" si="154">IF(ISBLANK(L362)," ",IF(ISTEXT(L362)," ",IF(L362&lt;=32.8,"МСМК",IF(L362&lt;=35,"МС",IF(L362&lt;=39.6,"КМС",IF(L362&lt;=42.2,"I",IF(L362&lt;=45.6,"II",IF(L362&lt;=49.5,"III","б/р"))))))))</f>
        <v>МСМК</v>
      </c>
      <c r="N362" s="531" t="str">
        <f t="shared" ref="N362:N367" si="155">IF(ISBLANK(L362)," ",IF(ISTEXT(L362)," ",IF(L362&lt;=32.8,"МСМК",IF(L362&lt;=35,"МС",IF(L362&lt;=39.6,"КМС",IF(L362&lt;=42.2,"I",IF(L362&lt;=45.6,"II",IF(L362&lt;=49.5,"III","б/р"))))))))</f>
        <v>МСМК</v>
      </c>
      <c r="O362" s="362"/>
      <c r="P362" s="537"/>
      <c r="Q362" s="537"/>
      <c r="R362" s="537"/>
      <c r="S362" s="537"/>
      <c r="T362" s="537"/>
      <c r="U362" s="537"/>
      <c r="V362" s="537"/>
      <c r="W362" s="537"/>
      <c r="X362" s="537"/>
      <c r="Y362" s="537"/>
      <c r="Z362" s="537"/>
      <c r="AA362" s="537"/>
      <c r="AB362" s="537"/>
      <c r="AC362" s="537"/>
      <c r="AD362" s="537"/>
      <c r="AE362" s="537"/>
      <c r="AF362" s="537"/>
      <c r="AG362" s="537"/>
      <c r="AH362" s="537"/>
    </row>
    <row r="363" spans="3:34" x14ac:dyDescent="0.25">
      <c r="C363" s="364"/>
      <c r="D363" s="364"/>
      <c r="E363" s="364"/>
      <c r="F363" s="364"/>
      <c r="G363" s="364"/>
      <c r="H363" s="356">
        <v>35</v>
      </c>
      <c r="I363" s="362" t="str">
        <f t="shared" si="152"/>
        <v>МС</v>
      </c>
      <c r="J363" s="362" t="str">
        <f t="shared" si="153"/>
        <v>МС</v>
      </c>
      <c r="K363" s="629"/>
      <c r="L363" s="533">
        <f>H363</f>
        <v>35</v>
      </c>
      <c r="M363" s="531" t="str">
        <f t="shared" si="154"/>
        <v>МС</v>
      </c>
      <c r="N363" s="531" t="str">
        <f t="shared" si="155"/>
        <v>МС</v>
      </c>
      <c r="O363" s="362"/>
      <c r="P363" s="537"/>
      <c r="Q363" s="537"/>
      <c r="R363" s="537"/>
      <c r="S363" s="537"/>
      <c r="T363" s="537"/>
      <c r="U363" s="537"/>
      <c r="V363" s="537"/>
      <c r="W363" s="537"/>
      <c r="X363" s="537"/>
      <c r="Y363" s="537"/>
      <c r="Z363" s="537"/>
      <c r="AA363" s="537"/>
      <c r="AB363" s="537"/>
      <c r="AC363" s="537"/>
      <c r="AD363" s="537"/>
      <c r="AE363" s="537"/>
      <c r="AF363" s="537"/>
      <c r="AG363" s="537"/>
      <c r="AH363" s="537"/>
    </row>
    <row r="364" spans="3:34" x14ac:dyDescent="0.25">
      <c r="C364" s="364"/>
      <c r="D364" s="364"/>
      <c r="E364" s="364"/>
      <c r="F364" s="364"/>
      <c r="G364" s="364"/>
      <c r="H364" s="356">
        <v>39.799999999999997</v>
      </c>
      <c r="I364" s="362" t="str">
        <f t="shared" si="152"/>
        <v>КМС</v>
      </c>
      <c r="J364" s="362" t="str">
        <f t="shared" si="153"/>
        <v>КМС</v>
      </c>
      <c r="K364" s="629"/>
      <c r="L364" s="356">
        <f>H364-0.2</f>
        <v>39.599999999999994</v>
      </c>
      <c r="M364" s="362" t="str">
        <f t="shared" si="154"/>
        <v>КМС</v>
      </c>
      <c r="N364" s="362" t="str">
        <f t="shared" si="155"/>
        <v>КМС</v>
      </c>
      <c r="O364" s="362"/>
      <c r="P364" s="537"/>
      <c r="Q364" s="537"/>
      <c r="R364" s="537"/>
      <c r="S364" s="537"/>
      <c r="T364" s="537"/>
      <c r="U364" s="537"/>
      <c r="V364" s="537"/>
      <c r="W364" s="537"/>
      <c r="X364" s="537"/>
      <c r="Y364" s="537"/>
      <c r="Z364" s="537"/>
      <c r="AA364" s="537"/>
      <c r="AB364" s="537"/>
      <c r="AC364" s="537"/>
      <c r="AD364" s="537"/>
      <c r="AE364" s="537"/>
      <c r="AF364" s="537"/>
      <c r="AG364" s="537"/>
      <c r="AH364" s="537"/>
    </row>
    <row r="365" spans="3:34" x14ac:dyDescent="0.25">
      <c r="C365" s="364"/>
      <c r="D365" s="364"/>
      <c r="E365" s="364"/>
      <c r="F365" s="364"/>
      <c r="G365" s="364"/>
      <c r="H365" s="356">
        <v>42.4</v>
      </c>
      <c r="I365" s="362" t="str">
        <f t="shared" si="152"/>
        <v>I</v>
      </c>
      <c r="J365" s="362" t="str">
        <f t="shared" si="153"/>
        <v>I</v>
      </c>
      <c r="K365" s="629"/>
      <c r="L365" s="356">
        <f>H365-0.2</f>
        <v>42.199999999999996</v>
      </c>
      <c r="M365" s="362" t="str">
        <f t="shared" si="154"/>
        <v>I</v>
      </c>
      <c r="N365" s="362" t="str">
        <f t="shared" si="155"/>
        <v>I</v>
      </c>
      <c r="O365" s="362"/>
      <c r="P365" s="537"/>
      <c r="Q365" s="537"/>
      <c r="R365" s="537"/>
      <c r="S365" s="537"/>
      <c r="T365" s="537"/>
      <c r="U365" s="537"/>
      <c r="V365" s="537"/>
      <c r="W365" s="537"/>
      <c r="X365" s="537"/>
      <c r="Y365" s="537"/>
      <c r="Z365" s="537"/>
      <c r="AA365" s="537"/>
      <c r="AB365" s="537"/>
      <c r="AC365" s="537"/>
      <c r="AD365" s="537"/>
      <c r="AE365" s="537"/>
      <c r="AF365" s="537"/>
      <c r="AG365" s="537"/>
      <c r="AH365" s="537"/>
    </row>
    <row r="366" spans="3:34" x14ac:dyDescent="0.25">
      <c r="C366" s="364"/>
      <c r="D366" s="364"/>
      <c r="E366" s="364"/>
      <c r="F366" s="364"/>
      <c r="G366" s="364"/>
      <c r="H366" s="356">
        <v>45.8</v>
      </c>
      <c r="I366" s="362" t="str">
        <f t="shared" si="152"/>
        <v>II</v>
      </c>
      <c r="J366" s="362" t="str">
        <f t="shared" si="153"/>
        <v>II</v>
      </c>
      <c r="K366" s="629"/>
      <c r="L366" s="356">
        <f>H366-0.2</f>
        <v>45.599999999999994</v>
      </c>
      <c r="M366" s="362" t="str">
        <f t="shared" si="154"/>
        <v>II</v>
      </c>
      <c r="N366" s="362" t="str">
        <f t="shared" si="155"/>
        <v>II</v>
      </c>
      <c r="O366" s="362"/>
      <c r="P366" s="537"/>
      <c r="Q366" s="537"/>
      <c r="R366" s="537"/>
      <c r="S366" s="537"/>
      <c r="T366" s="537"/>
      <c r="U366" s="537"/>
      <c r="V366" s="537"/>
      <c r="W366" s="537"/>
      <c r="X366" s="537"/>
      <c r="Y366" s="537"/>
      <c r="Z366" s="537"/>
      <c r="AA366" s="537"/>
      <c r="AB366" s="537"/>
      <c r="AC366" s="537"/>
      <c r="AD366" s="537"/>
      <c r="AE366" s="537"/>
      <c r="AF366" s="537"/>
      <c r="AG366" s="537"/>
      <c r="AH366" s="537"/>
    </row>
    <row r="367" spans="3:34" x14ac:dyDescent="0.25">
      <c r="C367" s="364"/>
      <c r="D367" s="364"/>
      <c r="E367" s="364"/>
      <c r="F367" s="364"/>
      <c r="G367" s="364"/>
      <c r="H367" s="356">
        <v>49.7</v>
      </c>
      <c r="I367" s="362" t="str">
        <f t="shared" si="152"/>
        <v>III</v>
      </c>
      <c r="J367" s="362" t="str">
        <f t="shared" si="153"/>
        <v>III</v>
      </c>
      <c r="K367" s="629"/>
      <c r="L367" s="356">
        <f>H367-0.2</f>
        <v>49.5</v>
      </c>
      <c r="M367" s="362" t="str">
        <f t="shared" si="154"/>
        <v>III</v>
      </c>
      <c r="N367" s="362" t="str">
        <f t="shared" si="155"/>
        <v>III</v>
      </c>
      <c r="O367" s="362"/>
      <c r="P367" s="537"/>
      <c r="Q367" s="537"/>
      <c r="R367" s="537"/>
      <c r="S367" s="537"/>
      <c r="T367" s="537"/>
      <c r="U367" s="537"/>
      <c r="V367" s="537"/>
      <c r="W367" s="537"/>
      <c r="X367" s="537"/>
      <c r="Y367" s="537"/>
      <c r="Z367" s="537"/>
      <c r="AA367" s="537"/>
      <c r="AB367" s="537"/>
      <c r="AC367" s="537"/>
      <c r="AD367" s="537"/>
      <c r="AE367" s="537"/>
      <c r="AF367" s="537"/>
      <c r="AG367" s="537"/>
      <c r="AH367" s="537"/>
    </row>
    <row r="368" spans="3:34" x14ac:dyDescent="0.25">
      <c r="C368" s="368"/>
    </row>
    <row r="369" spans="3:34" x14ac:dyDescent="0.25">
      <c r="C369" s="368" t="s">
        <v>958</v>
      </c>
    </row>
    <row r="370" spans="3:34" x14ac:dyDescent="0.25">
      <c r="C370" s="364"/>
      <c r="D370" s="364"/>
      <c r="E370" s="364"/>
      <c r="F370" s="364"/>
      <c r="G370" s="364"/>
      <c r="H370" s="356">
        <v>1211</v>
      </c>
      <c r="I370" s="362" t="str">
        <f t="shared" ref="I370:I375" si="156">IF(ISBLANK(H370)," ",IF(ISTEXT(H370)," ",IF(H370&lt;=1211,"МСМК",IF(H370&lt;=1356,"МС",IF(H370&lt;=1600,"КМС",IF(H370&lt;=1740,"I",IF(H370&lt;=1845,"II",IF(H370&lt;=1945,"III","б/р"))))))))</f>
        <v>МСМК</v>
      </c>
      <c r="J370" s="362" t="str">
        <f t="shared" ref="J370:J375" si="157">IF(ISBLANK(H370)," ",IF(ISTEXT(H370)," ",IF(H370&lt;=1211,"МСМК",IF(H370&lt;=1356,"МС",IF(H370&lt;=1600,"КМС",IF(H370&lt;=1740,"I",IF(H370&lt;=1845,"II",IF(H370&lt;=1945,"III","б/р"))))))))</f>
        <v>МСМК</v>
      </c>
      <c r="K370" s="629"/>
      <c r="L370" s="533">
        <f>H370</f>
        <v>1211</v>
      </c>
      <c r="M370" s="531" t="str">
        <f t="shared" ref="M370:M375" si="158">IF(ISBLANK(L370)," ",IF(ISTEXT(L370)," ",IF(L370&lt;=1211,"МСМК",IF(L370&lt;=1356,"МС",IF(L370&lt;=1559.8,"КМС",IF(L370&lt;=1739.8,"I",IF(L370&lt;=1844.8,"II",IF(L370&lt;=1944.8,"III","б/р"))))))))</f>
        <v>МСМК</v>
      </c>
      <c r="N370" s="531" t="str">
        <f t="shared" ref="N370:N375" si="159">IF(ISBLANK(L370)," ",IF(ISTEXT(L370)," ",IF(L370&lt;=1211,"МСМК",IF(L370&lt;=1356,"МС",IF(L370&lt;=1559.8,"КМС",IF(L370&lt;=1739.8,"I",IF(L370&lt;=1844.8,"II",IF(L370&lt;=1944.8,"III","б/р"))))))))</f>
        <v>МСМК</v>
      </c>
      <c r="O370" s="362"/>
      <c r="P370" s="537"/>
      <c r="Q370" s="537"/>
      <c r="R370" s="537"/>
      <c r="S370" s="537"/>
      <c r="T370" s="537"/>
      <c r="U370" s="537"/>
      <c r="V370" s="537"/>
      <c r="W370" s="537"/>
      <c r="X370" s="537"/>
      <c r="Y370" s="537"/>
      <c r="Z370" s="537"/>
      <c r="AA370" s="537"/>
      <c r="AB370" s="537"/>
      <c r="AC370" s="537"/>
      <c r="AD370" s="537"/>
      <c r="AE370" s="537"/>
      <c r="AF370" s="537"/>
      <c r="AG370" s="537"/>
      <c r="AH370" s="537"/>
    </row>
    <row r="371" spans="3:34" x14ac:dyDescent="0.25">
      <c r="C371" s="364"/>
      <c r="D371" s="364"/>
      <c r="E371" s="364"/>
      <c r="F371" s="364"/>
      <c r="G371" s="364"/>
      <c r="H371" s="356">
        <v>1356</v>
      </c>
      <c r="I371" s="362" t="str">
        <f t="shared" si="156"/>
        <v>МС</v>
      </c>
      <c r="J371" s="362" t="str">
        <f t="shared" si="157"/>
        <v>МС</v>
      </c>
      <c r="K371" s="629"/>
      <c r="L371" s="533">
        <f>H371</f>
        <v>1356</v>
      </c>
      <c r="M371" s="531" t="str">
        <f t="shared" si="158"/>
        <v>МС</v>
      </c>
      <c r="N371" s="531" t="str">
        <f t="shared" si="159"/>
        <v>МС</v>
      </c>
      <c r="O371" s="362"/>
      <c r="P371" s="537"/>
      <c r="Q371" s="537"/>
      <c r="R371" s="537"/>
      <c r="S371" s="537"/>
      <c r="T371" s="537"/>
      <c r="U371" s="537"/>
      <c r="V371" s="537"/>
      <c r="W371" s="537"/>
      <c r="X371" s="537"/>
      <c r="Y371" s="537"/>
      <c r="Z371" s="537"/>
      <c r="AA371" s="537"/>
      <c r="AB371" s="537"/>
      <c r="AC371" s="537"/>
      <c r="AD371" s="537"/>
      <c r="AE371" s="537"/>
      <c r="AF371" s="537"/>
      <c r="AG371" s="537"/>
      <c r="AH371" s="537"/>
    </row>
    <row r="372" spans="3:34" x14ac:dyDescent="0.25">
      <c r="C372" s="364"/>
      <c r="D372" s="364"/>
      <c r="E372" s="364"/>
      <c r="F372" s="364"/>
      <c r="G372" s="364"/>
      <c r="H372" s="356">
        <v>1600</v>
      </c>
      <c r="I372" s="362" t="str">
        <f t="shared" si="156"/>
        <v>КМС</v>
      </c>
      <c r="J372" s="362" t="str">
        <f t="shared" si="157"/>
        <v>КМС</v>
      </c>
      <c r="K372" s="629"/>
      <c r="L372" s="356">
        <f>H372-0.2-40</f>
        <v>1559.8</v>
      </c>
      <c r="M372" s="362" t="str">
        <f t="shared" si="158"/>
        <v>КМС</v>
      </c>
      <c r="N372" s="362" t="str">
        <f t="shared" si="159"/>
        <v>КМС</v>
      </c>
      <c r="O372" s="362"/>
      <c r="P372" s="537"/>
      <c r="Q372" s="537"/>
      <c r="R372" s="537"/>
      <c r="S372" s="537"/>
      <c r="T372" s="537"/>
      <c r="U372" s="537"/>
      <c r="V372" s="537"/>
      <c r="W372" s="537"/>
      <c r="X372" s="537"/>
      <c r="Y372" s="537"/>
      <c r="Z372" s="537"/>
      <c r="AA372" s="537"/>
      <c r="AB372" s="537"/>
      <c r="AC372" s="537"/>
      <c r="AD372" s="537"/>
      <c r="AE372" s="537"/>
      <c r="AF372" s="537"/>
      <c r="AG372" s="537"/>
      <c r="AH372" s="537"/>
    </row>
    <row r="373" spans="3:34" x14ac:dyDescent="0.25">
      <c r="C373" s="364"/>
      <c r="D373" s="364"/>
      <c r="E373" s="364"/>
      <c r="F373" s="364"/>
      <c r="G373" s="364"/>
      <c r="H373" s="356">
        <v>1740</v>
      </c>
      <c r="I373" s="362" t="str">
        <f t="shared" si="156"/>
        <v>I</v>
      </c>
      <c r="J373" s="362" t="str">
        <f t="shared" si="157"/>
        <v>I</v>
      </c>
      <c r="K373" s="629"/>
      <c r="L373" s="356">
        <f>H373-0.2</f>
        <v>1739.8</v>
      </c>
      <c r="M373" s="362" t="str">
        <f t="shared" si="158"/>
        <v>I</v>
      </c>
      <c r="N373" s="362" t="str">
        <f t="shared" si="159"/>
        <v>I</v>
      </c>
      <c r="O373" s="362"/>
      <c r="P373" s="537"/>
      <c r="Q373" s="537"/>
      <c r="R373" s="537"/>
      <c r="S373" s="537"/>
      <c r="T373" s="537"/>
      <c r="U373" s="537"/>
      <c r="V373" s="537"/>
      <c r="W373" s="537"/>
      <c r="X373" s="537"/>
      <c r="Y373" s="537"/>
      <c r="Z373" s="537"/>
      <c r="AA373" s="537"/>
      <c r="AB373" s="537"/>
      <c r="AC373" s="537"/>
      <c r="AD373" s="537"/>
      <c r="AE373" s="537"/>
      <c r="AF373" s="537"/>
      <c r="AG373" s="537"/>
      <c r="AH373" s="537"/>
    </row>
    <row r="374" spans="3:34" x14ac:dyDescent="0.25">
      <c r="C374" s="364"/>
      <c r="D374" s="364"/>
      <c r="E374" s="364"/>
      <c r="F374" s="364"/>
      <c r="G374" s="364"/>
      <c r="H374" s="356">
        <v>1845</v>
      </c>
      <c r="I374" s="362" t="str">
        <f t="shared" si="156"/>
        <v>II</v>
      </c>
      <c r="J374" s="362" t="str">
        <f t="shared" si="157"/>
        <v>II</v>
      </c>
      <c r="K374" s="629"/>
      <c r="L374" s="356">
        <f>H374-0.2</f>
        <v>1844.8</v>
      </c>
      <c r="M374" s="362" t="str">
        <f t="shared" si="158"/>
        <v>II</v>
      </c>
      <c r="N374" s="362" t="str">
        <f t="shared" si="159"/>
        <v>II</v>
      </c>
      <c r="O374" s="362"/>
      <c r="P374" s="537"/>
      <c r="Q374" s="537"/>
      <c r="R374" s="537"/>
      <c r="S374" s="537"/>
      <c r="T374" s="537"/>
      <c r="U374" s="537"/>
      <c r="V374" s="537"/>
      <c r="W374" s="537"/>
      <c r="X374" s="537"/>
      <c r="Y374" s="537"/>
      <c r="Z374" s="537"/>
      <c r="AA374" s="537"/>
      <c r="AB374" s="537"/>
      <c r="AC374" s="537"/>
      <c r="AD374" s="537"/>
      <c r="AE374" s="537"/>
      <c r="AF374" s="537"/>
      <c r="AG374" s="537"/>
      <c r="AH374" s="537"/>
    </row>
    <row r="375" spans="3:34" x14ac:dyDescent="0.25">
      <c r="C375" s="364"/>
      <c r="D375" s="364"/>
      <c r="E375" s="364"/>
      <c r="F375" s="364"/>
      <c r="G375" s="364"/>
      <c r="H375" s="356">
        <v>1945</v>
      </c>
      <c r="I375" s="362" t="str">
        <f t="shared" si="156"/>
        <v>III</v>
      </c>
      <c r="J375" s="362" t="str">
        <f t="shared" si="157"/>
        <v>III</v>
      </c>
      <c r="K375" s="629"/>
      <c r="L375" s="356">
        <f>H375-0.2</f>
        <v>1944.8</v>
      </c>
      <c r="M375" s="362" t="str">
        <f t="shared" si="158"/>
        <v>III</v>
      </c>
      <c r="N375" s="362" t="str">
        <f t="shared" si="159"/>
        <v>III</v>
      </c>
      <c r="O375" s="362"/>
      <c r="P375" s="537"/>
      <c r="Q375" s="537"/>
      <c r="R375" s="537"/>
      <c r="S375" s="537"/>
      <c r="T375" s="537"/>
      <c r="U375" s="537"/>
      <c r="V375" s="537"/>
      <c r="W375" s="537"/>
      <c r="X375" s="537"/>
      <c r="Y375" s="537"/>
      <c r="Z375" s="537"/>
      <c r="AA375" s="537"/>
      <c r="AB375" s="537"/>
      <c r="AC375" s="537"/>
      <c r="AD375" s="537"/>
      <c r="AE375" s="537"/>
      <c r="AF375" s="537"/>
      <c r="AG375" s="537"/>
      <c r="AH375" s="537"/>
    </row>
    <row r="376" spans="3:34" ht="15" customHeight="1" x14ac:dyDescent="0.25">
      <c r="C376" s="364"/>
      <c r="D376" s="364"/>
      <c r="E376" s="364"/>
      <c r="F376" s="364"/>
      <c r="G376" s="364"/>
      <c r="H376" s="363"/>
      <c r="I376" s="363"/>
      <c r="J376" s="364"/>
      <c r="K376" s="367"/>
    </row>
    <row r="377" spans="3:34" x14ac:dyDescent="0.25">
      <c r="C377" s="368" t="s">
        <v>958</v>
      </c>
    </row>
    <row r="378" spans="3:34" x14ac:dyDescent="0.25">
      <c r="C378" s="364"/>
      <c r="D378" s="364"/>
      <c r="E378" s="364"/>
      <c r="F378" s="364"/>
      <c r="G378" s="364"/>
      <c r="H378" s="356">
        <v>938</v>
      </c>
      <c r="I378" s="362" t="str">
        <f t="shared" ref="I378:I383" si="160">IF(ISBLANK(H378)," ",IF(ISTEXT(H378)," ",IF(H378&lt;=938,"МСМК",IF(H378&lt;=1009,"МС",IF(H378&lt;=1130,"КМС",IF(H378&lt;=1500,"I",IF(H378&lt;=1615,"II",IF(H378&lt;=1720,"III","б/р"))))))))</f>
        <v>МСМК</v>
      </c>
      <c r="J378" s="362" t="str">
        <f t="shared" ref="J378:J383" si="161">IF(ISBLANK(H378)," ",IF(ISTEXT(H378)," ",IF(H378&lt;=938,"МСМК",IF(H378&lt;=1009,"МС",IF(H378&lt;=1130,"КМС",IF(H378&lt;=1500,"I",IF(H378&lt;=1615,"II",IF(H378&lt;=1720,"III","б/р"))))))))</f>
        <v>МСМК</v>
      </c>
      <c r="K378" s="629"/>
      <c r="L378" s="533">
        <f>H378</f>
        <v>938</v>
      </c>
      <c r="M378" s="531" t="str">
        <f t="shared" ref="M378:M383" si="162">IF(ISBLANK(L378)," ",IF(ISTEXT(L378)," ",IF(L378&lt;=938,"МСМК",IF(L378&lt;=1009,"МС",IF(L378&lt;=1129.8,"КМС",IF(L378&lt;=1459.8,"I",IF(L378&lt;=1614.8,"II",IF(L378&lt;=1719.8,"III","б/р"))))))))</f>
        <v>МСМК</v>
      </c>
      <c r="N378" s="531" t="str">
        <f t="shared" ref="N378:N383" si="163">IF(ISBLANK(L378)," ",IF(ISTEXT(L378)," ",IF(L378&lt;=938,"МСМК",IF(L378&lt;=1009,"МС",IF(L378&lt;=1129.8,"КМС",IF(L378&lt;=1459.8,"I",IF(L378&lt;=1614.8,"II",IF(L378&lt;=1719.8,"III","б/р"))))))))</f>
        <v>МСМК</v>
      </c>
      <c r="O378" s="362"/>
      <c r="P378" s="537"/>
      <c r="Q378" s="537"/>
      <c r="R378" s="537"/>
      <c r="S378" s="537"/>
      <c r="T378" s="537"/>
      <c r="U378" s="537"/>
      <c r="V378" s="537"/>
      <c r="W378" s="537"/>
      <c r="X378" s="537"/>
      <c r="Y378" s="537"/>
      <c r="Z378" s="537"/>
      <c r="AA378" s="537"/>
      <c r="AB378" s="537"/>
      <c r="AC378" s="537"/>
      <c r="AD378" s="537"/>
      <c r="AE378" s="537"/>
      <c r="AF378" s="537"/>
      <c r="AG378" s="537"/>
      <c r="AH378" s="537"/>
    </row>
    <row r="379" spans="3:34" x14ac:dyDescent="0.25">
      <c r="C379" s="364"/>
      <c r="D379" s="364"/>
      <c r="E379" s="364"/>
      <c r="F379" s="364"/>
      <c r="G379" s="364"/>
      <c r="H379" s="356">
        <v>1009</v>
      </c>
      <c r="I379" s="362" t="str">
        <f t="shared" si="160"/>
        <v>МС</v>
      </c>
      <c r="J379" s="362" t="str">
        <f t="shared" si="161"/>
        <v>МС</v>
      </c>
      <c r="K379" s="629"/>
      <c r="L379" s="533">
        <f>H379</f>
        <v>1009</v>
      </c>
      <c r="M379" s="531" t="str">
        <f t="shared" si="162"/>
        <v>МС</v>
      </c>
      <c r="N379" s="531" t="str">
        <f t="shared" si="163"/>
        <v>МС</v>
      </c>
      <c r="O379" s="362"/>
      <c r="P379" s="537"/>
      <c r="Q379" s="537"/>
      <c r="R379" s="537"/>
      <c r="S379" s="537"/>
      <c r="T379" s="537"/>
      <c r="U379" s="537"/>
      <c r="V379" s="537"/>
      <c r="W379" s="537"/>
      <c r="X379" s="537"/>
      <c r="Y379" s="537"/>
      <c r="Z379" s="537"/>
      <c r="AA379" s="537"/>
      <c r="AB379" s="537"/>
      <c r="AC379" s="537"/>
      <c r="AD379" s="537"/>
      <c r="AE379" s="537"/>
      <c r="AF379" s="537"/>
      <c r="AG379" s="537"/>
      <c r="AH379" s="537"/>
    </row>
    <row r="380" spans="3:34" x14ac:dyDescent="0.25">
      <c r="C380" s="364"/>
      <c r="D380" s="364"/>
      <c r="E380" s="364"/>
      <c r="F380" s="364"/>
      <c r="G380" s="364"/>
      <c r="H380" s="356">
        <v>1130</v>
      </c>
      <c r="I380" s="362" t="str">
        <f t="shared" si="160"/>
        <v>КМС</v>
      </c>
      <c r="J380" s="362" t="str">
        <f t="shared" si="161"/>
        <v>КМС</v>
      </c>
      <c r="K380" s="629"/>
      <c r="L380" s="356">
        <f>H380-0.2</f>
        <v>1129.8</v>
      </c>
      <c r="M380" s="362" t="str">
        <f t="shared" si="162"/>
        <v>КМС</v>
      </c>
      <c r="N380" s="362" t="str">
        <f t="shared" si="163"/>
        <v>КМС</v>
      </c>
      <c r="O380" s="362"/>
      <c r="P380" s="537"/>
      <c r="Q380" s="537"/>
      <c r="R380" s="537"/>
      <c r="S380" s="537"/>
      <c r="T380" s="537"/>
      <c r="U380" s="537"/>
      <c r="V380" s="537"/>
      <c r="W380" s="537"/>
      <c r="X380" s="537"/>
      <c r="Y380" s="537"/>
      <c r="Z380" s="537"/>
      <c r="AA380" s="537"/>
      <c r="AB380" s="537"/>
      <c r="AC380" s="537"/>
      <c r="AD380" s="537"/>
      <c r="AE380" s="537"/>
      <c r="AF380" s="537"/>
      <c r="AG380" s="537"/>
      <c r="AH380" s="537"/>
    </row>
    <row r="381" spans="3:34" x14ac:dyDescent="0.25">
      <c r="C381" s="364"/>
      <c r="D381" s="364"/>
      <c r="E381" s="364"/>
      <c r="F381" s="364"/>
      <c r="G381" s="364"/>
      <c r="H381" s="356">
        <v>1500</v>
      </c>
      <c r="I381" s="362" t="str">
        <f t="shared" si="160"/>
        <v>I</v>
      </c>
      <c r="J381" s="362" t="str">
        <f t="shared" si="161"/>
        <v>I</v>
      </c>
      <c r="K381" s="629"/>
      <c r="L381" s="356">
        <f>H381-0.2-40</f>
        <v>1459.8</v>
      </c>
      <c r="M381" s="362" t="str">
        <f t="shared" si="162"/>
        <v>I</v>
      </c>
      <c r="N381" s="362" t="str">
        <f t="shared" si="163"/>
        <v>I</v>
      </c>
      <c r="O381" s="362"/>
      <c r="P381" s="537"/>
      <c r="Q381" s="537"/>
      <c r="R381" s="537"/>
      <c r="S381" s="537"/>
      <c r="T381" s="537"/>
      <c r="U381" s="537"/>
      <c r="V381" s="537"/>
      <c r="W381" s="537"/>
      <c r="X381" s="537"/>
      <c r="Y381" s="537"/>
      <c r="Z381" s="537"/>
      <c r="AA381" s="537"/>
      <c r="AB381" s="537"/>
      <c r="AC381" s="537"/>
      <c r="AD381" s="537"/>
      <c r="AE381" s="537"/>
      <c r="AF381" s="537"/>
      <c r="AG381" s="537"/>
      <c r="AH381" s="537"/>
    </row>
    <row r="382" spans="3:34" x14ac:dyDescent="0.25">
      <c r="C382" s="364"/>
      <c r="D382" s="364"/>
      <c r="E382" s="364"/>
      <c r="F382" s="364"/>
      <c r="G382" s="364"/>
      <c r="H382" s="356">
        <v>1615</v>
      </c>
      <c r="I382" s="362" t="str">
        <f t="shared" si="160"/>
        <v>II</v>
      </c>
      <c r="J382" s="362" t="str">
        <f t="shared" si="161"/>
        <v>II</v>
      </c>
      <c r="K382" s="629"/>
      <c r="L382" s="356">
        <f>H382-0.2</f>
        <v>1614.8</v>
      </c>
      <c r="M382" s="362" t="str">
        <f t="shared" si="162"/>
        <v>II</v>
      </c>
      <c r="N382" s="362" t="str">
        <f t="shared" si="163"/>
        <v>II</v>
      </c>
      <c r="O382" s="362"/>
      <c r="P382" s="537"/>
      <c r="Q382" s="537"/>
      <c r="R382" s="537"/>
      <c r="S382" s="537"/>
      <c r="T382" s="537"/>
      <c r="U382" s="537"/>
      <c r="V382" s="537"/>
      <c r="W382" s="537"/>
      <c r="X382" s="537"/>
      <c r="Y382" s="537"/>
      <c r="Z382" s="537"/>
      <c r="AA382" s="537"/>
      <c r="AB382" s="537"/>
      <c r="AC382" s="537"/>
      <c r="AD382" s="537"/>
      <c r="AE382" s="537"/>
      <c r="AF382" s="537"/>
      <c r="AG382" s="537"/>
      <c r="AH382" s="537"/>
    </row>
    <row r="383" spans="3:34" x14ac:dyDescent="0.25">
      <c r="C383" s="364"/>
      <c r="D383" s="364"/>
      <c r="E383" s="364"/>
      <c r="F383" s="364"/>
      <c r="G383" s="364"/>
      <c r="H383" s="356">
        <v>1720</v>
      </c>
      <c r="I383" s="362" t="str">
        <f t="shared" si="160"/>
        <v>III</v>
      </c>
      <c r="J383" s="362" t="str">
        <f t="shared" si="161"/>
        <v>III</v>
      </c>
      <c r="K383" s="629"/>
      <c r="L383" s="356">
        <f>H383-0.2</f>
        <v>1719.8</v>
      </c>
      <c r="M383" s="362" t="str">
        <f t="shared" si="162"/>
        <v>III</v>
      </c>
      <c r="N383" s="362" t="str">
        <f t="shared" si="163"/>
        <v>III</v>
      </c>
      <c r="O383" s="362"/>
      <c r="P383" s="537"/>
      <c r="Q383" s="537"/>
      <c r="R383" s="537"/>
      <c r="S383" s="537"/>
      <c r="T383" s="537"/>
      <c r="U383" s="537"/>
      <c r="V383" s="537"/>
      <c r="W383" s="537"/>
      <c r="X383" s="537"/>
      <c r="Y383" s="537"/>
      <c r="Z383" s="537"/>
      <c r="AA383" s="537"/>
      <c r="AB383" s="537"/>
      <c r="AC383" s="537"/>
      <c r="AD383" s="537"/>
      <c r="AE383" s="537"/>
      <c r="AF383" s="537"/>
      <c r="AG383" s="537"/>
      <c r="AH383" s="537"/>
    </row>
    <row r="384" spans="3:34" ht="15" customHeight="1" x14ac:dyDescent="0.25">
      <c r="C384" s="364"/>
      <c r="D384" s="364"/>
      <c r="E384" s="364"/>
      <c r="F384" s="364"/>
      <c r="G384" s="364"/>
      <c r="H384" s="363"/>
      <c r="I384" s="363"/>
      <c r="J384" s="364"/>
      <c r="K384" s="367"/>
    </row>
    <row r="385" spans="1:12" ht="15" customHeight="1" x14ac:dyDescent="0.25">
      <c r="C385" s="368" t="s">
        <v>654</v>
      </c>
      <c r="D385" s="364"/>
      <c r="E385" s="364"/>
      <c r="F385" s="364"/>
      <c r="G385" s="364"/>
      <c r="H385" s="363"/>
      <c r="I385" s="363"/>
      <c r="J385" s="364"/>
      <c r="K385" s="367"/>
    </row>
    <row r="386" spans="1:12" ht="15" customHeight="1" x14ac:dyDescent="0.25">
      <c r="C386" s="368"/>
      <c r="D386" s="364"/>
      <c r="E386" s="364"/>
      <c r="F386" s="364"/>
      <c r="G386" s="364"/>
      <c r="H386" s="363"/>
      <c r="I386" s="363"/>
      <c r="J386" s="364"/>
      <c r="K386" s="367"/>
    </row>
    <row r="387" spans="1:12" ht="15" customHeight="1" x14ac:dyDescent="0.25">
      <c r="C387" s="368" t="s">
        <v>655</v>
      </c>
      <c r="D387" s="364"/>
      <c r="E387" s="364"/>
      <c r="F387" s="364"/>
      <c r="G387" s="364"/>
      <c r="H387" s="363"/>
      <c r="I387" s="363"/>
      <c r="J387" s="364"/>
      <c r="K387" s="367"/>
    </row>
    <row r="388" spans="1:12" ht="15" customHeight="1" x14ac:dyDescent="0.25">
      <c r="C388" s="368"/>
      <c r="D388" s="364"/>
      <c r="E388" s="364"/>
      <c r="F388" s="364"/>
      <c r="G388" s="364"/>
      <c r="H388" s="363"/>
      <c r="I388" s="363"/>
      <c r="J388" s="364"/>
      <c r="K388" s="367"/>
    </row>
    <row r="389" spans="1:12" ht="15" customHeight="1" x14ac:dyDescent="0.25">
      <c r="C389" s="368" t="s">
        <v>656</v>
      </c>
      <c r="D389" s="364"/>
      <c r="E389" s="364"/>
      <c r="F389" s="364"/>
      <c r="G389" s="364"/>
      <c r="H389" s="363"/>
      <c r="I389" s="363"/>
      <c r="J389" s="364"/>
      <c r="K389" s="367"/>
    </row>
    <row r="390" spans="1:12" ht="15" customHeight="1" x14ac:dyDescent="0.25">
      <c r="C390" s="368"/>
      <c r="D390" s="364"/>
      <c r="E390" s="364"/>
      <c r="F390" s="364"/>
      <c r="G390" s="364"/>
      <c r="H390" s="363"/>
      <c r="I390" s="363"/>
      <c r="J390" s="364"/>
      <c r="K390" s="367"/>
    </row>
    <row r="391" spans="1:12" ht="15" customHeight="1" x14ac:dyDescent="0.25">
      <c r="C391" s="368"/>
      <c r="D391" s="364"/>
      <c r="E391" s="364"/>
      <c r="F391" s="364"/>
      <c r="G391" s="364"/>
      <c r="H391" s="363"/>
      <c r="I391" s="363"/>
      <c r="J391" s="364"/>
      <c r="K391" s="367"/>
    </row>
    <row r="392" spans="1:12" ht="15" customHeight="1" x14ac:dyDescent="0.25">
      <c r="C392" s="368"/>
      <c r="D392" s="364"/>
      <c r="E392" s="364"/>
      <c r="F392" s="364"/>
      <c r="G392" s="364"/>
      <c r="H392" s="363"/>
      <c r="I392" s="363"/>
      <c r="J392" s="364"/>
      <c r="K392" s="367"/>
    </row>
    <row r="393" spans="1:12" ht="15" customHeight="1" x14ac:dyDescent="0.25">
      <c r="C393" s="368"/>
      <c r="D393" s="364"/>
      <c r="E393" s="364"/>
      <c r="F393" s="364"/>
      <c r="G393" s="364"/>
      <c r="H393" s="363"/>
      <c r="I393" s="363"/>
      <c r="J393" s="364"/>
      <c r="K393" s="367"/>
    </row>
    <row r="394" spans="1:12" ht="14.25" customHeight="1" x14ac:dyDescent="0.25">
      <c r="C394" s="368" t="s">
        <v>108</v>
      </c>
      <c r="D394" s="364"/>
      <c r="E394" s="364"/>
      <c r="F394" s="364"/>
      <c r="G394" s="364"/>
      <c r="H394" s="363"/>
      <c r="I394" s="363"/>
      <c r="J394" s="364"/>
      <c r="K394" s="367"/>
    </row>
    <row r="395" spans="1:12" ht="15" customHeight="1" x14ac:dyDescent="0.25">
      <c r="C395" s="546"/>
      <c r="D395" s="355"/>
      <c r="E395" s="406"/>
      <c r="F395" s="546"/>
      <c r="G395" s="546"/>
      <c r="H395" s="356" t="s">
        <v>323</v>
      </c>
      <c r="I395" s="356"/>
      <c r="J395" s="364"/>
      <c r="K395" s="367"/>
    </row>
    <row r="396" spans="1:12" s="372" customFormat="1" ht="51.75" customHeight="1" x14ac:dyDescent="0.3">
      <c r="A396" s="373"/>
      <c r="B396" s="372" t="s">
        <v>959</v>
      </c>
      <c r="C396" s="372" t="s">
        <v>960</v>
      </c>
      <c r="D396" s="372" t="s">
        <v>970</v>
      </c>
      <c r="E396" s="372" t="s">
        <v>971</v>
      </c>
      <c r="K396" s="622"/>
      <c r="L396" s="622"/>
    </row>
    <row r="397" spans="1:12" ht="15" customHeight="1" x14ac:dyDescent="0.25">
      <c r="A397" s="406">
        <v>1</v>
      </c>
      <c r="B397" s="362" t="str">
        <f>IF(ISBLANK($A397)," ",IF(ISTEXT($A397)," ",IF($A397&lt;=2,"МСМК"," ")))</f>
        <v>МСМК</v>
      </c>
      <c r="C397" s="362" t="str">
        <f>IF(ISBLANK($A397)," ",IF(ISTEXT($A397)," ",IF($A397&lt;=1,"МСМК"," ")))</f>
        <v>МСМК</v>
      </c>
      <c r="D397" s="362" t="str">
        <f>IF(ISBLANK($A397)," ",IF(ISTEXT($A397)," ",IF($A397&lt;=3,"МС"," ")))</f>
        <v>МС</v>
      </c>
      <c r="E397" s="362" t="str">
        <f>IF(ISBLANK($A397)," ",IF(ISTEXT($A397)," ",IF($A397&lt;=2,"МС"," ")))</f>
        <v>МС</v>
      </c>
      <c r="F397" s="546"/>
      <c r="G397" s="546"/>
      <c r="H397" s="116"/>
      <c r="I397" s="362"/>
      <c r="J397" s="355"/>
      <c r="K397" s="355"/>
      <c r="L397" s="360"/>
    </row>
    <row r="398" spans="1:12" ht="15" customHeight="1" x14ac:dyDescent="0.25">
      <c r="A398" s="406">
        <v>2</v>
      </c>
      <c r="B398" s="362" t="str">
        <f t="shared" ref="B398:B405" si="164">IF(ISBLANK($A398)," ",IF(ISTEXT($A398)," ",IF($A398&lt;=2,"МСМК"," ")))</f>
        <v>МСМК</v>
      </c>
      <c r="C398" s="362" t="str">
        <f t="shared" ref="C398:C405" si="165">IF(ISBLANK($A398)," ",IF(ISTEXT($A398)," ",IF($A398&lt;=1,"МСМК"," ")))</f>
        <v xml:space="preserve"> </v>
      </c>
      <c r="D398" s="362" t="str">
        <f t="shared" ref="D398:D405" si="166">IF(ISBLANK($A398)," ",IF(ISTEXT($A398)," ",IF($A398&lt;=3,"МС"," ")))</f>
        <v>МС</v>
      </c>
      <c r="E398" s="362" t="str">
        <f t="shared" ref="E398:E405" si="167">IF(ISBLANK($A398)," ",IF(ISTEXT($A398)," ",IF($A398&lt;=2,"МС"," ")))</f>
        <v>МС</v>
      </c>
      <c r="F398" s="546"/>
      <c r="G398" s="546"/>
      <c r="H398" s="116"/>
      <c r="I398" s="362"/>
      <c r="J398" s="355"/>
      <c r="K398" s="355"/>
      <c r="L398" s="360"/>
    </row>
    <row r="399" spans="1:12" ht="15" customHeight="1" x14ac:dyDescent="0.25">
      <c r="A399" s="406">
        <v>3</v>
      </c>
      <c r="B399" s="362" t="str">
        <f t="shared" si="164"/>
        <v xml:space="preserve"> </v>
      </c>
      <c r="C399" s="362" t="str">
        <f t="shared" si="165"/>
        <v xml:space="preserve"> </v>
      </c>
      <c r="D399" s="362" t="str">
        <f t="shared" si="166"/>
        <v>МС</v>
      </c>
      <c r="E399" s="362" t="str">
        <f t="shared" si="167"/>
        <v xml:space="preserve"> </v>
      </c>
      <c r="F399" s="546"/>
      <c r="G399" s="546"/>
      <c r="H399" s="116"/>
      <c r="I399" s="362"/>
      <c r="J399" s="355"/>
      <c r="K399" s="355"/>
      <c r="L399" s="360"/>
    </row>
    <row r="400" spans="1:12" ht="15" customHeight="1" x14ac:dyDescent="0.25">
      <c r="A400" s="406">
        <v>4</v>
      </c>
      <c r="B400" s="362" t="str">
        <f t="shared" si="164"/>
        <v xml:space="preserve"> </v>
      </c>
      <c r="C400" s="362" t="str">
        <f t="shared" si="165"/>
        <v xml:space="preserve"> </v>
      </c>
      <c r="D400" s="362" t="str">
        <f t="shared" si="166"/>
        <v xml:space="preserve"> </v>
      </c>
      <c r="E400" s="362" t="str">
        <f t="shared" si="167"/>
        <v xml:space="preserve"> </v>
      </c>
      <c r="F400" s="546"/>
      <c r="G400" s="546"/>
      <c r="H400" s="116"/>
      <c r="I400" s="362"/>
      <c r="J400" s="355"/>
      <c r="K400" s="355"/>
      <c r="L400" s="360"/>
    </row>
    <row r="401" spans="1:19" ht="15" customHeight="1" x14ac:dyDescent="0.25">
      <c r="A401" s="406">
        <v>5</v>
      </c>
      <c r="B401" s="362" t="str">
        <f t="shared" si="164"/>
        <v xml:space="preserve"> </v>
      </c>
      <c r="C401" s="362" t="str">
        <f t="shared" si="165"/>
        <v xml:space="preserve"> </v>
      </c>
      <c r="D401" s="362" t="str">
        <f t="shared" si="166"/>
        <v xml:space="preserve"> </v>
      </c>
      <c r="E401" s="362" t="str">
        <f t="shared" si="167"/>
        <v xml:space="preserve"> </v>
      </c>
      <c r="F401" s="546"/>
      <c r="G401" s="546"/>
      <c r="H401" s="116"/>
      <c r="I401" s="362"/>
      <c r="J401" s="355"/>
      <c r="K401" s="355"/>
      <c r="L401" s="360"/>
    </row>
    <row r="402" spans="1:19" ht="15" customHeight="1" x14ac:dyDescent="0.25">
      <c r="A402" s="406">
        <v>6</v>
      </c>
      <c r="B402" s="362" t="str">
        <f t="shared" si="164"/>
        <v xml:space="preserve"> </v>
      </c>
      <c r="C402" s="362" t="str">
        <f t="shared" si="165"/>
        <v xml:space="preserve"> </v>
      </c>
      <c r="D402" s="362" t="str">
        <f t="shared" si="166"/>
        <v xml:space="preserve"> </v>
      </c>
      <c r="E402" s="362" t="str">
        <f t="shared" si="167"/>
        <v xml:space="preserve"> </v>
      </c>
      <c r="F402" s="546"/>
      <c r="G402" s="546"/>
      <c r="H402" s="116"/>
      <c r="I402" s="362"/>
      <c r="J402" s="355"/>
      <c r="K402" s="355"/>
      <c r="L402" s="360"/>
    </row>
    <row r="403" spans="1:19" ht="15" customHeight="1" x14ac:dyDescent="0.25">
      <c r="A403" s="406">
        <v>7</v>
      </c>
      <c r="B403" s="362" t="str">
        <f t="shared" si="164"/>
        <v xml:space="preserve"> </v>
      </c>
      <c r="C403" s="362" t="str">
        <f t="shared" si="165"/>
        <v xml:space="preserve"> </v>
      </c>
      <c r="D403" s="362" t="str">
        <f t="shared" si="166"/>
        <v xml:space="preserve"> </v>
      </c>
      <c r="E403" s="362" t="str">
        <f t="shared" si="167"/>
        <v xml:space="preserve"> </v>
      </c>
      <c r="F403" s="546"/>
      <c r="G403" s="546"/>
      <c r="H403" s="116"/>
      <c r="I403" s="362"/>
      <c r="J403" s="355"/>
      <c r="K403" s="355"/>
      <c r="L403" s="360"/>
    </row>
    <row r="404" spans="1:19" ht="15" customHeight="1" x14ac:dyDescent="0.25">
      <c r="A404" s="406">
        <v>8</v>
      </c>
      <c r="B404" s="362" t="str">
        <f t="shared" si="164"/>
        <v xml:space="preserve"> </v>
      </c>
      <c r="C404" s="362" t="str">
        <f t="shared" si="165"/>
        <v xml:space="preserve"> </v>
      </c>
      <c r="D404" s="362" t="str">
        <f t="shared" si="166"/>
        <v xml:space="preserve"> </v>
      </c>
      <c r="E404" s="362" t="str">
        <f t="shared" si="167"/>
        <v xml:space="preserve"> </v>
      </c>
      <c r="F404" s="546"/>
      <c r="G404" s="546"/>
      <c r="H404" s="116"/>
      <c r="I404" s="362"/>
      <c r="J404" s="355"/>
      <c r="K404" s="355"/>
      <c r="L404" s="360"/>
    </row>
    <row r="405" spans="1:19" ht="14.25" customHeight="1" x14ac:dyDescent="0.25">
      <c r="A405" s="406">
        <v>9</v>
      </c>
      <c r="B405" s="362" t="str">
        <f t="shared" si="164"/>
        <v xml:space="preserve"> </v>
      </c>
      <c r="C405" s="362" t="str">
        <f t="shared" si="165"/>
        <v xml:space="preserve"> </v>
      </c>
      <c r="D405" s="362" t="str">
        <f t="shared" si="166"/>
        <v xml:space="preserve"> </v>
      </c>
      <c r="E405" s="362" t="str">
        <f t="shared" si="167"/>
        <v xml:space="preserve"> </v>
      </c>
      <c r="F405" s="364"/>
      <c r="G405" s="364"/>
      <c r="H405" s="363"/>
      <c r="I405" s="363"/>
      <c r="J405" s="364"/>
      <c r="K405" s="367"/>
    </row>
    <row r="406" spans="1:19" ht="14.25" customHeight="1" x14ac:dyDescent="0.25">
      <c r="C406" s="368" t="s">
        <v>963</v>
      </c>
      <c r="D406" s="364"/>
      <c r="E406" s="364"/>
      <c r="F406" s="364"/>
      <c r="G406" s="364"/>
      <c r="H406" s="363"/>
      <c r="I406" s="363"/>
      <c r="J406" s="364"/>
      <c r="K406" s="367"/>
    </row>
    <row r="407" spans="1:19" ht="14.25" customHeight="1" x14ac:dyDescent="0.25">
      <c r="C407" s="368" t="s">
        <v>965</v>
      </c>
      <c r="D407" s="364"/>
      <c r="E407" s="364"/>
      <c r="F407" s="364"/>
      <c r="G407" s="364"/>
      <c r="H407" s="363"/>
      <c r="I407" s="363"/>
      <c r="J407" s="364"/>
      <c r="K407" s="367"/>
    </row>
    <row r="408" spans="1:19" ht="14.25" customHeight="1" x14ac:dyDescent="0.25">
      <c r="C408" s="368" t="s">
        <v>964</v>
      </c>
      <c r="D408" s="364"/>
      <c r="E408" s="364"/>
      <c r="F408" s="364"/>
      <c r="G408" s="364"/>
      <c r="H408" s="363"/>
      <c r="I408" s="363"/>
      <c r="J408" s="364"/>
      <c r="K408" s="367"/>
    </row>
    <row r="409" spans="1:19" ht="14.25" customHeight="1" x14ac:dyDescent="0.25">
      <c r="C409" s="368" t="s">
        <v>966</v>
      </c>
      <c r="D409" s="364"/>
      <c r="E409" s="364"/>
      <c r="F409" s="364"/>
      <c r="G409" s="364"/>
      <c r="H409" s="363"/>
      <c r="I409" s="363"/>
      <c r="J409" s="364"/>
      <c r="K409" s="367"/>
    </row>
    <row r="410" spans="1:19" x14ac:dyDescent="0.25">
      <c r="C410" s="368" t="s">
        <v>962</v>
      </c>
    </row>
    <row r="411" spans="1:19" x14ac:dyDescent="0.25">
      <c r="C411" s="368" t="s">
        <v>961</v>
      </c>
    </row>
    <row r="412" spans="1:19" x14ac:dyDescent="0.25">
      <c r="C412" s="368" t="s">
        <v>967</v>
      </c>
    </row>
    <row r="413" spans="1:19" x14ac:dyDescent="0.25">
      <c r="C413" s="368" t="s">
        <v>968</v>
      </c>
    </row>
    <row r="414" spans="1:19" x14ac:dyDescent="0.25">
      <c r="C414" s="368" t="s">
        <v>969</v>
      </c>
    </row>
    <row r="415" spans="1:19" s="372" customFormat="1" ht="83.25" customHeight="1" x14ac:dyDescent="0.3">
      <c r="A415" s="373"/>
      <c r="B415" s="372" t="s">
        <v>959</v>
      </c>
      <c r="C415" s="372" t="s">
        <v>960</v>
      </c>
      <c r="D415" s="372" t="s">
        <v>330</v>
      </c>
      <c r="E415" s="372" t="s">
        <v>977</v>
      </c>
      <c r="F415" s="372" t="s">
        <v>976</v>
      </c>
      <c r="G415" s="372" t="s">
        <v>978</v>
      </c>
      <c r="H415" s="372" t="s">
        <v>331</v>
      </c>
      <c r="I415" s="372" t="s">
        <v>332</v>
      </c>
      <c r="J415" s="372" t="s">
        <v>333</v>
      </c>
      <c r="K415" s="622" t="s">
        <v>334</v>
      </c>
      <c r="L415" s="372" t="s">
        <v>335</v>
      </c>
      <c r="M415" s="372" t="s">
        <v>972</v>
      </c>
      <c r="N415" s="372" t="s">
        <v>336</v>
      </c>
      <c r="O415" s="372" t="s">
        <v>337</v>
      </c>
      <c r="P415" s="372" t="s">
        <v>974</v>
      </c>
      <c r="Q415" s="372" t="s">
        <v>973</v>
      </c>
      <c r="R415" s="372" t="s">
        <v>975</v>
      </c>
      <c r="S415" s="372" t="s">
        <v>338</v>
      </c>
    </row>
    <row r="416" spans="1:19" ht="15" customHeight="1" x14ac:dyDescent="0.25">
      <c r="A416" s="406">
        <v>1</v>
      </c>
      <c r="B416" s="360" t="str">
        <f>IF($A416&lt;7,"МСМК"," ")</f>
        <v>МСМК</v>
      </c>
      <c r="C416" s="360" t="str">
        <f>IF($A416&lt;5,"МСМК"," ")</f>
        <v>МСМК</v>
      </c>
      <c r="D416" s="362" t="str">
        <f t="shared" ref="D416:D421" si="168">IF(ISBLANK($A416)," ",IF(ISTEXT($A416)," ",IF($A416&lt;=1,"МСМК"," ")))</f>
        <v>МСМК</v>
      </c>
      <c r="E416" s="362" t="str">
        <f>IF(ISBLANK($A416)," ",IF(ISTEXT($A416)," ",IF($A416&lt;=6,"МС"," ")))</f>
        <v>МС</v>
      </c>
      <c r="F416" s="362" t="str">
        <f>IF(ISBLANK($A416)," ",IF(ISTEXT($A416)," ",IF($A416&lt;=4,"МС"," ")))</f>
        <v>МС</v>
      </c>
      <c r="G416" s="362" t="str">
        <f>IF(ISBLANK($A416)," ",IF(ISTEXT($A416)," ",IF($A416&lt;=2,"МС",IF($A416&lt;=6,"КМС"," "))))</f>
        <v>МС</v>
      </c>
      <c r="H416" s="362" t="str">
        <f>IF(ISBLANK($A416)," ",IF(ISTEXT($A416)," ",IF($A416&lt;=4,"МС",IF($A416&lt;=8,"КМС"," "))))</f>
        <v>МС</v>
      </c>
      <c r="I416" s="362" t="str">
        <f>IF(ISBLANK($A416)," ",IF(ISTEXT($A416)," ",IF($A416&lt;=3,"МС",IF($A416&lt;=6,"КМС"," "))))</f>
        <v>МС</v>
      </c>
      <c r="J416" s="362" t="str">
        <f>IF(ISBLANK($A416)," ",IF(ISTEXT($A416)," ",IF($A416&lt;=4,"КМС"," ")))</f>
        <v>КМС</v>
      </c>
      <c r="K416" s="362" t="str">
        <f>IF(ISBLANK($A416)," ",IF(ISTEXT($A416)," ",IF($A416&lt;=2,"МС",IF($A416&lt;=4,"КМС"," "))))</f>
        <v>МС</v>
      </c>
      <c r="L416" s="362" t="str">
        <f>IF(ISBLANK($A416)," ",IF(ISTEXT($A416)," ",IF($A416&lt;=1,"КМС",IF($A416&lt;=4,"I"," "))))</f>
        <v>КМС</v>
      </c>
      <c r="M416" s="362" t="str">
        <f>IF(ISBLANK($A416)," ",IF(ISTEXT($A416)," ",IF($A416&lt;=2,"I",IF($A416&lt;=4,"II",IF($A416&lt;=6,"III"," ")))))</f>
        <v>I</v>
      </c>
      <c r="N416" s="362" t="str">
        <f t="shared" ref="N416:N421" si="169">IF(ISBLANK($A416)," ",IF(ISTEXT($A416)," ",IF($A416&lt;=1,"КМС",IF($A416&lt;=4,"I"," "))))</f>
        <v>КМС</v>
      </c>
      <c r="O416" s="362" t="str">
        <f>IF(ISBLANK($A416)," ",IF(ISTEXT($A416)," ",IF($A416&lt;=2,"I",IF($A416&lt;=4,"II",IF($A416&lt;=6,"III"," ")))))</f>
        <v>I</v>
      </c>
      <c r="P416" s="362" t="str">
        <f>IF(ISBLANK($A416)," ",IF(ISTEXT($A416)," ",IF($A416&lt;=1,"I",IF($A416&lt;=3,"II",IF($A416&lt;=6,"III"," ")))))</f>
        <v>I</v>
      </c>
      <c r="Q416" s="362" t="str">
        <f t="shared" ref="Q416:Q424" si="170">IF(ISBLANK($A416)," ",IF(ISTEXT($A416)," ",IF($A416&lt;=3,"II",IF($A416&lt;=5,"III",IF($A416&lt;=7,"I юн"," ")))))</f>
        <v>II</v>
      </c>
      <c r="R416" s="362" t="str">
        <f>IF(ISBLANK($A416)," ",IF(ISTEXT($A416)," ",IF($A416&lt;=3,"III",IF($A416&lt;=6,"I юн",IF($A416&lt;=8,"II юн"," ")))))</f>
        <v>III</v>
      </c>
      <c r="S416" s="362" t="str">
        <f>IF(ISBLANK($A416)," ",IF(ISTEXT($A416)," ",IF($A416&lt;=3,"I юн",IF($A416&lt;=6,"II юн",IF($A416&lt;=9,"III юн"," ")))))</f>
        <v>I юн</v>
      </c>
    </row>
    <row r="417" spans="1:19" ht="15" customHeight="1" x14ac:dyDescent="0.25">
      <c r="A417" s="406">
        <v>2</v>
      </c>
      <c r="B417" s="360" t="str">
        <f t="shared" ref="B417:B424" si="171">IF($A417&lt;7,"МСМК"," ")</f>
        <v>МСМК</v>
      </c>
      <c r="C417" s="360" t="str">
        <f t="shared" ref="C417:C424" si="172">IF($A417&lt;5,"МСМК"," ")</f>
        <v>МСМК</v>
      </c>
      <c r="D417" s="362" t="str">
        <f t="shared" si="168"/>
        <v xml:space="preserve"> </v>
      </c>
      <c r="E417" s="362" t="str">
        <f t="shared" ref="E417:E425" si="173">IF(ISBLANK($A417)," ",IF(ISTEXT($A417)," ",IF($A417&lt;=6,"МС"," ")))</f>
        <v>МС</v>
      </c>
      <c r="F417" s="362" t="str">
        <f t="shared" ref="F417:F425" si="174">IF(ISBLANK($A417)," ",IF(ISTEXT($A417)," ",IF($A417&lt;=4,"МС"," ")))</f>
        <v>МС</v>
      </c>
      <c r="G417" s="362" t="str">
        <f t="shared" ref="G417:G425" si="175">IF(ISBLANK($A417)," ",IF(ISTEXT($A417)," ",IF($A417&lt;=2,"МС",IF($A417&lt;=6,"КМС"," "))))</f>
        <v>МС</v>
      </c>
      <c r="H417" s="362" t="str">
        <f t="shared" ref="H417:H425" si="176">IF(ISBLANK($A417)," ",IF(ISTEXT($A417)," ",IF($A417&lt;=4,"МС",IF($A417&lt;=8,"КМС"," "))))</f>
        <v>МС</v>
      </c>
      <c r="I417" s="362" t="str">
        <f t="shared" ref="I417:I425" si="177">IF(ISBLANK($A417)," ",IF(ISTEXT($A417)," ",IF($A417&lt;=3,"МС",IF($A417&lt;=6,"КМС"," "))))</f>
        <v>МС</v>
      </c>
      <c r="J417" s="362" t="str">
        <f t="shared" ref="J417:J425" si="178">IF(ISBLANK($A417)," ",IF(ISTEXT($A417)," ",IF($A417&lt;=4,"КМС"," ")))</f>
        <v>КМС</v>
      </c>
      <c r="K417" s="362" t="str">
        <f t="shared" ref="K417:L425" si="179">IF(ISBLANK($A417)," ",IF(ISTEXT($A417)," ",IF($A417&lt;=2,"МС",IF($A417&lt;=4,"КМС"," "))))</f>
        <v>МС</v>
      </c>
      <c r="L417" s="362" t="str">
        <f t="shared" ref="L417:L424" si="180">IF(ISBLANK($A417)," ",IF(ISTEXT($A417)," ",IF($A417&lt;=1,"КМС",IF($A417&lt;=4,"I"," "))))</f>
        <v>I</v>
      </c>
      <c r="M417" s="362" t="str">
        <f t="shared" ref="M417:M425" si="181">IF(ISBLANK($A417)," ",IF(ISTEXT($A417)," ",IF($A417&lt;=2,"I",IF($A417&lt;=4,"II",IF($A417&lt;=6,"III"," ")))))</f>
        <v>I</v>
      </c>
      <c r="N417" s="362" t="str">
        <f t="shared" si="169"/>
        <v>I</v>
      </c>
      <c r="O417" s="362" t="str">
        <f t="shared" ref="O417:O426" si="182">IF(ISBLANK($A417)," ",IF(ISTEXT($A417)," ",IF($A417&lt;=2,"I",IF($A417&lt;=4,"II",IF($A417&lt;=6,"III"," ")))))</f>
        <v>I</v>
      </c>
      <c r="P417" s="362" t="str">
        <f t="shared" ref="P417:P424" si="183">IF(ISBLANK($A417)," ",IF(ISTEXT($A417)," ",IF($A417&lt;=1,"I",IF($A417&lt;=3,"II",IF($A417&lt;=6,"III"," ")))))</f>
        <v>II</v>
      </c>
      <c r="Q417" s="362" t="str">
        <f t="shared" si="170"/>
        <v>II</v>
      </c>
      <c r="R417" s="362" t="str">
        <f>IF(ISBLANK($A417)," ",IF(ISTEXT($A417)," ",IF($A417&lt;=3,"III",IF($A417&lt;=6,"I юн",IF($A417&lt;=8,"II юн"," ")))))</f>
        <v>III</v>
      </c>
      <c r="S417" s="362" t="str">
        <f t="shared" ref="S417:S424" si="184">IF(ISBLANK($A417)," ",IF(ISTEXT($A417)," ",IF($A417&lt;=3,"I юн",IF($A417&lt;=6,"II юн",IF($A417&lt;=9,"III юн"," ")))))</f>
        <v>I юн</v>
      </c>
    </row>
    <row r="418" spans="1:19" ht="15" customHeight="1" x14ac:dyDescent="0.25">
      <c r="A418" s="406">
        <v>3</v>
      </c>
      <c r="B418" s="360" t="str">
        <f t="shared" si="171"/>
        <v>МСМК</v>
      </c>
      <c r="C418" s="360" t="str">
        <f t="shared" si="172"/>
        <v>МСМК</v>
      </c>
      <c r="D418" s="362" t="str">
        <f t="shared" si="168"/>
        <v xml:space="preserve"> </v>
      </c>
      <c r="E418" s="362" t="str">
        <f t="shared" si="173"/>
        <v>МС</v>
      </c>
      <c r="F418" s="362" t="str">
        <f t="shared" si="174"/>
        <v>МС</v>
      </c>
      <c r="G418" s="362" t="str">
        <f t="shared" si="175"/>
        <v>КМС</v>
      </c>
      <c r="H418" s="362" t="str">
        <f t="shared" si="176"/>
        <v>МС</v>
      </c>
      <c r="I418" s="362" t="str">
        <f t="shared" si="177"/>
        <v>МС</v>
      </c>
      <c r="J418" s="362" t="str">
        <f t="shared" si="178"/>
        <v>КМС</v>
      </c>
      <c r="K418" s="362" t="str">
        <f t="shared" si="179"/>
        <v>КМС</v>
      </c>
      <c r="L418" s="362" t="str">
        <f t="shared" si="180"/>
        <v>I</v>
      </c>
      <c r="M418" s="362" t="str">
        <f t="shared" si="181"/>
        <v>II</v>
      </c>
      <c r="N418" s="362" t="str">
        <f t="shared" si="169"/>
        <v>I</v>
      </c>
      <c r="O418" s="362" t="str">
        <f t="shared" si="182"/>
        <v>II</v>
      </c>
      <c r="P418" s="362" t="str">
        <f t="shared" si="183"/>
        <v>II</v>
      </c>
      <c r="Q418" s="362" t="str">
        <f t="shared" si="170"/>
        <v>II</v>
      </c>
      <c r="R418" s="362" t="str">
        <f t="shared" ref="R418:R425" si="185">IF(ISBLANK($A418)," ",IF(ISTEXT($A418)," ",IF($A418&lt;=3,"III",IF($A418&lt;=6,"I юн",IF($A418&lt;=8,"II юн"," ")))))</f>
        <v>III</v>
      </c>
      <c r="S418" s="362" t="str">
        <f t="shared" si="184"/>
        <v>I юн</v>
      </c>
    </row>
    <row r="419" spans="1:19" ht="15" customHeight="1" x14ac:dyDescent="0.25">
      <c r="A419" s="406">
        <v>4</v>
      </c>
      <c r="B419" s="360" t="str">
        <f t="shared" si="171"/>
        <v>МСМК</v>
      </c>
      <c r="C419" s="360" t="str">
        <f t="shared" si="172"/>
        <v>МСМК</v>
      </c>
      <c r="D419" s="362" t="str">
        <f t="shared" si="168"/>
        <v xml:space="preserve"> </v>
      </c>
      <c r="E419" s="362" t="str">
        <f t="shared" si="173"/>
        <v>МС</v>
      </c>
      <c r="F419" s="362" t="str">
        <f t="shared" si="174"/>
        <v>МС</v>
      </c>
      <c r="G419" s="362" t="str">
        <f t="shared" si="175"/>
        <v>КМС</v>
      </c>
      <c r="H419" s="362" t="str">
        <f t="shared" si="176"/>
        <v>МС</v>
      </c>
      <c r="I419" s="362" t="str">
        <f t="shared" si="177"/>
        <v>КМС</v>
      </c>
      <c r="J419" s="362" t="str">
        <f t="shared" si="178"/>
        <v>КМС</v>
      </c>
      <c r="K419" s="362" t="str">
        <f t="shared" si="179"/>
        <v>КМС</v>
      </c>
      <c r="L419" s="362" t="str">
        <f t="shared" si="180"/>
        <v>I</v>
      </c>
      <c r="M419" s="362" t="str">
        <f t="shared" si="181"/>
        <v>II</v>
      </c>
      <c r="N419" s="362" t="str">
        <f t="shared" si="169"/>
        <v>I</v>
      </c>
      <c r="O419" s="362" t="str">
        <f t="shared" si="182"/>
        <v>II</v>
      </c>
      <c r="P419" s="362" t="str">
        <f t="shared" si="183"/>
        <v>III</v>
      </c>
      <c r="Q419" s="362" t="str">
        <f t="shared" si="170"/>
        <v>III</v>
      </c>
      <c r="R419" s="362" t="str">
        <f t="shared" si="185"/>
        <v>I юн</v>
      </c>
      <c r="S419" s="362" t="str">
        <f t="shared" si="184"/>
        <v>II юн</v>
      </c>
    </row>
    <row r="420" spans="1:19" ht="15" customHeight="1" x14ac:dyDescent="0.25">
      <c r="A420" s="406">
        <v>5</v>
      </c>
      <c r="B420" s="360" t="str">
        <f t="shared" si="171"/>
        <v>МСМК</v>
      </c>
      <c r="C420" s="360" t="str">
        <f t="shared" si="172"/>
        <v xml:space="preserve"> </v>
      </c>
      <c r="D420" s="362" t="str">
        <f t="shared" si="168"/>
        <v xml:space="preserve"> </v>
      </c>
      <c r="E420" s="362" t="str">
        <f t="shared" si="173"/>
        <v>МС</v>
      </c>
      <c r="F420" s="362" t="str">
        <f t="shared" si="174"/>
        <v xml:space="preserve"> </v>
      </c>
      <c r="G420" s="362" t="str">
        <f t="shared" si="175"/>
        <v>КМС</v>
      </c>
      <c r="H420" s="362" t="str">
        <f t="shared" si="176"/>
        <v>КМС</v>
      </c>
      <c r="I420" s="362" t="str">
        <f t="shared" si="177"/>
        <v>КМС</v>
      </c>
      <c r="J420" s="362" t="str">
        <f t="shared" si="178"/>
        <v xml:space="preserve"> </v>
      </c>
      <c r="K420" s="362" t="str">
        <f t="shared" si="179"/>
        <v xml:space="preserve"> </v>
      </c>
      <c r="L420" s="362" t="str">
        <f t="shared" si="180"/>
        <v xml:space="preserve"> </v>
      </c>
      <c r="M420" s="362" t="str">
        <f t="shared" si="181"/>
        <v>III</v>
      </c>
      <c r="N420" s="362" t="str">
        <f t="shared" si="169"/>
        <v xml:space="preserve"> </v>
      </c>
      <c r="O420" s="362" t="str">
        <f t="shared" si="182"/>
        <v>III</v>
      </c>
      <c r="P420" s="362" t="str">
        <f t="shared" si="183"/>
        <v>III</v>
      </c>
      <c r="Q420" s="362" t="str">
        <f t="shared" si="170"/>
        <v>III</v>
      </c>
      <c r="R420" s="362" t="str">
        <f t="shared" si="185"/>
        <v>I юн</v>
      </c>
      <c r="S420" s="362" t="str">
        <f t="shared" si="184"/>
        <v>II юн</v>
      </c>
    </row>
    <row r="421" spans="1:19" ht="15" customHeight="1" x14ac:dyDescent="0.25">
      <c r="A421" s="406">
        <v>6</v>
      </c>
      <c r="B421" s="360" t="str">
        <f t="shared" si="171"/>
        <v>МСМК</v>
      </c>
      <c r="C421" s="360" t="str">
        <f t="shared" si="172"/>
        <v xml:space="preserve"> </v>
      </c>
      <c r="D421" s="362" t="str">
        <f t="shared" si="168"/>
        <v xml:space="preserve"> </v>
      </c>
      <c r="E421" s="362" t="str">
        <f t="shared" si="173"/>
        <v>МС</v>
      </c>
      <c r="F421" s="362" t="str">
        <f t="shared" si="174"/>
        <v xml:space="preserve"> </v>
      </c>
      <c r="G421" s="362" t="str">
        <f t="shared" si="175"/>
        <v>КМС</v>
      </c>
      <c r="H421" s="362" t="str">
        <f t="shared" si="176"/>
        <v>КМС</v>
      </c>
      <c r="I421" s="362" t="str">
        <f t="shared" si="177"/>
        <v>КМС</v>
      </c>
      <c r="J421" s="362" t="str">
        <f t="shared" si="178"/>
        <v xml:space="preserve"> </v>
      </c>
      <c r="K421" s="362" t="str">
        <f t="shared" si="179"/>
        <v xml:space="preserve"> </v>
      </c>
      <c r="L421" s="362" t="str">
        <f t="shared" si="180"/>
        <v xml:space="preserve"> </v>
      </c>
      <c r="M421" s="362" t="str">
        <f t="shared" si="181"/>
        <v>III</v>
      </c>
      <c r="N421" s="362" t="str">
        <f t="shared" si="169"/>
        <v xml:space="preserve"> </v>
      </c>
      <c r="O421" s="362" t="str">
        <f t="shared" si="182"/>
        <v>III</v>
      </c>
      <c r="P421" s="362" t="str">
        <f t="shared" si="183"/>
        <v>III</v>
      </c>
      <c r="Q421" s="362" t="str">
        <f t="shared" si="170"/>
        <v>I юн</v>
      </c>
      <c r="R421" s="362" t="str">
        <f t="shared" si="185"/>
        <v>I юн</v>
      </c>
      <c r="S421" s="362" t="str">
        <f t="shared" si="184"/>
        <v>II юн</v>
      </c>
    </row>
    <row r="422" spans="1:19" ht="15" customHeight="1" x14ac:dyDescent="0.25">
      <c r="A422" s="406">
        <v>7</v>
      </c>
      <c r="B422" s="360" t="str">
        <f t="shared" si="171"/>
        <v xml:space="preserve"> </v>
      </c>
      <c r="C422" s="360" t="str">
        <f t="shared" si="172"/>
        <v xml:space="preserve"> </v>
      </c>
      <c r="D422" s="355"/>
      <c r="E422" s="362" t="str">
        <f t="shared" si="173"/>
        <v xml:space="preserve"> </v>
      </c>
      <c r="F422" s="362" t="str">
        <f t="shared" si="174"/>
        <v xml:space="preserve"> </v>
      </c>
      <c r="G422" s="362" t="str">
        <f t="shared" si="175"/>
        <v xml:space="preserve"> </v>
      </c>
      <c r="H422" s="362" t="str">
        <f t="shared" si="176"/>
        <v>КМС</v>
      </c>
      <c r="I422" s="362" t="str">
        <f t="shared" si="177"/>
        <v xml:space="preserve"> </v>
      </c>
      <c r="J422" s="362" t="str">
        <f t="shared" si="178"/>
        <v xml:space="preserve"> </v>
      </c>
      <c r="K422" s="362" t="str">
        <f t="shared" si="179"/>
        <v xml:space="preserve"> </v>
      </c>
      <c r="L422" s="362" t="str">
        <f t="shared" si="180"/>
        <v xml:space="preserve"> </v>
      </c>
      <c r="M422" s="362" t="str">
        <f t="shared" si="181"/>
        <v xml:space="preserve"> </v>
      </c>
      <c r="N422" s="355"/>
      <c r="O422" s="362" t="str">
        <f t="shared" si="182"/>
        <v xml:space="preserve"> </v>
      </c>
      <c r="P422" s="362" t="str">
        <f t="shared" si="183"/>
        <v xml:space="preserve"> </v>
      </c>
      <c r="Q422" s="362" t="str">
        <f t="shared" si="170"/>
        <v>I юн</v>
      </c>
      <c r="R422" s="362" t="str">
        <f t="shared" si="185"/>
        <v>II юн</v>
      </c>
      <c r="S422" s="362" t="str">
        <f t="shared" si="184"/>
        <v>III юн</v>
      </c>
    </row>
    <row r="423" spans="1:19" ht="15" customHeight="1" x14ac:dyDescent="0.25">
      <c r="A423" s="406">
        <v>8</v>
      </c>
      <c r="B423" s="360" t="str">
        <f t="shared" si="171"/>
        <v xml:space="preserve"> </v>
      </c>
      <c r="C423" s="360" t="str">
        <f t="shared" si="172"/>
        <v xml:space="preserve"> </v>
      </c>
      <c r="D423" s="355"/>
      <c r="E423" s="362" t="str">
        <f t="shared" si="173"/>
        <v xml:space="preserve"> </v>
      </c>
      <c r="F423" s="362" t="str">
        <f t="shared" si="174"/>
        <v xml:space="preserve"> </v>
      </c>
      <c r="G423" s="362" t="str">
        <f t="shared" si="175"/>
        <v xml:space="preserve"> </v>
      </c>
      <c r="H423" s="362" t="str">
        <f t="shared" si="176"/>
        <v>КМС</v>
      </c>
      <c r="I423" s="362" t="str">
        <f t="shared" si="177"/>
        <v xml:space="preserve"> </v>
      </c>
      <c r="J423" s="362" t="str">
        <f t="shared" si="178"/>
        <v xml:space="preserve"> </v>
      </c>
      <c r="K423" s="362" t="str">
        <f t="shared" si="179"/>
        <v xml:space="preserve"> </v>
      </c>
      <c r="L423" s="362" t="str">
        <f t="shared" si="180"/>
        <v xml:space="preserve"> </v>
      </c>
      <c r="M423" s="362" t="str">
        <f t="shared" si="181"/>
        <v xml:space="preserve"> </v>
      </c>
      <c r="N423" s="355"/>
      <c r="O423" s="362" t="str">
        <f t="shared" si="182"/>
        <v xml:space="preserve"> </v>
      </c>
      <c r="P423" s="362" t="str">
        <f t="shared" si="183"/>
        <v xml:space="preserve"> </v>
      </c>
      <c r="Q423" s="362" t="str">
        <f t="shared" si="170"/>
        <v xml:space="preserve"> </v>
      </c>
      <c r="R423" s="362" t="str">
        <f t="shared" si="185"/>
        <v>II юн</v>
      </c>
      <c r="S423" s="362" t="str">
        <f t="shared" si="184"/>
        <v>III юн</v>
      </c>
    </row>
    <row r="424" spans="1:19" ht="14.25" customHeight="1" x14ac:dyDescent="0.25">
      <c r="A424" s="406">
        <v>9</v>
      </c>
      <c r="B424" s="360" t="str">
        <f t="shared" si="171"/>
        <v xml:space="preserve"> </v>
      </c>
      <c r="C424" s="360" t="str">
        <f t="shared" si="172"/>
        <v xml:space="preserve"> </v>
      </c>
      <c r="D424" s="364"/>
      <c r="E424" s="362" t="str">
        <f t="shared" si="173"/>
        <v xml:space="preserve"> </v>
      </c>
      <c r="F424" s="362" t="str">
        <f t="shared" si="174"/>
        <v xml:space="preserve"> </v>
      </c>
      <c r="G424" s="362" t="str">
        <f t="shared" si="175"/>
        <v xml:space="preserve"> </v>
      </c>
      <c r="H424" s="362" t="str">
        <f t="shared" si="176"/>
        <v xml:space="preserve"> </v>
      </c>
      <c r="I424" s="362" t="str">
        <f t="shared" si="177"/>
        <v xml:space="preserve"> </v>
      </c>
      <c r="J424" s="362" t="str">
        <f t="shared" si="178"/>
        <v xml:space="preserve"> </v>
      </c>
      <c r="K424" s="362" t="str">
        <f t="shared" si="179"/>
        <v xml:space="preserve"> </v>
      </c>
      <c r="L424" s="362" t="str">
        <f t="shared" si="180"/>
        <v xml:space="preserve"> </v>
      </c>
      <c r="M424" s="362" t="str">
        <f t="shared" si="181"/>
        <v xml:space="preserve"> </v>
      </c>
      <c r="N424" s="364"/>
      <c r="O424" s="362" t="str">
        <f t="shared" si="182"/>
        <v xml:space="preserve"> </v>
      </c>
      <c r="P424" s="362" t="str">
        <f t="shared" si="183"/>
        <v xml:space="preserve"> </v>
      </c>
      <c r="Q424" s="362" t="str">
        <f t="shared" si="170"/>
        <v xml:space="preserve"> </v>
      </c>
      <c r="R424" s="362" t="str">
        <f t="shared" si="185"/>
        <v xml:space="preserve"> </v>
      </c>
      <c r="S424" s="362" t="str">
        <f t="shared" si="184"/>
        <v>III юн</v>
      </c>
    </row>
    <row r="425" spans="1:19" x14ac:dyDescent="0.25">
      <c r="E425" s="362" t="str">
        <f t="shared" si="173"/>
        <v xml:space="preserve"> </v>
      </c>
      <c r="F425" s="362" t="str">
        <f t="shared" si="174"/>
        <v xml:space="preserve"> </v>
      </c>
      <c r="G425" s="362" t="str">
        <f t="shared" si="175"/>
        <v xml:space="preserve"> </v>
      </c>
      <c r="H425" s="362" t="str">
        <f t="shared" si="176"/>
        <v xml:space="preserve"> </v>
      </c>
      <c r="I425" s="362" t="str">
        <f t="shared" si="177"/>
        <v xml:space="preserve"> </v>
      </c>
      <c r="J425" s="362" t="str">
        <f t="shared" si="178"/>
        <v xml:space="preserve"> </v>
      </c>
      <c r="K425" s="362" t="str">
        <f t="shared" si="179"/>
        <v xml:space="preserve"> </v>
      </c>
      <c r="L425" s="362" t="str">
        <f t="shared" si="179"/>
        <v xml:space="preserve"> </v>
      </c>
      <c r="M425" s="362" t="str">
        <f t="shared" si="181"/>
        <v xml:space="preserve"> </v>
      </c>
      <c r="O425" s="362" t="str">
        <f>IF(ISBLANK($A425)," ",IF(ISTEXT($A425)," ",IF($A425&lt;=2,"I",IF($A425&lt;=4,"II",IF($A425&lt;=6,"III"," ")))))</f>
        <v xml:space="preserve"> </v>
      </c>
      <c r="R425" s="362" t="str">
        <f t="shared" si="185"/>
        <v xml:space="preserve"> </v>
      </c>
    </row>
    <row r="426" spans="1:19" ht="14.25" customHeight="1" x14ac:dyDescent="0.25">
      <c r="C426" s="368" t="s">
        <v>321</v>
      </c>
      <c r="D426" s="364"/>
      <c r="E426" s="364"/>
      <c r="F426" s="364"/>
      <c r="G426" s="364"/>
      <c r="H426" s="363"/>
      <c r="I426" s="363"/>
      <c r="J426" s="364"/>
      <c r="K426" s="367"/>
      <c r="O426" s="362" t="str">
        <f t="shared" si="182"/>
        <v xml:space="preserve"> </v>
      </c>
    </row>
    <row r="427" spans="1:19" ht="14.25" customHeight="1" x14ac:dyDescent="0.25">
      <c r="C427" s="368" t="s">
        <v>322</v>
      </c>
      <c r="D427" s="364"/>
      <c r="E427" s="364"/>
      <c r="F427" s="364"/>
      <c r="G427" s="364"/>
      <c r="H427" s="363"/>
      <c r="I427" s="363"/>
      <c r="J427" s="364"/>
      <c r="K427" s="367"/>
    </row>
    <row r="429" spans="1:19" x14ac:dyDescent="0.25">
      <c r="C429" s="368" t="s">
        <v>315</v>
      </c>
    </row>
    <row r="430" spans="1:19" x14ac:dyDescent="0.25">
      <c r="C430" s="368" t="s">
        <v>307</v>
      </c>
    </row>
    <row r="431" spans="1:19" x14ac:dyDescent="0.25">
      <c r="C431" s="368"/>
    </row>
    <row r="432" spans="1:19" x14ac:dyDescent="0.25">
      <c r="C432" s="368" t="s">
        <v>314</v>
      </c>
    </row>
    <row r="433" spans="3:3" x14ac:dyDescent="0.25">
      <c r="C433" s="368" t="s">
        <v>308</v>
      </c>
    </row>
    <row r="434" spans="3:3" x14ac:dyDescent="0.25">
      <c r="C434" s="368"/>
    </row>
    <row r="435" spans="3:3" x14ac:dyDescent="0.25">
      <c r="C435" s="368" t="s">
        <v>316</v>
      </c>
    </row>
    <row r="436" spans="3:3" x14ac:dyDescent="0.25">
      <c r="C436" s="368" t="s">
        <v>310</v>
      </c>
    </row>
    <row r="437" spans="3:3" x14ac:dyDescent="0.25">
      <c r="C437" s="368"/>
    </row>
    <row r="438" spans="3:3" x14ac:dyDescent="0.25">
      <c r="C438" s="368" t="s">
        <v>317</v>
      </c>
    </row>
    <row r="439" spans="3:3" x14ac:dyDescent="0.25">
      <c r="C439" s="368" t="s">
        <v>309</v>
      </c>
    </row>
    <row r="440" spans="3:3" x14ac:dyDescent="0.25">
      <c r="C440" s="368"/>
    </row>
    <row r="441" spans="3:3" x14ac:dyDescent="0.25">
      <c r="C441" s="368" t="s">
        <v>319</v>
      </c>
    </row>
    <row r="442" spans="3:3" x14ac:dyDescent="0.25">
      <c r="C442" s="368" t="s">
        <v>312</v>
      </c>
    </row>
    <row r="443" spans="3:3" x14ac:dyDescent="0.25">
      <c r="C443" s="368"/>
    </row>
    <row r="444" spans="3:3" x14ac:dyDescent="0.25">
      <c r="C444" s="368" t="s">
        <v>318</v>
      </c>
    </row>
    <row r="445" spans="3:3" x14ac:dyDescent="0.25">
      <c r="C445" s="368" t="s">
        <v>311</v>
      </c>
    </row>
    <row r="446" spans="3:3" x14ac:dyDescent="0.25">
      <c r="C446" s="368"/>
    </row>
    <row r="447" spans="3:3" x14ac:dyDescent="0.25">
      <c r="C447" s="368" t="s">
        <v>320</v>
      </c>
    </row>
    <row r="448" spans="3:3" x14ac:dyDescent="0.25">
      <c r="C448" s="368" t="s">
        <v>313</v>
      </c>
    </row>
    <row r="449" spans="3:3" x14ac:dyDescent="0.25">
      <c r="C449" s="368"/>
    </row>
    <row r="450" spans="3:3" x14ac:dyDescent="0.25">
      <c r="C450" s="368" t="s">
        <v>295</v>
      </c>
    </row>
    <row r="451" spans="3:3" x14ac:dyDescent="0.25">
      <c r="C451" s="368" t="s">
        <v>281</v>
      </c>
    </row>
    <row r="452" spans="3:3" x14ac:dyDescent="0.25">
      <c r="C452" s="368"/>
    </row>
    <row r="453" spans="3:3" x14ac:dyDescent="0.25">
      <c r="C453" s="368"/>
    </row>
    <row r="454" spans="3:3" x14ac:dyDescent="0.25">
      <c r="C454" s="368"/>
    </row>
    <row r="455" spans="3:3" x14ac:dyDescent="0.25">
      <c r="C455" s="368" t="s">
        <v>300</v>
      </c>
    </row>
    <row r="456" spans="3:3" x14ac:dyDescent="0.25">
      <c r="C456" s="368" t="s">
        <v>288</v>
      </c>
    </row>
    <row r="457" spans="3:3" x14ac:dyDescent="0.25">
      <c r="C457" s="368"/>
    </row>
    <row r="458" spans="3:3" x14ac:dyDescent="0.25">
      <c r="C458" s="368"/>
    </row>
    <row r="459" spans="3:3" x14ac:dyDescent="0.25">
      <c r="C459" s="368" t="s">
        <v>299</v>
      </c>
    </row>
    <row r="460" spans="3:3" x14ac:dyDescent="0.25">
      <c r="C460" s="368" t="s">
        <v>287</v>
      </c>
    </row>
    <row r="461" spans="3:3" x14ac:dyDescent="0.25">
      <c r="C461" s="368"/>
    </row>
    <row r="462" spans="3:3" x14ac:dyDescent="0.25">
      <c r="C462" s="368" t="s">
        <v>301</v>
      </c>
    </row>
    <row r="463" spans="3:3" x14ac:dyDescent="0.25">
      <c r="C463" s="368" t="s">
        <v>289</v>
      </c>
    </row>
    <row r="464" spans="3:3" x14ac:dyDescent="0.25">
      <c r="C464" s="368"/>
    </row>
    <row r="465" spans="3:3" x14ac:dyDescent="0.25">
      <c r="C465" s="368" t="s">
        <v>302</v>
      </c>
    </row>
    <row r="466" spans="3:3" x14ac:dyDescent="0.25">
      <c r="C466" s="368" t="s">
        <v>290</v>
      </c>
    </row>
    <row r="467" spans="3:3" x14ac:dyDescent="0.25">
      <c r="C467" s="368"/>
    </row>
    <row r="468" spans="3:3" x14ac:dyDescent="0.25">
      <c r="C468" s="368" t="s">
        <v>303</v>
      </c>
    </row>
    <row r="469" spans="3:3" x14ac:dyDescent="0.25">
      <c r="C469" s="368" t="s">
        <v>291</v>
      </c>
    </row>
    <row r="470" spans="3:3" x14ac:dyDescent="0.25">
      <c r="C470" s="368"/>
    </row>
    <row r="471" spans="3:3" x14ac:dyDescent="0.25">
      <c r="C471" s="368" t="s">
        <v>304</v>
      </c>
    </row>
    <row r="472" spans="3:3" x14ac:dyDescent="0.25">
      <c r="C472" s="368" t="s">
        <v>292</v>
      </c>
    </row>
    <row r="473" spans="3:3" x14ac:dyDescent="0.25">
      <c r="C473" s="368"/>
    </row>
    <row r="474" spans="3:3" x14ac:dyDescent="0.25">
      <c r="C474" s="368" t="s">
        <v>305</v>
      </c>
    </row>
    <row r="475" spans="3:3" x14ac:dyDescent="0.25">
      <c r="C475" s="368" t="s">
        <v>293</v>
      </c>
    </row>
    <row r="476" spans="3:3" x14ac:dyDescent="0.25">
      <c r="C476" s="368"/>
    </row>
    <row r="477" spans="3:3" x14ac:dyDescent="0.25">
      <c r="C477" s="368" t="s">
        <v>306</v>
      </c>
    </row>
    <row r="478" spans="3:3" x14ac:dyDescent="0.25">
      <c r="C478" s="368" t="s">
        <v>294</v>
      </c>
    </row>
  </sheetData>
  <mergeCells count="3">
    <mergeCell ref="H1:J1"/>
    <mergeCell ref="I2:J2"/>
    <mergeCell ref="M2:N2"/>
  </mergeCells>
  <pageMargins left="0.7" right="0.7" top="0.75" bottom="0.75" header="0.3" footer="0.3"/>
  <pageSetup paperSize="9" orientation="portrait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0"/>
  <dimension ref="A1:T67"/>
  <sheetViews>
    <sheetView workbookViewId="0">
      <selection activeCell="L24" sqref="L24:N26"/>
    </sheetView>
  </sheetViews>
  <sheetFormatPr defaultColWidth="9.109375" defaultRowHeight="15.6" x14ac:dyDescent="0.3"/>
  <cols>
    <col min="1" max="1" width="9.88671875" style="56" customWidth="1"/>
    <col min="2" max="2" width="8" style="56" customWidth="1"/>
    <col min="3" max="3" width="3.6640625" style="56" customWidth="1"/>
    <col min="4" max="5" width="6.109375" style="56" customWidth="1"/>
    <col min="6" max="6" width="4.33203125" style="56" customWidth="1"/>
    <col min="7" max="7" width="10.109375" style="56" customWidth="1"/>
    <col min="8" max="8" width="10.44140625" style="56" customWidth="1"/>
    <col min="9" max="9" width="11.33203125" style="56" customWidth="1"/>
    <col min="10" max="10" width="1.109375" style="56" customWidth="1"/>
    <col min="11" max="11" width="0.88671875" style="56" customWidth="1"/>
    <col min="12" max="12" width="9.88671875" style="56" customWidth="1"/>
    <col min="13" max="13" width="8" style="56" customWidth="1"/>
    <col min="14" max="14" width="3.6640625" style="56" customWidth="1"/>
    <col min="15" max="16" width="6.109375" style="56" customWidth="1"/>
    <col min="17" max="17" width="4.33203125" style="56" customWidth="1"/>
    <col min="18" max="18" width="10.109375" style="56" customWidth="1"/>
    <col min="19" max="19" width="10.44140625" style="56" customWidth="1"/>
    <col min="20" max="20" width="11.33203125" style="56" customWidth="1"/>
    <col min="21" max="23" width="1.33203125" style="56" customWidth="1"/>
    <col min="24" max="25" width="1.44140625" style="56" customWidth="1"/>
    <col min="26" max="27" width="1.5546875" style="56" customWidth="1"/>
    <col min="28" max="16384" width="9.109375" style="56"/>
  </cols>
  <sheetData>
    <row r="1" spans="1:20" ht="20.399999999999999" x14ac:dyDescent="0.3">
      <c r="A1" s="414"/>
      <c r="B1" s="414"/>
      <c r="C1" s="414"/>
      <c r="D1" s="390"/>
      <c r="E1" s="390"/>
      <c r="F1" s="436" t="s">
        <v>451</v>
      </c>
      <c r="G1" s="390"/>
      <c r="H1" s="390"/>
      <c r="I1" s="390"/>
      <c r="J1" s="437"/>
      <c r="K1" s="414"/>
      <c r="L1" s="414"/>
      <c r="M1" s="414"/>
      <c r="N1" s="414"/>
      <c r="O1" s="390"/>
      <c r="P1" s="390"/>
      <c r="Q1" s="436" t="s">
        <v>451</v>
      </c>
      <c r="R1" s="390"/>
      <c r="S1" s="390"/>
      <c r="T1" s="390"/>
    </row>
    <row r="2" spans="1:20" x14ac:dyDescent="0.3">
      <c r="A2" s="1450" t="s">
        <v>452</v>
      </c>
      <c r="B2" s="1450"/>
      <c r="C2" s="1450"/>
      <c r="D2" s="422"/>
      <c r="E2" s="413"/>
      <c r="F2" s="413"/>
      <c r="G2" s="413"/>
      <c r="H2" s="425" t="s">
        <v>115</v>
      </c>
      <c r="I2" s="425" t="s">
        <v>114</v>
      </c>
      <c r="J2" s="433"/>
      <c r="K2" s="413"/>
      <c r="L2" s="1450" t="s">
        <v>452</v>
      </c>
      <c r="M2" s="1450"/>
      <c r="N2" s="1450"/>
      <c r="O2" s="423"/>
      <c r="P2" s="413"/>
      <c r="Q2" s="413"/>
      <c r="R2" s="413"/>
      <c r="S2" s="425" t="s">
        <v>115</v>
      </c>
      <c r="T2" s="425" t="s">
        <v>114</v>
      </c>
    </row>
    <row r="3" spans="1:20" x14ac:dyDescent="0.3">
      <c r="A3" s="1450"/>
      <c r="B3" s="1450"/>
      <c r="C3" s="1450"/>
      <c r="D3" s="421"/>
      <c r="E3" s="413"/>
      <c r="F3" s="413"/>
      <c r="G3" s="413"/>
      <c r="H3" s="425" t="s">
        <v>113</v>
      </c>
      <c r="I3" s="425" t="s">
        <v>112</v>
      </c>
      <c r="J3" s="433"/>
      <c r="K3" s="413"/>
      <c r="L3" s="1450"/>
      <c r="M3" s="1450"/>
      <c r="N3" s="1450"/>
      <c r="O3" s="413"/>
      <c r="P3" s="413"/>
      <c r="Q3" s="413"/>
      <c r="R3" s="413"/>
      <c r="S3" s="425" t="s">
        <v>113</v>
      </c>
      <c r="T3" s="425" t="s">
        <v>112</v>
      </c>
    </row>
    <row r="4" spans="1:20" x14ac:dyDescent="0.3">
      <c r="A4" s="1453" t="s">
        <v>453</v>
      </c>
      <c r="B4" s="1453"/>
      <c r="C4" s="1453"/>
      <c r="D4" s="72"/>
      <c r="E4" s="412"/>
      <c r="F4" s="413"/>
      <c r="G4" s="413"/>
      <c r="J4" s="433"/>
      <c r="K4" s="413"/>
      <c r="L4" s="1453" t="s">
        <v>453</v>
      </c>
      <c r="M4" s="1453"/>
      <c r="N4" s="1453"/>
      <c r="O4" s="414"/>
      <c r="P4" s="412"/>
      <c r="Q4" s="413"/>
      <c r="R4" s="413"/>
    </row>
    <row r="5" spans="1:20" x14ac:dyDescent="0.3">
      <c r="A5" s="1454"/>
      <c r="B5" s="1454"/>
      <c r="C5" s="1454"/>
      <c r="D5" s="414"/>
      <c r="E5" s="412"/>
      <c r="F5" s="413"/>
      <c r="G5" s="413"/>
      <c r="J5" s="433"/>
      <c r="K5" s="413"/>
      <c r="L5" s="1453"/>
      <c r="M5" s="1453"/>
      <c r="N5" s="1453"/>
      <c r="O5" s="414"/>
      <c r="P5" s="412"/>
      <c r="Q5" s="413"/>
      <c r="R5" s="413"/>
    </row>
    <row r="6" spans="1:20" x14ac:dyDescent="0.3">
      <c r="A6" s="412"/>
      <c r="B6" s="412"/>
      <c r="C6" s="412"/>
      <c r="D6" s="416" t="s">
        <v>17</v>
      </c>
      <c r="E6" s="415"/>
      <c r="F6" s="420"/>
      <c r="G6" s="420"/>
      <c r="H6" s="420"/>
      <c r="I6" s="420"/>
      <c r="J6" s="433"/>
      <c r="K6" s="413"/>
      <c r="L6" s="412"/>
      <c r="M6" s="412"/>
      <c r="N6" s="412"/>
      <c r="O6" s="416" t="s">
        <v>17</v>
      </c>
      <c r="P6" s="415"/>
      <c r="Q6" s="420"/>
      <c r="R6" s="420"/>
      <c r="S6" s="420"/>
      <c r="T6" s="420"/>
    </row>
    <row r="7" spans="1:20" ht="6" customHeight="1" x14ac:dyDescent="0.3">
      <c r="A7" s="412"/>
      <c r="B7" s="412"/>
      <c r="C7" s="412"/>
      <c r="D7" s="412"/>
      <c r="E7" s="412"/>
      <c r="F7" s="413"/>
      <c r="G7" s="413"/>
      <c r="J7" s="433"/>
      <c r="K7" s="413"/>
      <c r="L7" s="412"/>
      <c r="M7" s="412"/>
      <c r="N7" s="412"/>
      <c r="O7" s="412"/>
      <c r="P7" s="412"/>
      <c r="Q7" s="413"/>
      <c r="R7" s="413"/>
    </row>
    <row r="8" spans="1:20" x14ac:dyDescent="0.3">
      <c r="A8" s="408" t="s">
        <v>454</v>
      </c>
      <c r="B8" s="1303" t="s">
        <v>19</v>
      </c>
      <c r="C8" s="1303"/>
      <c r="D8" s="1303"/>
      <c r="E8" s="1303"/>
      <c r="F8" s="1303"/>
      <c r="G8" s="1303"/>
      <c r="H8" s="419" t="s">
        <v>180</v>
      </c>
      <c r="I8" s="408" t="s">
        <v>458</v>
      </c>
      <c r="J8" s="433"/>
      <c r="K8" s="413"/>
      <c r="L8" s="408" t="s">
        <v>454</v>
      </c>
      <c r="M8" s="1303" t="s">
        <v>19</v>
      </c>
      <c r="N8" s="1303"/>
      <c r="O8" s="1303"/>
      <c r="P8" s="1303"/>
      <c r="Q8" s="1303"/>
      <c r="R8" s="1303"/>
      <c r="S8" s="419" t="s">
        <v>180</v>
      </c>
      <c r="T8" s="408" t="s">
        <v>458</v>
      </c>
    </row>
    <row r="9" spans="1:20" ht="18" customHeight="1" x14ac:dyDescent="0.3">
      <c r="A9" s="419"/>
      <c r="B9" s="1455"/>
      <c r="C9" s="1455"/>
      <c r="D9" s="1455"/>
      <c r="E9" s="1455"/>
      <c r="F9" s="1455"/>
      <c r="G9" s="1455"/>
      <c r="H9" s="419"/>
      <c r="I9" s="419"/>
      <c r="J9" s="433"/>
      <c r="K9" s="413"/>
      <c r="L9" s="419"/>
      <c r="M9" s="1455"/>
      <c r="N9" s="1455"/>
      <c r="O9" s="1455"/>
      <c r="P9" s="1455"/>
      <c r="Q9" s="1455"/>
      <c r="R9" s="1455"/>
      <c r="S9" s="419"/>
      <c r="T9" s="419"/>
    </row>
    <row r="10" spans="1:20" ht="18" customHeight="1" x14ac:dyDescent="0.3">
      <c r="A10" s="418"/>
      <c r="B10" s="1454"/>
      <c r="C10" s="1454"/>
      <c r="D10" s="1454"/>
      <c r="E10" s="1454"/>
      <c r="F10" s="1454"/>
      <c r="G10" s="1454"/>
      <c r="H10" s="419"/>
      <c r="I10" s="419"/>
      <c r="J10" s="433"/>
      <c r="K10" s="413"/>
      <c r="L10" s="418"/>
      <c r="M10" s="1454"/>
      <c r="N10" s="1454"/>
      <c r="O10" s="1454"/>
      <c r="P10" s="1454"/>
      <c r="Q10" s="1454"/>
      <c r="R10" s="1454"/>
      <c r="S10" s="419"/>
      <c r="T10" s="419"/>
    </row>
    <row r="11" spans="1:20" ht="18" customHeight="1" x14ac:dyDescent="0.3">
      <c r="A11" s="417"/>
      <c r="B11" s="1452"/>
      <c r="C11" s="1452"/>
      <c r="D11" s="1452"/>
      <c r="E11" s="1452"/>
      <c r="F11" s="1452"/>
      <c r="G11" s="1452"/>
      <c r="H11" s="419"/>
      <c r="I11" s="419"/>
      <c r="J11" s="433"/>
      <c r="K11" s="413"/>
      <c r="L11" s="417"/>
      <c r="M11" s="1452"/>
      <c r="N11" s="1452"/>
      <c r="O11" s="1452"/>
      <c r="P11" s="1452"/>
      <c r="Q11" s="1452"/>
      <c r="R11" s="1452"/>
      <c r="S11" s="419"/>
      <c r="T11" s="419"/>
    </row>
    <row r="12" spans="1:20" ht="18" customHeight="1" x14ac:dyDescent="0.3">
      <c r="A12" s="417"/>
      <c r="B12" s="1452"/>
      <c r="C12" s="1452"/>
      <c r="D12" s="1452"/>
      <c r="E12" s="1452"/>
      <c r="F12" s="1452"/>
      <c r="G12" s="1452"/>
      <c r="H12" s="419"/>
      <c r="I12" s="419"/>
      <c r="J12" s="433"/>
      <c r="K12" s="413"/>
      <c r="L12" s="417"/>
      <c r="M12" s="1452"/>
      <c r="N12" s="1452"/>
      <c r="O12" s="1452"/>
      <c r="P12" s="1452"/>
      <c r="Q12" s="1452"/>
      <c r="R12" s="1452"/>
      <c r="S12" s="419"/>
      <c r="T12" s="419"/>
    </row>
    <row r="13" spans="1:20" ht="6.75" customHeight="1" x14ac:dyDescent="0.3">
      <c r="A13" s="414"/>
      <c r="B13" s="414"/>
      <c r="C13" s="414"/>
      <c r="D13" s="414"/>
      <c r="E13" s="414"/>
      <c r="F13" s="413"/>
      <c r="G13" s="413"/>
      <c r="J13" s="433"/>
      <c r="K13" s="413"/>
      <c r="L13" s="414"/>
      <c r="M13" s="414"/>
      <c r="N13" s="414"/>
      <c r="O13" s="414"/>
      <c r="P13" s="414"/>
      <c r="Q13" s="413"/>
      <c r="R13" s="413"/>
    </row>
    <row r="14" spans="1:20" s="189" customFormat="1" ht="14.25" customHeight="1" x14ac:dyDescent="0.3">
      <c r="A14" s="429" t="s">
        <v>6</v>
      </c>
      <c r="B14" s="429"/>
      <c r="C14" s="429"/>
      <c r="D14" s="429" t="s">
        <v>23</v>
      </c>
      <c r="E14" s="429"/>
      <c r="F14" s="429"/>
      <c r="G14" s="435" t="s">
        <v>24</v>
      </c>
      <c r="H14" s="429"/>
      <c r="I14" s="429"/>
      <c r="J14" s="434"/>
      <c r="K14" s="432"/>
      <c r="L14" s="429" t="s">
        <v>6</v>
      </c>
      <c r="M14" s="429"/>
      <c r="N14" s="429"/>
      <c r="O14" s="429" t="s">
        <v>23</v>
      </c>
      <c r="P14" s="429"/>
      <c r="Q14" s="429"/>
      <c r="R14" s="435" t="s">
        <v>24</v>
      </c>
      <c r="S14" s="429"/>
      <c r="T14" s="429"/>
    </row>
    <row r="15" spans="1:20" ht="11.25" customHeight="1" x14ac:dyDescent="0.3">
      <c r="A15" s="1208" t="s">
        <v>456</v>
      </c>
      <c r="B15" s="1208"/>
      <c r="C15" s="1208"/>
      <c r="D15" s="1208"/>
      <c r="E15" s="1208"/>
      <c r="F15" s="1208"/>
      <c r="G15" s="1208"/>
      <c r="H15" s="1208"/>
      <c r="I15" s="1208"/>
      <c r="J15" s="433"/>
      <c r="K15" s="413"/>
      <c r="L15" s="1208" t="s">
        <v>456</v>
      </c>
      <c r="M15" s="1208"/>
      <c r="N15" s="1208"/>
      <c r="O15" s="1208"/>
      <c r="P15" s="1208"/>
      <c r="Q15" s="1208"/>
      <c r="R15" s="1208"/>
      <c r="S15" s="1208"/>
      <c r="T15" s="1208"/>
    </row>
    <row r="16" spans="1:20" ht="14.25" customHeight="1" x14ac:dyDescent="0.3">
      <c r="A16" s="413"/>
      <c r="B16" s="413"/>
      <c r="C16" s="1451"/>
      <c r="D16" s="1451"/>
      <c r="E16" s="1451"/>
      <c r="F16" s="1451"/>
      <c r="G16" s="1451"/>
      <c r="J16" s="433"/>
      <c r="K16" s="413"/>
      <c r="L16" s="413"/>
      <c r="M16" s="413"/>
      <c r="N16" s="1451"/>
      <c r="O16" s="1451"/>
      <c r="P16" s="1451"/>
      <c r="Q16" s="1451"/>
      <c r="R16" s="1451"/>
    </row>
    <row r="17" spans="1:20" ht="10.5" customHeight="1" x14ac:dyDescent="0.3">
      <c r="A17" s="414"/>
      <c r="B17" s="414"/>
      <c r="C17" s="1208" t="s">
        <v>457</v>
      </c>
      <c r="D17" s="1208"/>
      <c r="E17" s="1208"/>
      <c r="F17" s="1208"/>
      <c r="G17" s="1208"/>
      <c r="J17" s="433"/>
      <c r="K17" s="413"/>
      <c r="L17" s="414"/>
      <c r="M17" s="414"/>
      <c r="N17" s="1208" t="s">
        <v>457</v>
      </c>
      <c r="O17" s="1208"/>
      <c r="P17" s="1208"/>
      <c r="Q17" s="1208"/>
      <c r="R17" s="1208"/>
    </row>
    <row r="18" spans="1:20" x14ac:dyDescent="0.3">
      <c r="A18" s="418" t="s">
        <v>455</v>
      </c>
      <c r="B18" s="417"/>
      <c r="C18" s="414"/>
      <c r="D18" s="414"/>
      <c r="E18" s="413"/>
      <c r="F18" s="413"/>
      <c r="G18" s="413"/>
      <c r="H18" s="408" t="s">
        <v>26</v>
      </c>
      <c r="I18" s="419"/>
      <c r="J18" s="433"/>
      <c r="K18" s="413"/>
      <c r="L18" s="418" t="s">
        <v>455</v>
      </c>
      <c r="M18" s="417"/>
      <c r="N18" s="414"/>
      <c r="O18" s="414"/>
      <c r="P18" s="413"/>
      <c r="Q18" s="413"/>
      <c r="R18" s="413"/>
      <c r="S18" s="408" t="s">
        <v>26</v>
      </c>
      <c r="T18" s="419"/>
    </row>
    <row r="19" spans="1:20" x14ac:dyDescent="0.3">
      <c r="A19" s="418" t="s">
        <v>37</v>
      </c>
      <c r="B19" s="417"/>
      <c r="C19" s="414"/>
      <c r="D19" s="414"/>
      <c r="E19" s="413"/>
      <c r="F19" s="413"/>
      <c r="G19" s="413"/>
      <c r="H19" s="408" t="s">
        <v>28</v>
      </c>
      <c r="I19" s="419"/>
      <c r="J19" s="433"/>
      <c r="K19" s="413"/>
      <c r="L19" s="418" t="s">
        <v>37</v>
      </c>
      <c r="M19" s="417"/>
      <c r="N19" s="414"/>
      <c r="O19" s="414"/>
      <c r="P19" s="413"/>
      <c r="Q19" s="413"/>
      <c r="R19" s="413"/>
      <c r="S19" s="408" t="s">
        <v>28</v>
      </c>
      <c r="T19" s="419"/>
    </row>
    <row r="20" spans="1:20" ht="5.25" customHeight="1" x14ac:dyDescent="0.3">
      <c r="A20" s="414"/>
      <c r="B20" s="414"/>
      <c r="C20" s="414"/>
      <c r="D20" s="414"/>
      <c r="E20" s="413"/>
      <c r="F20" s="413"/>
      <c r="G20" s="413"/>
      <c r="J20" s="433"/>
      <c r="K20" s="413"/>
      <c r="L20" s="414"/>
      <c r="M20" s="414"/>
      <c r="N20" s="414"/>
      <c r="O20" s="414"/>
      <c r="P20" s="413"/>
      <c r="Q20" s="413"/>
      <c r="R20" s="413"/>
    </row>
    <row r="21" spans="1:20" ht="5.25" customHeight="1" thickBot="1" x14ac:dyDescent="0.35">
      <c r="A21" s="430"/>
      <c r="B21" s="430"/>
      <c r="C21" s="431"/>
      <c r="D21" s="431"/>
      <c r="E21" s="431"/>
      <c r="F21" s="431"/>
      <c r="G21" s="431"/>
      <c r="H21" s="431"/>
      <c r="I21" s="431"/>
      <c r="J21" s="426"/>
      <c r="K21" s="424"/>
      <c r="L21" s="430"/>
      <c r="M21" s="430"/>
      <c r="N21" s="431"/>
      <c r="O21" s="431"/>
      <c r="P21" s="431"/>
      <c r="Q21" s="431"/>
      <c r="R21" s="431"/>
      <c r="S21" s="431"/>
      <c r="T21" s="431"/>
    </row>
    <row r="22" spans="1:20" ht="5.25" customHeight="1" x14ac:dyDescent="0.3">
      <c r="A22" s="413"/>
      <c r="B22" s="413"/>
      <c r="C22" s="413"/>
      <c r="D22" s="413"/>
      <c r="E22" s="413"/>
      <c r="F22" s="413"/>
      <c r="G22" s="413"/>
      <c r="J22" s="427"/>
      <c r="K22" s="428"/>
      <c r="L22" s="413"/>
      <c r="M22" s="413"/>
      <c r="N22" s="413"/>
      <c r="O22" s="413"/>
      <c r="P22" s="413"/>
      <c r="Q22" s="413"/>
      <c r="R22" s="413"/>
      <c r="S22" s="413"/>
      <c r="T22" s="413"/>
    </row>
    <row r="23" spans="1:20" ht="20.399999999999999" x14ac:dyDescent="0.35">
      <c r="A23" s="413"/>
      <c r="B23" s="413"/>
      <c r="C23" s="413"/>
      <c r="F23" s="409" t="s">
        <v>451</v>
      </c>
      <c r="J23" s="433"/>
      <c r="K23" s="413"/>
      <c r="L23" s="413"/>
      <c r="M23" s="413"/>
      <c r="N23" s="413"/>
      <c r="Q23" s="409" t="s">
        <v>451</v>
      </c>
    </row>
    <row r="24" spans="1:20" x14ac:dyDescent="0.3">
      <c r="A24" s="1450" t="s">
        <v>452</v>
      </c>
      <c r="B24" s="1450"/>
      <c r="C24" s="1450"/>
      <c r="D24" s="422"/>
      <c r="E24" s="413"/>
      <c r="F24" s="413"/>
      <c r="G24" s="413"/>
      <c r="H24" s="425" t="s">
        <v>115</v>
      </c>
      <c r="I24" s="425" t="s">
        <v>114</v>
      </c>
      <c r="J24" s="433"/>
      <c r="K24" s="413"/>
      <c r="L24" s="1450" t="s">
        <v>452</v>
      </c>
      <c r="M24" s="1450"/>
      <c r="N24" s="1450"/>
      <c r="O24" s="423"/>
      <c r="P24" s="413"/>
      <c r="Q24" s="413"/>
      <c r="R24" s="413"/>
      <c r="S24" s="425" t="s">
        <v>115</v>
      </c>
      <c r="T24" s="425" t="s">
        <v>114</v>
      </c>
    </row>
    <row r="25" spans="1:20" x14ac:dyDescent="0.3">
      <c r="A25" s="1450"/>
      <c r="B25" s="1450"/>
      <c r="C25" s="1450"/>
      <c r="D25" s="421"/>
      <c r="E25" s="413"/>
      <c r="F25" s="413"/>
      <c r="G25" s="413"/>
      <c r="H25" s="425" t="s">
        <v>113</v>
      </c>
      <c r="I25" s="425" t="s">
        <v>112</v>
      </c>
      <c r="J25" s="433"/>
      <c r="K25" s="413"/>
      <c r="L25" s="1450"/>
      <c r="M25" s="1450"/>
      <c r="N25" s="1450"/>
      <c r="O25" s="413"/>
      <c r="P25" s="413"/>
      <c r="Q25" s="413"/>
      <c r="R25" s="413"/>
      <c r="S25" s="425" t="s">
        <v>113</v>
      </c>
      <c r="T25" s="425" t="s">
        <v>112</v>
      </c>
    </row>
    <row r="26" spans="1:20" x14ac:dyDescent="0.3">
      <c r="A26" s="1453" t="s">
        <v>453</v>
      </c>
      <c r="B26" s="1453"/>
      <c r="C26" s="1453"/>
      <c r="D26" s="72"/>
      <c r="E26" s="412"/>
      <c r="F26" s="413"/>
      <c r="G26" s="413"/>
      <c r="J26" s="433"/>
      <c r="K26" s="413"/>
      <c r="L26" s="1453" t="s">
        <v>453</v>
      </c>
      <c r="M26" s="1453"/>
      <c r="N26" s="1453"/>
      <c r="O26" s="414"/>
      <c r="P26" s="412"/>
      <c r="Q26" s="413"/>
      <c r="R26" s="413"/>
    </row>
    <row r="27" spans="1:20" x14ac:dyDescent="0.3">
      <c r="A27" s="1454"/>
      <c r="B27" s="1454"/>
      <c r="C27" s="1454"/>
      <c r="D27" s="414"/>
      <c r="E27" s="412"/>
      <c r="F27" s="413"/>
      <c r="G27" s="413"/>
      <c r="J27" s="433"/>
      <c r="K27" s="413"/>
      <c r="L27" s="1453"/>
      <c r="M27" s="1453"/>
      <c r="N27" s="1453"/>
      <c r="O27" s="414"/>
      <c r="P27" s="412"/>
      <c r="Q27" s="413"/>
      <c r="R27" s="413"/>
    </row>
    <row r="28" spans="1:20" x14ac:dyDescent="0.3">
      <c r="A28" s="412"/>
      <c r="B28" s="412"/>
      <c r="C28" s="412"/>
      <c r="D28" s="416" t="s">
        <v>17</v>
      </c>
      <c r="E28" s="415"/>
      <c r="F28" s="420"/>
      <c r="G28" s="420"/>
      <c r="H28" s="420"/>
      <c r="I28" s="420"/>
      <c r="J28" s="433"/>
      <c r="K28" s="413"/>
      <c r="L28" s="412"/>
      <c r="M28" s="412"/>
      <c r="N28" s="412"/>
      <c r="O28" s="416" t="s">
        <v>17</v>
      </c>
      <c r="P28" s="415"/>
      <c r="Q28" s="420"/>
      <c r="R28" s="420"/>
      <c r="S28" s="420"/>
      <c r="T28" s="420"/>
    </row>
    <row r="29" spans="1:20" ht="6.75" customHeight="1" x14ac:dyDescent="0.3">
      <c r="A29" s="412"/>
      <c r="B29" s="412"/>
      <c r="C29" s="412"/>
      <c r="D29" s="412"/>
      <c r="E29" s="412"/>
      <c r="F29" s="413"/>
      <c r="G29" s="413"/>
      <c r="J29" s="433"/>
      <c r="K29" s="413"/>
      <c r="L29" s="412"/>
      <c r="M29" s="412"/>
      <c r="N29" s="412"/>
      <c r="O29" s="412"/>
      <c r="P29" s="412"/>
      <c r="Q29" s="413"/>
      <c r="R29" s="413"/>
    </row>
    <row r="30" spans="1:20" x14ac:dyDescent="0.3">
      <c r="A30" s="408" t="s">
        <v>454</v>
      </c>
      <c r="B30" s="1303" t="s">
        <v>19</v>
      </c>
      <c r="C30" s="1303"/>
      <c r="D30" s="1303"/>
      <c r="E30" s="1303"/>
      <c r="F30" s="1303"/>
      <c r="G30" s="1303"/>
      <c r="H30" s="419" t="s">
        <v>180</v>
      </c>
      <c r="I30" s="408" t="s">
        <v>458</v>
      </c>
      <c r="J30" s="433"/>
      <c r="K30" s="413"/>
      <c r="L30" s="408" t="s">
        <v>454</v>
      </c>
      <c r="M30" s="1303" t="s">
        <v>19</v>
      </c>
      <c r="N30" s="1303"/>
      <c r="O30" s="1303"/>
      <c r="P30" s="1303"/>
      <c r="Q30" s="1303"/>
      <c r="R30" s="1303"/>
      <c r="S30" s="419" t="s">
        <v>180</v>
      </c>
      <c r="T30" s="408" t="s">
        <v>458</v>
      </c>
    </row>
    <row r="31" spans="1:20" ht="18" customHeight="1" x14ac:dyDescent="0.3">
      <c r="A31" s="419"/>
      <c r="B31" s="1455"/>
      <c r="C31" s="1455"/>
      <c r="D31" s="1455"/>
      <c r="E31" s="1455"/>
      <c r="F31" s="1455"/>
      <c r="G31" s="1455"/>
      <c r="H31" s="419"/>
      <c r="I31" s="419"/>
      <c r="J31" s="433"/>
      <c r="K31" s="413"/>
      <c r="L31" s="419"/>
      <c r="M31" s="1455"/>
      <c r="N31" s="1455"/>
      <c r="O31" s="1455"/>
      <c r="P31" s="1455"/>
      <c r="Q31" s="1455"/>
      <c r="R31" s="1455"/>
      <c r="S31" s="419"/>
      <c r="T31" s="419"/>
    </row>
    <row r="32" spans="1:20" ht="18" customHeight="1" x14ac:dyDescent="0.3">
      <c r="A32" s="418"/>
      <c r="B32" s="1454"/>
      <c r="C32" s="1454"/>
      <c r="D32" s="1454"/>
      <c r="E32" s="1454"/>
      <c r="F32" s="1454"/>
      <c r="G32" s="1454"/>
      <c r="H32" s="419"/>
      <c r="I32" s="419"/>
      <c r="J32" s="433"/>
      <c r="K32" s="413"/>
      <c r="L32" s="418"/>
      <c r="M32" s="1454"/>
      <c r="N32" s="1454"/>
      <c r="O32" s="1454"/>
      <c r="P32" s="1454"/>
      <c r="Q32" s="1454"/>
      <c r="R32" s="1454"/>
      <c r="S32" s="419"/>
      <c r="T32" s="419"/>
    </row>
    <row r="33" spans="1:20" ht="18" customHeight="1" x14ac:dyDescent="0.3">
      <c r="A33" s="417"/>
      <c r="B33" s="1452"/>
      <c r="C33" s="1452"/>
      <c r="D33" s="1452"/>
      <c r="E33" s="1452"/>
      <c r="F33" s="1452"/>
      <c r="G33" s="1452"/>
      <c r="H33" s="419"/>
      <c r="I33" s="419"/>
      <c r="J33" s="433"/>
      <c r="K33" s="413"/>
      <c r="L33" s="417"/>
      <c r="M33" s="1452"/>
      <c r="N33" s="1452"/>
      <c r="O33" s="1452"/>
      <c r="P33" s="1452"/>
      <c r="Q33" s="1452"/>
      <c r="R33" s="1452"/>
      <c r="S33" s="419"/>
      <c r="T33" s="419"/>
    </row>
    <row r="34" spans="1:20" ht="18" customHeight="1" x14ac:dyDescent="0.3">
      <c r="A34" s="417"/>
      <c r="B34" s="1452"/>
      <c r="C34" s="1452"/>
      <c r="D34" s="1452"/>
      <c r="E34" s="1452"/>
      <c r="F34" s="1452"/>
      <c r="G34" s="1452"/>
      <c r="H34" s="419"/>
      <c r="I34" s="419"/>
      <c r="J34" s="433"/>
      <c r="K34" s="413"/>
      <c r="L34" s="417"/>
      <c r="M34" s="1452"/>
      <c r="N34" s="1452"/>
      <c r="O34" s="1452"/>
      <c r="P34" s="1452"/>
      <c r="Q34" s="1452"/>
      <c r="R34" s="1452"/>
      <c r="S34" s="419"/>
      <c r="T34" s="419"/>
    </row>
    <row r="35" spans="1:20" ht="6.75" customHeight="1" x14ac:dyDescent="0.3">
      <c r="A35" s="414"/>
      <c r="B35" s="414"/>
      <c r="C35" s="414"/>
      <c r="D35" s="414"/>
      <c r="E35" s="414"/>
      <c r="F35" s="413"/>
      <c r="G35" s="413"/>
      <c r="J35" s="433"/>
      <c r="K35" s="413"/>
      <c r="L35" s="414"/>
      <c r="M35" s="414"/>
      <c r="N35" s="414"/>
      <c r="O35" s="414"/>
      <c r="P35" s="414"/>
      <c r="Q35" s="413"/>
      <c r="R35" s="413"/>
    </row>
    <row r="36" spans="1:20" s="189" customFormat="1" ht="14.25" customHeight="1" x14ac:dyDescent="0.3">
      <c r="A36" s="429" t="s">
        <v>6</v>
      </c>
      <c r="B36" s="429"/>
      <c r="C36" s="429"/>
      <c r="D36" s="429" t="s">
        <v>23</v>
      </c>
      <c r="E36" s="429"/>
      <c r="F36" s="429"/>
      <c r="G36" s="435" t="s">
        <v>24</v>
      </c>
      <c r="H36" s="429"/>
      <c r="I36" s="429"/>
      <c r="J36" s="434"/>
      <c r="K36" s="432"/>
      <c r="L36" s="429" t="s">
        <v>6</v>
      </c>
      <c r="M36" s="429"/>
      <c r="N36" s="429"/>
      <c r="O36" s="429" t="s">
        <v>23</v>
      </c>
      <c r="P36" s="429"/>
      <c r="Q36" s="429"/>
      <c r="R36" s="435" t="s">
        <v>24</v>
      </c>
      <c r="S36" s="429"/>
      <c r="T36" s="429"/>
    </row>
    <row r="37" spans="1:20" ht="11.25" customHeight="1" x14ac:dyDescent="0.3">
      <c r="A37" s="1208" t="s">
        <v>456</v>
      </c>
      <c r="B37" s="1208"/>
      <c r="C37" s="1208"/>
      <c r="D37" s="1208"/>
      <c r="E37" s="1208"/>
      <c r="F37" s="1208"/>
      <c r="G37" s="1208"/>
      <c r="H37" s="1208"/>
      <c r="I37" s="1208"/>
      <c r="J37" s="433"/>
      <c r="K37" s="413"/>
      <c r="L37" s="1208" t="s">
        <v>456</v>
      </c>
      <c r="M37" s="1208"/>
      <c r="N37" s="1208"/>
      <c r="O37" s="1208"/>
      <c r="P37" s="1208"/>
      <c r="Q37" s="1208"/>
      <c r="R37" s="1208"/>
      <c r="S37" s="1208"/>
      <c r="T37" s="1208"/>
    </row>
    <row r="38" spans="1:20" ht="14.25" customHeight="1" x14ac:dyDescent="0.3">
      <c r="A38" s="413"/>
      <c r="B38" s="413"/>
      <c r="C38" s="1451"/>
      <c r="D38" s="1451"/>
      <c r="E38" s="1451"/>
      <c r="F38" s="1451"/>
      <c r="G38" s="1451"/>
      <c r="J38" s="433"/>
      <c r="K38" s="413"/>
      <c r="L38" s="413"/>
      <c r="M38" s="413"/>
      <c r="N38" s="1451"/>
      <c r="O38" s="1451"/>
      <c r="P38" s="1451"/>
      <c r="Q38" s="1451"/>
      <c r="R38" s="1451"/>
    </row>
    <row r="39" spans="1:20" ht="10.5" customHeight="1" x14ac:dyDescent="0.3">
      <c r="A39" s="414"/>
      <c r="B39" s="414"/>
      <c r="C39" s="1208" t="s">
        <v>457</v>
      </c>
      <c r="D39" s="1208"/>
      <c r="E39" s="1208"/>
      <c r="F39" s="1208"/>
      <c r="G39" s="1208"/>
      <c r="J39" s="433"/>
      <c r="K39" s="413"/>
      <c r="L39" s="414"/>
      <c r="M39" s="414"/>
      <c r="N39" s="1208" t="s">
        <v>457</v>
      </c>
      <c r="O39" s="1208"/>
      <c r="P39" s="1208"/>
      <c r="Q39" s="1208"/>
      <c r="R39" s="1208"/>
    </row>
    <row r="40" spans="1:20" x14ac:dyDescent="0.3">
      <c r="A40" s="418" t="s">
        <v>455</v>
      </c>
      <c r="B40" s="417"/>
      <c r="C40" s="414"/>
      <c r="D40" s="414"/>
      <c r="E40" s="413"/>
      <c r="F40" s="413"/>
      <c r="G40" s="413"/>
      <c r="H40" s="408" t="s">
        <v>26</v>
      </c>
      <c r="I40" s="419"/>
      <c r="J40" s="433"/>
      <c r="K40" s="413"/>
      <c r="L40" s="418" t="s">
        <v>455</v>
      </c>
      <c r="M40" s="417"/>
      <c r="N40" s="414"/>
      <c r="O40" s="414"/>
      <c r="P40" s="413"/>
      <c r="Q40" s="413"/>
      <c r="R40" s="413"/>
      <c r="S40" s="408" t="s">
        <v>26</v>
      </c>
      <c r="T40" s="419"/>
    </row>
    <row r="41" spans="1:20" x14ac:dyDescent="0.3">
      <c r="A41" s="418" t="s">
        <v>37</v>
      </c>
      <c r="B41" s="417"/>
      <c r="C41" s="414"/>
      <c r="D41" s="414"/>
      <c r="E41" s="413"/>
      <c r="F41" s="413"/>
      <c r="G41" s="413"/>
      <c r="H41" s="408" t="s">
        <v>28</v>
      </c>
      <c r="I41" s="419"/>
      <c r="J41" s="433"/>
      <c r="K41" s="413"/>
      <c r="L41" s="418" t="s">
        <v>37</v>
      </c>
      <c r="M41" s="417"/>
      <c r="N41" s="414"/>
      <c r="O41" s="414"/>
      <c r="P41" s="413"/>
      <c r="Q41" s="413"/>
      <c r="R41" s="413"/>
      <c r="S41" s="408" t="s">
        <v>28</v>
      </c>
      <c r="T41" s="419"/>
    </row>
    <row r="42" spans="1:20" ht="4.5" customHeight="1" x14ac:dyDescent="0.3"/>
    <row r="43" spans="1:20" ht="4.5" customHeight="1" x14ac:dyDescent="0.3"/>
    <row r="44" spans="1:20" ht="4.5" customHeight="1" x14ac:dyDescent="0.3"/>
    <row r="45" spans="1:20" ht="4.5" customHeight="1" x14ac:dyDescent="0.3"/>
    <row r="46" spans="1:20" ht="4.5" customHeight="1" x14ac:dyDescent="0.3"/>
    <row r="47" spans="1:20" ht="4.5" customHeight="1" x14ac:dyDescent="0.3"/>
    <row r="48" spans="1:20" ht="4.5" customHeight="1" x14ac:dyDescent="0.3"/>
    <row r="49" ht="4.5" customHeight="1" x14ac:dyDescent="0.3"/>
    <row r="50" ht="4.5" customHeight="1" x14ac:dyDescent="0.3"/>
    <row r="51" ht="4.5" customHeight="1" x14ac:dyDescent="0.3"/>
    <row r="52" ht="4.5" customHeight="1" x14ac:dyDescent="0.3"/>
    <row r="53" ht="4.5" customHeight="1" x14ac:dyDescent="0.3"/>
    <row r="54" ht="4.5" customHeight="1" x14ac:dyDescent="0.3"/>
    <row r="55" ht="4.5" customHeight="1" x14ac:dyDescent="0.3"/>
    <row r="56" ht="4.5" customHeight="1" x14ac:dyDescent="0.3"/>
    <row r="57" ht="4.5" customHeight="1" x14ac:dyDescent="0.3"/>
    <row r="58" ht="4.5" customHeight="1" x14ac:dyDescent="0.3"/>
    <row r="59" ht="4.5" customHeight="1" x14ac:dyDescent="0.3"/>
    <row r="60" ht="4.5" customHeight="1" x14ac:dyDescent="0.3"/>
    <row r="61" ht="4.5" customHeight="1" x14ac:dyDescent="0.3"/>
    <row r="62" ht="4.5" customHeight="1" x14ac:dyDescent="0.3"/>
    <row r="63" ht="4.5" customHeight="1" x14ac:dyDescent="0.3"/>
    <row r="64" ht="4.5" customHeight="1" x14ac:dyDescent="0.3"/>
    <row r="65" ht="4.5" customHeight="1" x14ac:dyDescent="0.3"/>
    <row r="66" ht="4.5" customHeight="1" x14ac:dyDescent="0.3"/>
    <row r="67" ht="4.5" customHeight="1" x14ac:dyDescent="0.3"/>
  </sheetData>
  <mergeCells count="48">
    <mergeCell ref="M31:R31"/>
    <mergeCell ref="M32:R32"/>
    <mergeCell ref="M33:R33"/>
    <mergeCell ref="M34:R34"/>
    <mergeCell ref="B8:G8"/>
    <mergeCell ref="B9:G9"/>
    <mergeCell ref="B10:G10"/>
    <mergeCell ref="B11:G11"/>
    <mergeCell ref="B12:G12"/>
    <mergeCell ref="B30:G30"/>
    <mergeCell ref="A25:C25"/>
    <mergeCell ref="L25:N25"/>
    <mergeCell ref="B33:G33"/>
    <mergeCell ref="B34:G34"/>
    <mergeCell ref="B31:G31"/>
    <mergeCell ref="B32:G32"/>
    <mergeCell ref="A24:C24"/>
    <mergeCell ref="L24:N24"/>
    <mergeCell ref="M8:R8"/>
    <mergeCell ref="M9:R9"/>
    <mergeCell ref="M10:R10"/>
    <mergeCell ref="A37:I37"/>
    <mergeCell ref="L37:T37"/>
    <mergeCell ref="C38:G38"/>
    <mergeCell ref="N38:R38"/>
    <mergeCell ref="C39:G39"/>
    <mergeCell ref="N39:R39"/>
    <mergeCell ref="A27:C27"/>
    <mergeCell ref="L27:N27"/>
    <mergeCell ref="M30:R30"/>
    <mergeCell ref="A26:C26"/>
    <mergeCell ref="L26:N26"/>
    <mergeCell ref="L2:N2"/>
    <mergeCell ref="C16:G16"/>
    <mergeCell ref="C17:G17"/>
    <mergeCell ref="N16:R16"/>
    <mergeCell ref="N17:R17"/>
    <mergeCell ref="A15:I15"/>
    <mergeCell ref="L15:T15"/>
    <mergeCell ref="M12:R12"/>
    <mergeCell ref="M11:R11"/>
    <mergeCell ref="A2:C2"/>
    <mergeCell ref="A4:C4"/>
    <mergeCell ref="L3:N3"/>
    <mergeCell ref="L4:N4"/>
    <mergeCell ref="L5:N5"/>
    <mergeCell ref="A3:C3"/>
    <mergeCell ref="A5:C5"/>
  </mergeCells>
  <pageMargins left="0.23622047244094491" right="0.23622047244094491" top="0.23622047244094491" bottom="0.23622047244094491" header="0" footer="0"/>
  <pageSetup paperSize="9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17</vt:i4>
      </vt:variant>
      <vt:variant>
        <vt:lpstr>Именованные диапазоны</vt:lpstr>
      </vt:variant>
      <vt:variant>
        <vt:i4>3</vt:i4>
      </vt:variant>
    </vt:vector>
  </HeadingPairs>
  <TitlesOfParts>
    <vt:vector size="20" baseType="lpstr">
      <vt:lpstr>Городские Сосновоборск</vt:lpstr>
      <vt:lpstr>Краевые Сосновоборск</vt:lpstr>
      <vt:lpstr>Отчет_ЦСП</vt:lpstr>
      <vt:lpstr>Отчет_ГСК_Первенство</vt:lpstr>
      <vt:lpstr>Ведомость 6</vt:lpstr>
      <vt:lpstr>Именная по возраст группам</vt:lpstr>
      <vt:lpstr>Техническая параллельный зачет</vt:lpstr>
      <vt:lpstr>Нормативы</vt:lpstr>
      <vt:lpstr>Карточка эстафеты</vt:lpstr>
      <vt:lpstr>Дистанции взрослые</vt:lpstr>
      <vt:lpstr>Рекорды</vt:lpstr>
      <vt:lpstr>Ст. секундометрист</vt:lpstr>
      <vt:lpstr>Очки</vt:lpstr>
      <vt:lpstr>Протокол прохождения марафон</vt:lpstr>
      <vt:lpstr>Протокол_прохождения</vt:lpstr>
      <vt:lpstr>нормы_с_28.02.20</vt:lpstr>
      <vt:lpstr>Нормы 2018-1921</vt:lpstr>
      <vt:lpstr>'Именная по возраст группам'!Заголовки_для_печати</vt:lpstr>
      <vt:lpstr>'Техническая параллельный зачет'!Заголовки_для_печати</vt:lpstr>
      <vt:lpstr>нормы_с_28.02.20!Область_печати</vt:lpstr>
    </vt:vector>
  </TitlesOfParts>
  <Company>HomeLab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Шаблон технических заявок</dc:title>
  <dc:creator>Реди</dc:creator>
  <dc:description>Федерация подводного спорта Красноярского края</dc:description>
  <cp:lastModifiedBy>Матвей</cp:lastModifiedBy>
  <cp:lastPrinted>2024-05-16T13:58:45Z</cp:lastPrinted>
  <dcterms:created xsi:type="dcterms:W3CDTF">2015-02-24T12:52:44Z</dcterms:created>
  <dcterms:modified xsi:type="dcterms:W3CDTF">2025-11-23T08:34:30Z</dcterms:modified>
</cp:coreProperties>
</file>