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.minaeva\Downloads\"/>
    </mc:Choice>
  </mc:AlternateContent>
  <xr:revisionPtr revIDLastSave="0" documentId="13_ncr:1_{EF862626-23A6-4D80-B26A-FAF2ED1BF53C}" xr6:coauthVersionLast="36" xr6:coauthVersionMax="36" xr10:uidLastSave="{00000000-0000-0000-0000-000000000000}"/>
  <bookViews>
    <workbookView xWindow="0" yWindow="0" windowWidth="28800" windowHeight="10185" activeTab="1" xr2:uid="{6BBFBB2F-43B6-4309-B0E3-7820552D72DC}"/>
  </bookViews>
  <sheets>
    <sheet name="Партнер НЕ на НДС" sheetId="2" r:id="rId1"/>
    <sheet name="Отчет комиссионера с формулами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0" i="3" l="1" a="1"/>
  <c r="J40" i="3" s="1"/>
  <c r="I40" i="3" a="1"/>
  <c r="I40" i="3" s="1"/>
  <c r="M40" i="3" s="1"/>
  <c r="J39" i="3"/>
  <c r="J38" i="3" s="1"/>
  <c r="J39" i="3" a="1"/>
  <c r="I39" i="3"/>
  <c r="M39" i="3" s="1"/>
  <c r="M38" i="3" s="1"/>
  <c r="B42" i="3" s="1"/>
  <c r="I39" i="3" a="1"/>
  <c r="N38" i="3"/>
  <c r="N25" i="3"/>
  <c r="L25" i="3"/>
  <c r="K25" i="3" s="1"/>
  <c r="K40" i="3" s="1" a="1"/>
  <c r="K40" i="3" s="1"/>
  <c r="N20" i="3"/>
  <c r="B43" i="3" s="1" a="1"/>
  <c r="B43" i="3" s="1"/>
  <c r="L20" i="3"/>
  <c r="K20" i="3" s="1"/>
  <c r="K39" i="3" s="1" a="1"/>
  <c r="K39" i="3" s="1"/>
  <c r="K38" i="3" s="1"/>
  <c r="N12" i="3"/>
  <c r="N12" i="3" a="1"/>
  <c r="J12" i="3"/>
  <c r="J12" i="3" a="1"/>
  <c r="F12" i="3" a="1"/>
  <c r="F12" i="3" s="1"/>
  <c r="N11" i="3" a="1"/>
  <c r="N11" i="3" s="1"/>
  <c r="J11" i="3" a="1"/>
  <c r="J11" i="3" s="1"/>
  <c r="F11" i="3"/>
  <c r="F11" i="3" a="1"/>
  <c r="N10" i="3" a="1"/>
  <c r="N10" i="3" s="1"/>
  <c r="J10" i="3" a="1"/>
  <c r="J10" i="3" s="1"/>
  <c r="F10" i="3" a="1"/>
  <c r="F10" i="3" s="1"/>
  <c r="F13" i="3" s="1"/>
  <c r="G27" i="2"/>
  <c r="C27" i="2"/>
  <c r="C14" i="2"/>
  <c r="G12" i="2"/>
  <c r="C11" i="2"/>
  <c r="C7" i="2"/>
  <c r="C13" i="2" s="1"/>
  <c r="G6" i="2"/>
  <c r="G8" i="2" s="1"/>
  <c r="G14" i="2" s="1"/>
  <c r="C6" i="2"/>
  <c r="G5" i="2"/>
  <c r="J13" i="3" l="1"/>
  <c r="B44" i="3"/>
  <c r="M72" i="3" s="1"/>
  <c r="N13" i="3"/>
  <c r="I38" i="3"/>
  <c r="C19" i="2"/>
  <c r="C22" i="2"/>
  <c r="G7" i="2"/>
  <c r="G11" i="2"/>
  <c r="C20" i="2"/>
  <c r="C24" i="2" s="1"/>
  <c r="C28" i="2" s="1"/>
  <c r="M73" i="3" l="1"/>
  <c r="L72" i="3"/>
  <c r="L73" i="3" s="1"/>
  <c r="G20" i="2"/>
  <c r="G13" i="2"/>
  <c r="G15" i="2" s="1"/>
  <c r="G22" i="2" s="1"/>
  <c r="G19" i="2"/>
  <c r="C30" i="2"/>
  <c r="I72" i="3" l="1"/>
  <c r="G24" i="2"/>
  <c r="G28" i="2" s="1"/>
  <c r="G30" i="2" s="1"/>
  <c r="G31" i="2" s="1"/>
  <c r="I73" i="3" l="1"/>
  <c r="H7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tc={BE5565C9-B27B-47CA-A259-ABF6008F7DCE}</author>
  </authors>
  <commentList>
    <comment ref="A38" authorId="0" shapeId="0" xr:uid="{CD7D4A4D-0E33-427C-A873-0B046CDAC341}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Перенести итого в верхнюю часть таблицы</t>
        </r>
      </text>
    </comment>
  </commentList>
</comments>
</file>

<file path=xl/sharedStrings.xml><?xml version="1.0" encoding="utf-8"?>
<sst xmlns="http://schemas.openxmlformats.org/spreadsheetml/2006/main" count="290" uniqueCount="179">
  <si>
    <t>Текущая модель</t>
  </si>
  <si>
    <t>Скидочная модель</t>
  </si>
  <si>
    <t>Если премия учитывается в расходах по НнП</t>
  </si>
  <si>
    <t>Цена продажи Партнера</t>
  </si>
  <si>
    <t>Средний процент скидки Покупателю</t>
  </si>
  <si>
    <t>Сумма скидки Покупателю</t>
  </si>
  <si>
    <t>В отчете комиссионера доход Партнера</t>
  </si>
  <si>
    <t>Скидка Партнёру на комиссию</t>
  </si>
  <si>
    <t>КШ</t>
  </si>
  <si>
    <t>Получено денег от Покупателя</t>
  </si>
  <si>
    <t>Размер комиссии</t>
  </si>
  <si>
    <t>Комиссия КШ, с учётом НДС</t>
  </si>
  <si>
    <t>Комиссия КШ, с учётом НДС, без скидки</t>
  </si>
  <si>
    <t>Скидка на комиссию</t>
  </si>
  <si>
    <t>Комиссия КШ, с учётом НДС, с учётом скидки</t>
  </si>
  <si>
    <t>Расходы</t>
  </si>
  <si>
    <t>Партнер</t>
  </si>
  <si>
    <t>Получено денег от КШ</t>
  </si>
  <si>
    <t>Выручка</t>
  </si>
  <si>
    <t>Премия</t>
  </si>
  <si>
    <t>Расход</t>
  </si>
  <si>
    <t>НДС к исчислению</t>
  </si>
  <si>
    <t>НДС к вычету</t>
  </si>
  <si>
    <t>НДС к уплате</t>
  </si>
  <si>
    <t>Итого налоги</t>
  </si>
  <si>
    <t>Итого доход в деньгах</t>
  </si>
  <si>
    <t>Дополнительный доход</t>
  </si>
  <si>
    <t>Было строки отчета комиссионера</t>
  </si>
  <si>
    <t>Номер внешнего заказа клиента</t>
  </si>
  <si>
    <t>Заказ на продажу</t>
  </si>
  <si>
    <t>Номенклатура</t>
  </si>
  <si>
    <t>Размер</t>
  </si>
  <si>
    <t>Серийный номер</t>
  </si>
  <si>
    <t>Конфигурация</t>
  </si>
  <si>
    <t>Количество</t>
  </si>
  <si>
    <t>Цена реализации, руб. вкл. НДС</t>
  </si>
  <si>
    <t>Согласованная цена</t>
  </si>
  <si>
    <t>Процент</t>
  </si>
  <si>
    <t>Сумма к перечислению</t>
  </si>
  <si>
    <t>Сумма комиссии</t>
  </si>
  <si>
    <t>Сумма отклонения</t>
  </si>
  <si>
    <t>Столбец1</t>
  </si>
  <si>
    <t>RU240129-634198</t>
  </si>
  <si>
    <t>MP002XM0VGSUINS</t>
  </si>
  <si>
    <t>BLM39337724</t>
  </si>
  <si>
    <t>01</t>
  </si>
  <si>
    <t>Было - проводки</t>
  </si>
  <si>
    <t>20%</t>
  </si>
  <si>
    <t>10%</t>
  </si>
  <si>
    <t>ДТ</t>
  </si>
  <si>
    <t>КТ</t>
  </si>
  <si>
    <t>Продажа товара</t>
  </si>
  <si>
    <t>62</t>
  </si>
  <si>
    <t>76 Партнер</t>
  </si>
  <si>
    <t>Начисление комиссии</t>
  </si>
  <si>
    <t>90</t>
  </si>
  <si>
    <t>Расходы по прог лояльн</t>
  </si>
  <si>
    <t>91.02</t>
  </si>
  <si>
    <t>Оплата</t>
  </si>
  <si>
    <t>51</t>
  </si>
  <si>
    <t>Стало строки товара с 20% (строки отчета комиссионера D365)</t>
  </si>
  <si>
    <t>Чистая сумма</t>
  </si>
  <si>
    <t>Скидка по комиссии</t>
  </si>
  <si>
    <t>Ставка НДС</t>
  </si>
  <si>
    <t>Стало - печ форма (все отчеты комиссионера) D365 +направляемая в ЭДО</t>
  </si>
  <si>
    <t>Отчет комиссионера № CR000106377 от 29.02.2024 по договору комиссии от 16.10.2017</t>
  </si>
  <si>
    <t>Период:</t>
  </si>
  <si>
    <t>С 01.02.2024 по 29.02.2024</t>
  </si>
  <si>
    <t>Комиссионер:</t>
  </si>
  <si>
    <t>Общество с ограниченной ответственностью "Купишуз", ИНН 7705935687, КПП 773101001</t>
  </si>
  <si>
    <t>Комитент:</t>
  </si>
  <si>
    <t>Договор:</t>
  </si>
  <si>
    <t>Заказ</t>
  </si>
  <si>
    <t>Дата заказа</t>
  </si>
  <si>
    <t>Артикул</t>
  </si>
  <si>
    <t>SellerSKU</t>
  </si>
  <si>
    <t>Штрих-код партнера (EAN)</t>
  </si>
  <si>
    <t>Штрих-код</t>
  </si>
  <si>
    <t>Метод доставки</t>
  </si>
  <si>
    <t>Согласованная с комитентом цена, руб. вкл. НДС</t>
  </si>
  <si>
    <t>К перечислению комитенту, 
руб. вкл. НДС</t>
  </si>
  <si>
    <t>Комиссионное вознаграждение, %</t>
  </si>
  <si>
    <t>Комиссионное вознаграждение от цены реализации, без учета скидки
 руб. вкл. НДС</t>
  </si>
  <si>
    <t>НДС с ин. компаний, руб</t>
  </si>
  <si>
    <t>Ставка НДС при продаже товара, %</t>
  </si>
  <si>
    <t>Дата продажи</t>
  </si>
  <si>
    <t>Номер заказа в учете комитента</t>
  </si>
  <si>
    <t>Uit</t>
  </si>
  <si>
    <t>Итого по отчету комиссионера:</t>
  </si>
  <si>
    <t>-</t>
  </si>
  <si>
    <t>RU240211-782680</t>
  </si>
  <si>
    <t>11.02.2024</t>
  </si>
  <si>
    <t>MP002XB006SJCM056</t>
  </si>
  <si>
    <t>535К-361г-56</t>
  </si>
  <si>
    <t>4601008135303</t>
  </si>
  <si>
    <t>XDC</t>
  </si>
  <si>
    <t>16.02.2024</t>
  </si>
  <si>
    <t/>
  </si>
  <si>
    <t>BLM39337725</t>
  </si>
  <si>
    <t>Комиссионное вознаграждение, без учета скидки
 руб. вкл. НДС</t>
  </si>
  <si>
    <t>Скидка на комиссионное вознаграждение, руб. вкл. НДС</t>
  </si>
  <si>
    <t>Комиссионное вознаграждение с учетом скидки, руб. вкл. НДС</t>
  </si>
  <si>
    <t>Стало - УПД на комиссию</t>
  </si>
  <si>
    <t>УПД</t>
  </si>
  <si>
    <t>Счет-фактура №F00000082218 от 01.03.2024</t>
  </si>
  <si>
    <t>Статус:</t>
  </si>
  <si>
    <t>Исправление № — от —</t>
  </si>
  <si>
    <t>(1а)</t>
  </si>
  <si>
    <t>Счет-фактура и передаточный документ — 1</t>
  </si>
  <si>
    <t>Продавец</t>
  </si>
  <si>
    <t>Общество с ограниченной ответственностью "Купишуз"</t>
  </si>
  <si>
    <t>Адрес</t>
  </si>
  <si>
    <t>121614, г. Москва, Крылатская, 15</t>
  </si>
  <si>
    <t>(2а)</t>
  </si>
  <si>
    <t>ИНН/КПП</t>
  </si>
  <si>
    <t>7705935687 / 773101001</t>
  </si>
  <si>
    <t>(2б)</t>
  </si>
  <si>
    <t>Банковские реквизиты</t>
  </si>
  <si>
    <t>Р/с 40702810200001432667, АО "РАЙФФАЙЗЕНБАНК", БИК 044525700, к/с 30101810200000000700</t>
  </si>
  <si>
    <t>Контактные данные</t>
  </si>
  <si>
    <t>Тел.: +7 (499) 500-49-70,</t>
  </si>
  <si>
    <t>Грузоотправитель и его адрес</t>
  </si>
  <si>
    <t>—</t>
  </si>
  <si>
    <t>Грузополучатель и его адрес</t>
  </si>
  <si>
    <t>К платежно-расчетному документу</t>
  </si>
  <si>
    <t>Документ об отгрузке</t>
  </si>
  <si>
    <r>
      <t>№</t>
    </r>
    <r>
      <rPr>
        <sz val="11"/>
        <color theme="1"/>
        <rFont val="Calibri"/>
        <family val="2"/>
        <charset val="204"/>
        <scheme val="minor"/>
      </rPr>
      <t>п/п 1 №F00000082218 от 01.03.2024</t>
    </r>
  </si>
  <si>
    <t>(5а)</t>
  </si>
  <si>
    <t>Покупатель</t>
  </si>
  <si>
    <t>ООО "Машук"</t>
  </si>
  <si>
    <t>357528, Ставропольский край, Пятигорск г, Февральская, д. 54, литер Г1, пом. 217</t>
  </si>
  <si>
    <t>(6а)</t>
  </si>
  <si>
    <t>2632800220 / 263201001</t>
  </si>
  <si>
    <t>(6б)</t>
  </si>
  <si>
    <t>Валюта: наименование, код</t>
  </si>
  <si>
    <t>Российский рубль, 643</t>
  </si>
  <si>
    <t>Идентификатор государственного контракта, договора (соглашения) (при наличии):</t>
  </si>
  <si>
    <t>Код</t>
  </si>
  <si>
    <t>№ п/п</t>
  </si>
  <si>
    <t>Наименование товара</t>
  </si>
  <si>
    <t>Единица</t>
  </si>
  <si>
    <t>Количест­во (объем)</t>
  </si>
  <si>
    <t>Цена (тариф) за единицу измерения</t>
  </si>
  <si>
    <t>Стоимость</t>
  </si>
  <si>
    <t>В том числе сумма акциза</t>
  </si>
  <si>
    <t>Налоговая ставка</t>
  </si>
  <si>
    <t>Сумма налога, предъявляе­мая</t>
  </si>
  <si>
    <t>Страна происхождения товара</t>
  </si>
  <si>
    <t>Регистрационный номер декларации на товары или реги­страцион­ный номер партии товара, подлежаще­го просле­живаемости</t>
  </si>
  <si>
    <t>товара /</t>
  </si>
  <si>
    <t>(описание выполненных</t>
  </si>
  <si>
    <t>вида</t>
  </si>
  <si>
    <t>измерения</t>
  </si>
  <si>
    <t>товаров (работ,</t>
  </si>
  <si>
    <t>покупа­телю</t>
  </si>
  <si>
    <t>работ,</t>
  </si>
  <si>
    <t>работ, оказанных услуг),</t>
  </si>
  <si>
    <t>товара</t>
  </si>
  <si>
    <t>услуг), иму­щественных прав без налога - всего</t>
  </si>
  <si>
    <t>услуг), иму­щественных прав с налогом - всего</t>
  </si>
  <si>
    <t>услуг</t>
  </si>
  <si>
    <t>имущественного права</t>
  </si>
  <si>
    <t>Условное обозначе­ние (наци­ональное)</t>
  </si>
  <si>
    <t>Циф­ро­вой код</t>
  </si>
  <si>
    <t>Краткое наимено­вание</t>
  </si>
  <si>
    <t>А</t>
  </si>
  <si>
    <t>1а</t>
  </si>
  <si>
    <t>1б</t>
  </si>
  <si>
    <t>2а</t>
  </si>
  <si>
    <t>10а</t>
  </si>
  <si>
    <t>90_Комиссия</t>
  </si>
  <si>
    <r>
      <rPr>
        <sz val="8"/>
        <color rgb="FFFF0000"/>
        <rFont val="Arial"/>
        <family val="2"/>
        <charset val="204"/>
      </rPr>
      <t>Вознаграждение за исполнение комиссионного поручения</t>
    </r>
    <r>
      <rPr>
        <sz val="8"/>
        <color rgb="FF000000"/>
        <rFont val="Arial"/>
        <family val="2"/>
        <charset val="204"/>
      </rPr>
      <t xml:space="preserve"> по отчету CR000106377 </t>
    </r>
    <r>
      <rPr>
        <sz val="8"/>
        <color rgb="FFFF0000"/>
        <rFont val="Arial"/>
        <family val="2"/>
        <charset val="204"/>
      </rPr>
      <t>от дата</t>
    </r>
    <r>
      <rPr>
        <sz val="8"/>
        <color rgb="FF000000"/>
        <rFont val="Arial"/>
        <family val="2"/>
        <charset val="204"/>
      </rPr>
      <t>, ,</t>
    </r>
  </si>
  <si>
    <t>шт</t>
  </si>
  <si>
    <t>без акциза</t>
  </si>
  <si>
    <t>Всего к оплате (9)</t>
  </si>
  <si>
    <t>×</t>
  </si>
  <si>
    <t>Доход</t>
  </si>
  <si>
    <t>Налог (УСН 15%)</t>
  </si>
  <si>
    <t>Стало строки товара с 10% (строки отчета комиссионера D365)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</si>
</sst>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  <charset val="204"/>
    </font>
    <font>
      <b/>
      <sz val="12"/>
      <color theme="1"/>
      <name val="Calibri"/>
      <family val="2"/>
      <scheme val="minor"/>
    </font>
    <font>
      <sz val="11"/>
      <color rgb="FF777777"/>
      <name val="Calibri"/>
      <family val="2"/>
      <scheme val="minor"/>
    </font>
    <font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8"/>
      <color rgb="FFFF0000"/>
      <name val="Arial"/>
      <family val="2"/>
      <charset val="204"/>
    </font>
    <font>
      <b/>
      <sz val="8"/>
      <color rgb="FF00000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808080"/>
      </right>
      <top style="medium">
        <color rgb="FFFFFFFF"/>
      </top>
      <bottom/>
      <diagonal/>
    </border>
    <border>
      <left style="medium">
        <color rgb="FF808080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808080"/>
      </right>
      <top/>
      <bottom/>
      <diagonal/>
    </border>
    <border>
      <left style="medium">
        <color rgb="FF808080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FFFFFF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/>
      <right style="medium">
        <color rgb="FF808080"/>
      </right>
      <top/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FFFFFF"/>
      </left>
      <right style="medium">
        <color rgb="FF808080"/>
      </right>
      <top style="medium">
        <color rgb="FF808080"/>
      </top>
      <bottom style="medium">
        <color rgb="FFFFFFFF"/>
      </bottom>
      <diagonal/>
    </border>
    <border>
      <left style="medium">
        <color rgb="FF808080"/>
      </left>
      <right/>
      <top style="medium">
        <color rgb="FF808080"/>
      </top>
      <bottom style="medium">
        <color rgb="FFFFFFFF"/>
      </bottom>
      <diagonal/>
    </border>
    <border>
      <left/>
      <right/>
      <top style="medium">
        <color rgb="FF808080"/>
      </top>
      <bottom style="medium">
        <color rgb="FFFFFFFF"/>
      </bottom>
      <diagonal/>
    </border>
    <border>
      <left/>
      <right style="medium">
        <color rgb="FF808080"/>
      </right>
      <top style="medium">
        <color rgb="FF808080"/>
      </top>
      <bottom style="medium">
        <color rgb="FFFFFFFF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88">
    <xf numFmtId="0" fontId="0" fillId="0" borderId="0" xfId="0"/>
    <xf numFmtId="164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164" fontId="4" fillId="0" borderId="0" xfId="0" applyNumberFormat="1" applyFont="1"/>
    <xf numFmtId="10" fontId="0" fillId="0" borderId="0" xfId="1" applyNumberFormat="1" applyFont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3" fillId="4" borderId="0" xfId="0" applyFont="1" applyFill="1"/>
    <xf numFmtId="164" fontId="2" fillId="0" borderId="0" xfId="0" applyNumberFormat="1" applyFont="1"/>
    <xf numFmtId="0" fontId="0" fillId="3" borderId="0" xfId="0" applyFill="1"/>
    <xf numFmtId="164" fontId="3" fillId="0" borderId="0" xfId="0" applyNumberFormat="1" applyFont="1"/>
    <xf numFmtId="0" fontId="3" fillId="0" borderId="1" xfId="0" applyFont="1" applyFill="1" applyBorder="1"/>
    <xf numFmtId="164" fontId="3" fillId="0" borderId="1" xfId="0" applyNumberFormat="1" applyFont="1" applyFill="1" applyBorder="1"/>
    <xf numFmtId="0" fontId="3" fillId="0" borderId="0" xfId="0" applyFont="1" applyFill="1" applyBorder="1"/>
    <xf numFmtId="10" fontId="3" fillId="2" borderId="0" xfId="1" applyNumberFormat="1" applyFont="1" applyFill="1"/>
    <xf numFmtId="0" fontId="0" fillId="0" borderId="0" xfId="0" applyFill="1"/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4" fontId="0" fillId="0" borderId="0" xfId="0" applyNumberFormat="1" applyAlignment="1">
      <alignment wrapText="1"/>
    </xf>
    <xf numFmtId="0" fontId="5" fillId="5" borderId="0" xfId="0" applyFont="1" applyFill="1" applyAlignment="1">
      <alignment wrapText="1"/>
    </xf>
    <xf numFmtId="4" fontId="0" fillId="5" borderId="0" xfId="0" applyNumberFormat="1" applyFill="1" applyAlignment="1">
      <alignment horizontal="left"/>
    </xf>
    <xf numFmtId="49" fontId="0" fillId="0" borderId="2" xfId="0" applyNumberFormat="1" applyBorder="1" applyAlignment="1">
      <alignment horizontal="left"/>
    </xf>
    <xf numFmtId="4" fontId="0" fillId="0" borderId="2" xfId="0" applyNumberFormat="1" applyBorder="1" applyAlignment="1">
      <alignment horizontal="left"/>
    </xf>
    <xf numFmtId="4" fontId="6" fillId="0" borderId="0" xfId="0" applyNumberFormat="1" applyFont="1" applyAlignment="1">
      <alignment horizontal="left"/>
    </xf>
    <xf numFmtId="4" fontId="7" fillId="0" borderId="2" xfId="0" applyNumberFormat="1" applyFont="1" applyBorder="1"/>
    <xf numFmtId="49" fontId="0" fillId="6" borderId="0" xfId="0" applyNumberFormat="1" applyFill="1" applyAlignment="1">
      <alignment horizontal="left"/>
    </xf>
    <xf numFmtId="4" fontId="0" fillId="6" borderId="0" xfId="0" applyNumberFormat="1" applyFill="1" applyAlignment="1">
      <alignment horizontal="left"/>
    </xf>
    <xf numFmtId="0" fontId="0" fillId="6" borderId="0" xfId="0" applyFill="1"/>
    <xf numFmtId="4" fontId="0" fillId="0" borderId="0" xfId="0" applyNumberFormat="1"/>
    <xf numFmtId="0" fontId="0" fillId="7" borderId="0" xfId="0" applyFill="1"/>
    <xf numFmtId="9" fontId="0" fillId="0" borderId="0" xfId="0" applyNumberFormat="1"/>
    <xf numFmtId="0" fontId="8" fillId="0" borderId="0" xfId="2"/>
    <xf numFmtId="0" fontId="3" fillId="0" borderId="2" xfId="0" applyFont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right" wrapText="1"/>
    </xf>
    <xf numFmtId="4" fontId="3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4" fontId="0" fillId="0" borderId="2" xfId="0" applyNumberFormat="1" applyBorder="1"/>
    <xf numFmtId="0" fontId="0" fillId="8" borderId="2" xfId="0" applyFill="1" applyBorder="1"/>
    <xf numFmtId="0" fontId="9" fillId="0" borderId="3" xfId="0" applyFont="1" applyBorder="1" applyAlignment="1">
      <alignment vertical="center" wrapText="1"/>
    </xf>
    <xf numFmtId="0" fontId="11" fillId="0" borderId="5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12" fillId="0" borderId="7" xfId="0" applyFont="1" applyBorder="1" applyAlignment="1">
      <alignment vertical="center" wrapText="1"/>
    </xf>
    <xf numFmtId="0" fontId="11" fillId="0" borderId="0" xfId="0" applyFont="1" applyAlignment="1">
      <alignment vertical="top" wrapText="1" indent="1"/>
    </xf>
    <xf numFmtId="0" fontId="0" fillId="0" borderId="9" xfId="0" applyBorder="1"/>
    <xf numFmtId="0" fontId="11" fillId="0" borderId="8" xfId="0" applyFont="1" applyBorder="1" applyAlignment="1">
      <alignment vertical="top" wrapText="1" indent="1"/>
    </xf>
    <xf numFmtId="0" fontId="0" fillId="0" borderId="0" xfId="0" applyAlignment="1">
      <alignment vertical="top" wrapText="1" indent="1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11" fillId="0" borderId="11" xfId="0" applyFont="1" applyBorder="1" applyAlignment="1">
      <alignment vertical="top" wrapText="1" indent="1"/>
    </xf>
    <xf numFmtId="0" fontId="0" fillId="0" borderId="12" xfId="0" applyBorder="1" applyAlignment="1">
      <alignment vertical="top" wrapText="1" indent="1"/>
    </xf>
    <xf numFmtId="0" fontId="11" fillId="0" borderId="12" xfId="0" applyFont="1" applyBorder="1" applyAlignment="1">
      <alignment vertical="top" wrapText="1" indent="1"/>
    </xf>
    <xf numFmtId="0" fontId="0" fillId="0" borderId="12" xfId="0" applyBorder="1"/>
    <xf numFmtId="0" fontId="0" fillId="0" borderId="13" xfId="0" applyBorder="1"/>
    <xf numFmtId="0" fontId="12" fillId="0" borderId="1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top" wrapText="1"/>
    </xf>
    <xf numFmtId="0" fontId="12" fillId="0" borderId="21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right" vertical="top" wrapText="1"/>
    </xf>
    <xf numFmtId="4" fontId="12" fillId="0" borderId="21" xfId="0" applyNumberFormat="1" applyFont="1" applyBorder="1" applyAlignment="1">
      <alignment horizontal="right" vertical="top" wrapText="1"/>
    </xf>
    <xf numFmtId="9" fontId="12" fillId="0" borderId="21" xfId="0" applyNumberFormat="1" applyFont="1" applyBorder="1" applyAlignment="1">
      <alignment horizontal="center" vertical="top" wrapText="1"/>
    </xf>
    <xf numFmtId="0" fontId="12" fillId="0" borderId="22" xfId="0" applyFont="1" applyBorder="1" applyAlignment="1">
      <alignment vertical="top" wrapText="1"/>
    </xf>
    <xf numFmtId="4" fontId="15" fillId="0" borderId="21" xfId="0" applyNumberFormat="1" applyFont="1" applyBorder="1" applyAlignment="1">
      <alignment horizontal="right" vertical="top" wrapText="1"/>
    </xf>
    <xf numFmtId="0" fontId="15" fillId="0" borderId="21" xfId="0" applyFont="1" applyBorder="1" applyAlignment="1">
      <alignment horizontal="center" vertical="top" wrapText="1"/>
    </xf>
    <xf numFmtId="164" fontId="0" fillId="3" borderId="0" xfId="0" applyNumberFormat="1" applyFill="1"/>
    <xf numFmtId="0" fontId="3" fillId="2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15" fillId="0" borderId="23" xfId="0" applyFont="1" applyBorder="1" applyAlignment="1">
      <alignment horizontal="right" vertical="top" wrapText="1"/>
    </xf>
    <xf numFmtId="0" fontId="15" fillId="0" borderId="24" xfId="0" applyFont="1" applyBorder="1" applyAlignment="1">
      <alignment horizontal="right" vertical="top" wrapText="1"/>
    </xf>
    <xf numFmtId="0" fontId="15" fillId="0" borderId="25" xfId="0" applyFont="1" applyBorder="1" applyAlignment="1">
      <alignment horizontal="right" vertical="top" wrapText="1"/>
    </xf>
    <xf numFmtId="0" fontId="12" fillId="0" borderId="1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3" fillId="0" borderId="8" xfId="0" applyFont="1" applyBorder="1" applyAlignment="1">
      <alignment horizontal="left" vertical="center" wrapText="1" indent="1"/>
    </xf>
    <xf numFmtId="0" fontId="13" fillId="0" borderId="0" xfId="0" applyFont="1" applyAlignment="1">
      <alignment horizontal="left" vertical="center" wrapText="1" indent="1"/>
    </xf>
  </cellXfs>
  <cellStyles count="3">
    <cellStyle name="Обычный" xfId="0" builtinId="0"/>
    <cellStyle name="Обычный 2" xfId="2" xr:uid="{B08C3A79-4088-4722-A49C-A77F53206CB3}"/>
    <cellStyle name="Процентный" xfId="1" builtinId="5"/>
  </cellStyles>
  <dxfs count="14">
    <dxf>
      <numFmt numFmtId="4" formatCode="#,##0.00"/>
      <fill>
        <patternFill patternType="solid">
          <fgColor indexed="64"/>
          <bgColor theme="5" tint="0.59999389629810485"/>
        </patternFill>
      </fill>
    </dxf>
    <dxf>
      <fill>
        <patternFill patternType="solid">
          <fgColor indexed="64"/>
          <bgColor theme="5" tint="0.59999389629810485"/>
        </patternFill>
      </fill>
    </dxf>
    <dxf>
      <fill>
        <patternFill patternType="none">
          <fgColor indexed="64"/>
          <bgColor auto="1"/>
        </patternFill>
      </fill>
    </dxf>
    <dxf>
      <numFmt numFmtId="4" formatCode="#,##0.00"/>
    </dxf>
    <dxf>
      <fill>
        <patternFill patternType="solid">
          <fgColor indexed="64"/>
          <bgColor theme="5" tint="0.59999389629810485"/>
        </patternFill>
      </fill>
    </dxf>
    <dxf>
      <fill>
        <patternFill patternType="solid">
          <fgColor indexed="64"/>
          <bgColor theme="5" tint="0.59999389629810485"/>
        </patternFill>
      </fill>
    </dxf>
    <dxf>
      <fill>
        <patternFill patternType="none">
          <fgColor indexed="64"/>
          <bgColor auto="1"/>
        </patternFill>
      </fill>
    </dxf>
    <dxf>
      <numFmt numFmtId="4" formatCode="#,##0.00"/>
    </dxf>
    <dxf>
      <numFmt numFmtId="4" formatCode="#,##0.00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</dxf>
    <dxf>
      <numFmt numFmtId="4" formatCode="#,##0.00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numFmt numFmtId="4" formatCode="#,##0.0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F807F0-AF3D-49A0-9EFD-BEDC3A163A79}" name="AxTable1" displayName="AxTable1" ref="A2:N3" totalsRowShown="0" headerRowDxfId="13">
  <autoFilter ref="A2:N3" xr:uid="{57A5AFEC-D99A-48D2-8D1F-C1F383CD0A99}"/>
  <tableColumns count="14">
    <tableColumn id="1" xr3:uid="{FDD619BB-DD3E-4A5E-B31E-EE21493952E3}" name="Номер внешнего заказа клиента"/>
    <tableColumn id="2" xr3:uid="{D0452095-A57C-45E0-91B6-F8512A365E50}" name="Заказ на продажу"/>
    <tableColumn id="3" xr3:uid="{40B2371A-3589-4EF2-ABB4-1D3775D12C7D}" name="Номенклатура"/>
    <tableColumn id="4" xr3:uid="{8BAEBFC5-2494-4172-B43B-D95F67A3EE02}" name="Размер"/>
    <tableColumn id="5" xr3:uid="{3765F658-BE42-4EEB-914D-87F0D1EB5B89}" name="Серийный номер"/>
    <tableColumn id="6" xr3:uid="{08862195-2A8A-4421-9DF8-D68E6585C973}" name="Конфигурация" dataDxfId="12"/>
    <tableColumn id="7" xr3:uid="{3F748F23-29E3-4106-9B7E-82BC2A8FF5B7}" name="Количество"/>
    <tableColumn id="8" xr3:uid="{77482317-1841-4110-AD6A-B40D4E542028}" name="Цена реализации, руб. вкл. НДС" dataDxfId="11"/>
    <tableColumn id="9" xr3:uid="{6E5E0931-B6B8-45DC-B88F-C89246F80941}" name="Согласованная цена" dataDxfId="10"/>
    <tableColumn id="10" xr3:uid="{513AC92C-2510-4E58-867D-090FB7CAA345}" name="Процент"/>
    <tableColumn id="11" xr3:uid="{B082D990-8AB6-49EC-B455-F0871F33FA35}" name="Сумма к перечислению"/>
    <tableColumn id="12" xr3:uid="{E751BCDB-C9AF-404C-A2ED-FF89F9B3B4A5}" name="Сумма комиссии"/>
    <tableColumn id="13" xr3:uid="{9B2B1124-62FF-4887-B46C-2CE0794068C2}" name="Сумма отклонения" dataDxfId="9"/>
    <tableColumn id="14" xr3:uid="{20557D3A-87B2-4D0A-A617-EF39B746852D}" name="Столбец1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AC41C3D-E4BB-44A5-BAD6-AFF2C4E68068}" name="AxTable13" displayName="AxTable13" ref="A19:O20" totalsRowShown="0">
  <autoFilter ref="A19:O20" xr:uid="{7F5ABF10-1E78-4F7D-B1CB-6AF01C58A76A}"/>
  <tableColumns count="15">
    <tableColumn id="1" xr3:uid="{BCB22DC9-5166-4375-96B0-AF6002BAA32F}" name="Номер внешнего заказа клиента"/>
    <tableColumn id="2" xr3:uid="{70102DCD-4460-4BCE-868C-123C2F84BD88}" name="Заказ на продажу"/>
    <tableColumn id="3" xr3:uid="{AEFFAA0D-827B-474A-94E6-891A249CC434}" name="Номенклатура"/>
    <tableColumn id="4" xr3:uid="{A55CC512-9365-41AE-A49E-02194818B642}" name="Размер"/>
    <tableColumn id="5" xr3:uid="{08572B0F-4EA9-4AF9-BC86-D018C03FE16B}" name="Серийный номер"/>
    <tableColumn id="6" xr3:uid="{8CB7F30A-7FCE-4230-AB43-A44F32D34003}" name="Конфигурация" dataDxfId="7"/>
    <tableColumn id="7" xr3:uid="{0401C699-88AE-4D08-9FE1-49AF076E3841}" name="Количество"/>
    <tableColumn id="8" xr3:uid="{2C6EBD28-FC7F-440C-87C0-F31268C888D2}" name="Чистая сумма"/>
    <tableColumn id="9" xr3:uid="{9F96A44B-4347-4AFF-85FB-027EEE65677F}" name="Согласованная цена" dataDxfId="6"/>
    <tableColumn id="10" xr3:uid="{FF59EB9E-9701-416B-812A-52BC69C94009}" name="Процент"/>
    <tableColumn id="11" xr3:uid="{B08CC64D-9D69-4A43-A31B-EF751F21F2B6}" name="Сумма к перечислению">
      <calculatedColumnFormula>AxTable13[[#This Row],[Чистая сумма]]-AxTable13[[#This Row],[Сумма комиссии]]+AxTable13[[#This Row],[Скидка по комиссии]]</calculatedColumnFormula>
    </tableColumn>
    <tableColumn id="12" xr3:uid="{D2981E70-E954-4C66-BC08-B737E938A664}" name="Сумма комиссии">
      <calculatedColumnFormula>AxTable13[[#This Row],[Чистая сумма]]*AxTable13[[#This Row],[Процент]]</calculatedColumnFormula>
    </tableColumn>
    <tableColumn id="13" xr3:uid="{1DC723E3-F9B4-4CC8-BD8B-D4158BF2F5FD}" name="Сумма отклонения" dataDxfId="5"/>
    <tableColumn id="14" xr3:uid="{A0B2EB5B-3C75-4676-9541-FBEEE1BDDF8D}" name="Скидка по комиссии" dataDxfId="4">
      <calculatedColumnFormula>(AxTable13[[#This Row],[Согласованная цена]]-AxTable13[[#This Row],[Чистая сумма]])*(1-AxTable13[[#This Row],[Процент]])</calculatedColumnFormula>
    </tableColumn>
    <tableColumn id="15" xr3:uid="{84D0BA88-0505-4E23-94FE-5228D7117737}" name="Ставка НДС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7D61D0B-9A2B-4E5D-96DE-90230B914C2E}" name="AxTable134" displayName="AxTable134" ref="A24:O25" totalsRowShown="0">
  <autoFilter ref="A24:O25" xr:uid="{01614D1E-6AE0-4297-B085-804DB5E5FCCD}"/>
  <tableColumns count="15">
    <tableColumn id="1" xr3:uid="{6305C6BE-BA81-46F9-8861-9AF4F6C98C8B}" name="Номер внешнего заказа клиента"/>
    <tableColumn id="2" xr3:uid="{024CF1A2-99F5-4FDD-A1A5-8A6DD8366930}" name="Заказ на продажу"/>
    <tableColumn id="3" xr3:uid="{8F02A073-0519-4434-BEE9-58D21C4FCCF0}" name="Номенклатура"/>
    <tableColumn id="4" xr3:uid="{71A0C748-D000-4D86-8BA9-97B9F9D7B0BF}" name="Размер"/>
    <tableColumn id="5" xr3:uid="{D1C6FA7F-5DB2-410B-BCA1-8F846457DC46}" name="Серийный номер"/>
    <tableColumn id="6" xr3:uid="{A8652ED1-43D3-415A-8ADC-C6942CB81658}" name="Конфигурация" dataDxfId="3"/>
    <tableColumn id="7" xr3:uid="{237F4847-39BD-4F8E-9EF9-F74A8043D518}" name="Количество"/>
    <tableColumn id="8" xr3:uid="{8D425FA4-CCD3-489E-B421-F1E72E859005}" name="Чистая сумма"/>
    <tableColumn id="9" xr3:uid="{CAB986C1-523B-4D3C-B8A2-B8BA3C85BA5A}" name="Согласованная цена" dataDxfId="2"/>
    <tableColumn id="10" xr3:uid="{64FDC8AF-4B39-4682-9E6D-637C5E355A7B}" name="Процент"/>
    <tableColumn id="11" xr3:uid="{19416CC9-2547-42CA-9E7A-095A06F3FF5B}" name="Сумма к перечислению">
      <calculatedColumnFormula>AxTable134[[#This Row],[Чистая сумма]]-AxTable134[[#This Row],[Сумма комиссии]]+AxTable134[[#This Row],[Скидка по комиссии]]</calculatedColumnFormula>
    </tableColumn>
    <tableColumn id="12" xr3:uid="{870C88FE-C8D2-4A3A-8FAE-43DB32C129C9}" name="Сумма комиссии">
      <calculatedColumnFormula>AxTable134[[#This Row],[Чистая сумма]]*AxTable134[[#This Row],[Процент]]</calculatedColumnFormula>
    </tableColumn>
    <tableColumn id="13" xr3:uid="{770799AD-3929-4EA1-B6E3-7245578491B2}" name="Сумма отклонения" dataDxfId="1"/>
    <tableColumn id="14" xr3:uid="{FD195E42-D83C-40FB-B408-9367CA83EFC2}" name="Скидка по комиссии" dataDxfId="0">
      <calculatedColumnFormula>(AxTable134[[#This Row],[Согласованная цена]]-AxTable134[[#This Row],[Чистая сумма]])*(1-AxTable134[[#This Row],[Процент]])*1.15</calculatedColumnFormula>
    </tableColumn>
    <tableColumn id="15" xr3:uid="{62A492A6-5B63-4AE5-8338-3DC2A69316F7}" name="Ставка НДС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5" Type="http://schemas.openxmlformats.org/officeDocument/2006/relationships/comments" Target="../comments1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BD3A-F266-4E74-8763-6D55F47B82FD}">
  <dimension ref="B1:H34"/>
  <sheetViews>
    <sheetView topLeftCell="A7" workbookViewId="0">
      <selection activeCell="G27" sqref="G27"/>
    </sheetView>
  </sheetViews>
  <sheetFormatPr defaultColWidth="20.28515625" defaultRowHeight="15" x14ac:dyDescent="0.25"/>
  <sheetData>
    <row r="1" spans="2:8" x14ac:dyDescent="0.25">
      <c r="C1" s="1"/>
      <c r="D1" s="1"/>
    </row>
    <row r="2" spans="2:8" x14ac:dyDescent="0.25">
      <c r="B2" s="70" t="s">
        <v>0</v>
      </c>
      <c r="C2" s="70"/>
      <c r="D2" s="2"/>
      <c r="F2" s="70" t="s">
        <v>1</v>
      </c>
      <c r="G2" s="70"/>
    </row>
    <row r="3" spans="2:8" x14ac:dyDescent="0.25">
      <c r="B3" s="3"/>
      <c r="C3" s="1"/>
      <c r="D3" s="1"/>
      <c r="F3" s="71" t="s">
        <v>2</v>
      </c>
      <c r="G3" s="71"/>
    </row>
    <row r="4" spans="2:8" x14ac:dyDescent="0.25">
      <c r="B4" t="s">
        <v>3</v>
      </c>
      <c r="C4" s="1">
        <v>100</v>
      </c>
      <c r="D4" s="4"/>
      <c r="F4" t="s">
        <v>3</v>
      </c>
      <c r="G4" s="1">
        <v>100</v>
      </c>
      <c r="H4" s="4"/>
    </row>
    <row r="5" spans="2:8" x14ac:dyDescent="0.25">
      <c r="B5" t="s">
        <v>4</v>
      </c>
      <c r="C5" s="5">
        <v>7.3571985948634552E-2</v>
      </c>
      <c r="D5" s="4"/>
      <c r="F5" t="s">
        <v>4</v>
      </c>
      <c r="G5" s="5">
        <f>C5</f>
        <v>7.3571985948634552E-2</v>
      </c>
      <c r="H5" s="4"/>
    </row>
    <row r="6" spans="2:8" x14ac:dyDescent="0.25">
      <c r="B6" t="s">
        <v>5</v>
      </c>
      <c r="C6" s="1">
        <f>C4*C5</f>
        <v>7.3571985948634548</v>
      </c>
      <c r="D6" s="1"/>
      <c r="F6" t="s">
        <v>5</v>
      </c>
      <c r="G6" s="1">
        <f>G4*G5</f>
        <v>7.3571985948634548</v>
      </c>
    </row>
    <row r="7" spans="2:8" ht="45" x14ac:dyDescent="0.25">
      <c r="B7" s="6" t="s">
        <v>6</v>
      </c>
      <c r="C7" s="1">
        <f>C4</f>
        <v>100</v>
      </c>
      <c r="D7" s="4"/>
      <c r="F7" s="6" t="s">
        <v>6</v>
      </c>
      <c r="G7" s="1">
        <f>G4-G6</f>
        <v>92.642801405136538</v>
      </c>
      <c r="H7" s="4"/>
    </row>
    <row r="8" spans="2:8" ht="30" x14ac:dyDescent="0.25">
      <c r="B8" s="6"/>
      <c r="C8" s="1"/>
      <c r="D8" s="1"/>
      <c r="F8" s="7" t="s">
        <v>7</v>
      </c>
      <c r="G8" s="69">
        <f>G6*(1-G12)</f>
        <v>4.7172844549301471</v>
      </c>
      <c r="H8" s="1"/>
    </row>
    <row r="9" spans="2:8" x14ac:dyDescent="0.25">
      <c r="C9" s="1"/>
      <c r="D9" s="1"/>
      <c r="G9" s="1"/>
    </row>
    <row r="10" spans="2:8" x14ac:dyDescent="0.25">
      <c r="B10" s="8" t="s">
        <v>8</v>
      </c>
      <c r="C10" s="1"/>
      <c r="D10" s="1"/>
      <c r="F10" s="8" t="s">
        <v>8</v>
      </c>
      <c r="G10" s="1"/>
    </row>
    <row r="11" spans="2:8" x14ac:dyDescent="0.25">
      <c r="B11" t="s">
        <v>9</v>
      </c>
      <c r="C11" s="1">
        <f>C4-C6</f>
        <v>92.642801405136538</v>
      </c>
      <c r="D11" s="1"/>
      <c r="F11" t="s">
        <v>9</v>
      </c>
      <c r="G11" s="1">
        <f>G4-G6</f>
        <v>92.642801405136538</v>
      </c>
    </row>
    <row r="12" spans="2:8" x14ac:dyDescent="0.25">
      <c r="B12" t="s">
        <v>10</v>
      </c>
      <c r="C12" s="5">
        <v>0.35882056273109247</v>
      </c>
      <c r="D12" s="9"/>
      <c r="F12" t="s">
        <v>10</v>
      </c>
      <c r="G12" s="5">
        <f>C12</f>
        <v>0.35882056273109247</v>
      </c>
    </row>
    <row r="13" spans="2:8" x14ac:dyDescent="0.25">
      <c r="B13" t="s">
        <v>11</v>
      </c>
      <c r="C13" s="1">
        <f>C7*C12</f>
        <v>35.882056273109249</v>
      </c>
      <c r="D13" s="1"/>
      <c r="F13" s="10" t="s">
        <v>12</v>
      </c>
      <c r="G13" s="69">
        <f>G7*G12</f>
        <v>33.242142133175939</v>
      </c>
    </row>
    <row r="14" spans="2:8" x14ac:dyDescent="0.25">
      <c r="B14" t="s">
        <v>15</v>
      </c>
      <c r="C14" s="1">
        <f>-C6</f>
        <v>-7.3571985948634548</v>
      </c>
      <c r="D14" s="1"/>
      <c r="F14" s="10" t="s">
        <v>13</v>
      </c>
      <c r="G14" s="69">
        <f>G8</f>
        <v>4.7172844549301471</v>
      </c>
    </row>
    <row r="15" spans="2:8" x14ac:dyDescent="0.25">
      <c r="C15" s="1"/>
      <c r="D15" s="1"/>
      <c r="F15" s="10" t="s">
        <v>14</v>
      </c>
      <c r="G15" s="69">
        <f>G13-G14</f>
        <v>28.524857678245791</v>
      </c>
    </row>
    <row r="16" spans="2:8" x14ac:dyDescent="0.25">
      <c r="C16" s="1"/>
      <c r="D16" s="1"/>
      <c r="F16" t="s">
        <v>15</v>
      </c>
      <c r="G16" s="1">
        <v>0</v>
      </c>
    </row>
    <row r="17" spans="2:8" x14ac:dyDescent="0.25">
      <c r="C17" s="1"/>
      <c r="D17" s="1"/>
      <c r="G17" s="1"/>
    </row>
    <row r="18" spans="2:8" x14ac:dyDescent="0.25">
      <c r="B18" s="8" t="s">
        <v>16</v>
      </c>
      <c r="C18" s="1"/>
      <c r="D18" s="1"/>
      <c r="F18" s="8" t="s">
        <v>16</v>
      </c>
      <c r="G18" s="1"/>
    </row>
    <row r="19" spans="2:8" x14ac:dyDescent="0.25">
      <c r="B19" t="s">
        <v>17</v>
      </c>
      <c r="C19" s="1">
        <f>C4-C13</f>
        <v>64.117943726890758</v>
      </c>
      <c r="D19" s="1"/>
      <c r="F19" t="s">
        <v>17</v>
      </c>
      <c r="G19" s="1">
        <f>G7-G15</f>
        <v>64.117943726890744</v>
      </c>
    </row>
    <row r="20" spans="2:8" x14ac:dyDescent="0.25">
      <c r="B20" t="s">
        <v>18</v>
      </c>
      <c r="C20" s="1">
        <f>C7</f>
        <v>100</v>
      </c>
      <c r="D20" s="1"/>
      <c r="F20" t="s">
        <v>176</v>
      </c>
      <c r="G20" s="1">
        <f>G7</f>
        <v>92.642801405136538</v>
      </c>
    </row>
    <row r="21" spans="2:8" x14ac:dyDescent="0.25">
      <c r="C21" s="1"/>
      <c r="D21" s="1"/>
      <c r="F21" t="s">
        <v>19</v>
      </c>
      <c r="G21" s="1">
        <v>0</v>
      </c>
    </row>
    <row r="22" spans="2:8" x14ac:dyDescent="0.25">
      <c r="B22" t="s">
        <v>20</v>
      </c>
      <c r="C22" s="1">
        <f>-C13</f>
        <v>-35.882056273109249</v>
      </c>
      <c r="D22" s="1"/>
      <c r="F22" t="s">
        <v>20</v>
      </c>
      <c r="G22" s="1">
        <f>-G15</f>
        <v>-28.524857678245791</v>
      </c>
      <c r="H22" s="16"/>
    </row>
    <row r="23" spans="2:8" x14ac:dyDescent="0.25">
      <c r="C23" s="1"/>
      <c r="D23" s="1"/>
      <c r="G23" s="1"/>
    </row>
    <row r="24" spans="2:8" x14ac:dyDescent="0.25">
      <c r="B24" s="3" t="s">
        <v>177</v>
      </c>
      <c r="C24" s="11">
        <f>-(C20+C22)*15%</f>
        <v>-9.6176915590336129</v>
      </c>
      <c r="D24" s="11"/>
      <c r="F24" s="3" t="s">
        <v>177</v>
      </c>
      <c r="G24" s="11">
        <f>-(G20+G21+G22)*15%</f>
        <v>-9.6176915590336112</v>
      </c>
    </row>
    <row r="25" spans="2:8" x14ac:dyDescent="0.25">
      <c r="B25" t="s">
        <v>21</v>
      </c>
      <c r="C25" s="1">
        <v>0</v>
      </c>
      <c r="D25" s="1"/>
      <c r="F25" t="s">
        <v>21</v>
      </c>
      <c r="G25" s="1">
        <v>0</v>
      </c>
    </row>
    <row r="26" spans="2:8" x14ac:dyDescent="0.25">
      <c r="B26" t="s">
        <v>22</v>
      </c>
      <c r="C26" s="1">
        <v>0</v>
      </c>
      <c r="D26" s="1"/>
      <c r="F26" t="s">
        <v>22</v>
      </c>
      <c r="G26" s="1">
        <v>0</v>
      </c>
    </row>
    <row r="27" spans="2:8" x14ac:dyDescent="0.25">
      <c r="B27" s="3" t="s">
        <v>23</v>
      </c>
      <c r="C27" s="11">
        <f>C25+C26</f>
        <v>0</v>
      </c>
      <c r="D27" s="11"/>
      <c r="F27" s="3" t="s">
        <v>23</v>
      </c>
      <c r="G27" s="11">
        <f>G25+G26</f>
        <v>0</v>
      </c>
    </row>
    <row r="28" spans="2:8" ht="15.75" thickBot="1" x14ac:dyDescent="0.3">
      <c r="B28" s="12" t="s">
        <v>24</v>
      </c>
      <c r="C28" s="13">
        <f>C24+C27</f>
        <v>-9.6176915590336129</v>
      </c>
      <c r="D28" s="11"/>
      <c r="F28" s="12" t="s">
        <v>24</v>
      </c>
      <c r="G28" s="13">
        <f>G24+G27</f>
        <v>-9.6176915590336112</v>
      </c>
    </row>
    <row r="29" spans="2:8" ht="15.75" thickTop="1" x14ac:dyDescent="0.25">
      <c r="C29" s="1"/>
      <c r="D29" s="1"/>
    </row>
    <row r="30" spans="2:8" ht="15.75" thickBot="1" x14ac:dyDescent="0.3">
      <c r="B30" s="12" t="s">
        <v>25</v>
      </c>
      <c r="C30" s="13">
        <f>C19+C28</f>
        <v>54.500252167857141</v>
      </c>
      <c r="D30" s="1"/>
      <c r="F30" s="12" t="s">
        <v>25</v>
      </c>
      <c r="G30" s="13">
        <f>G19+G28</f>
        <v>54.500252167857134</v>
      </c>
    </row>
    <row r="31" spans="2:8" ht="15.75" thickTop="1" x14ac:dyDescent="0.25">
      <c r="C31" s="1"/>
      <c r="D31" s="1"/>
      <c r="F31" s="14" t="s">
        <v>26</v>
      </c>
      <c r="G31" s="15">
        <f>G30/C30-1</f>
        <v>0</v>
      </c>
    </row>
    <row r="32" spans="2:8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</sheetData>
  <mergeCells count="3">
    <mergeCell ref="B2:C2"/>
    <mergeCell ref="F2:G2"/>
    <mergeCell ref="F3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694A6-7EAE-43A7-9D41-FD539B187096}">
  <dimension ref="A1:R73"/>
  <sheetViews>
    <sheetView tabSelected="1" workbookViewId="0">
      <selection activeCell="L12" sqref="L12"/>
    </sheetView>
  </sheetViews>
  <sheetFormatPr defaultColWidth="15.140625" defaultRowHeight="15" x14ac:dyDescent="0.25"/>
  <cols>
    <col min="1" max="1" width="23" style="17" customWidth="1"/>
    <col min="2" max="2" width="20" style="17"/>
    <col min="3" max="3" width="25.42578125" style="17" customWidth="1"/>
    <col min="4" max="4" width="11.5703125" style="17" customWidth="1"/>
    <col min="5" max="5" width="16" style="17" customWidth="1"/>
    <col min="6" max="6" width="16" style="18"/>
    <col min="7" max="7" width="12.5703125" style="18" customWidth="1"/>
    <col min="8" max="8" width="19.42578125" style="18" customWidth="1"/>
    <col min="9" max="9" width="15.5703125" style="18" customWidth="1"/>
    <col min="10" max="11" width="17.5703125" style="18" customWidth="1"/>
    <col min="12" max="12" width="18" style="18"/>
    <col min="13" max="13" width="23.42578125" style="18" customWidth="1"/>
    <col min="14" max="14" width="22" customWidth="1"/>
    <col min="15" max="15" width="12.7109375" customWidth="1"/>
  </cols>
  <sheetData>
    <row r="1" spans="1:18" x14ac:dyDescent="0.25">
      <c r="D1" s="17" t="s">
        <v>27</v>
      </c>
    </row>
    <row r="2" spans="1:18" ht="30" x14ac:dyDescent="0.25">
      <c r="A2" s="6" t="s">
        <v>28</v>
      </c>
      <c r="B2" s="6" t="s">
        <v>29</v>
      </c>
      <c r="C2" s="6" t="s">
        <v>30</v>
      </c>
      <c r="D2" s="6" t="s">
        <v>31</v>
      </c>
      <c r="E2" s="6" t="s">
        <v>32</v>
      </c>
      <c r="F2" s="19" t="s">
        <v>33</v>
      </c>
      <c r="G2" s="6" t="s">
        <v>34</v>
      </c>
      <c r="H2" s="20" t="s">
        <v>35</v>
      </c>
      <c r="I2" s="20" t="s">
        <v>36</v>
      </c>
      <c r="J2" s="6" t="s">
        <v>37</v>
      </c>
      <c r="K2" s="6" t="s">
        <v>38</v>
      </c>
      <c r="L2" s="6" t="s">
        <v>39</v>
      </c>
      <c r="M2" s="6" t="s">
        <v>40</v>
      </c>
      <c r="N2" s="6" t="s">
        <v>41</v>
      </c>
      <c r="O2" s="6"/>
      <c r="P2" s="6"/>
      <c r="Q2" s="6"/>
      <c r="R2" s="6"/>
    </row>
    <row r="3" spans="1:18" x14ac:dyDescent="0.25">
      <c r="A3" s="17" t="s">
        <v>42</v>
      </c>
      <c r="B3" s="17" t="s">
        <v>42</v>
      </c>
      <c r="C3" s="17" t="s">
        <v>43</v>
      </c>
      <c r="E3" s="17" t="s">
        <v>44</v>
      </c>
      <c r="F3" s="18" t="s">
        <v>45</v>
      </c>
      <c r="G3" s="18">
        <v>1</v>
      </c>
      <c r="H3" s="21">
        <v>5801</v>
      </c>
      <c r="I3" s="21">
        <v>6990</v>
      </c>
      <c r="J3" s="18">
        <v>0.35</v>
      </c>
      <c r="K3" s="18">
        <v>4543.5</v>
      </c>
      <c r="L3" s="18">
        <v>2446.5</v>
      </c>
      <c r="M3" s="18">
        <v>1189</v>
      </c>
      <c r="N3" s="18"/>
    </row>
    <row r="7" spans="1:18" x14ac:dyDescent="0.25">
      <c r="D7" s="22" t="s">
        <v>46</v>
      </c>
      <c r="E7" s="22"/>
      <c r="F7" s="23"/>
      <c r="H7" s="22" t="s">
        <v>47</v>
      </c>
      <c r="I7" s="23"/>
      <c r="J7" s="23"/>
      <c r="L7" s="22" t="s">
        <v>48</v>
      </c>
      <c r="M7" s="22"/>
      <c r="N7" s="23"/>
    </row>
    <row r="8" spans="1:18" x14ac:dyDescent="0.25">
      <c r="D8" s="22"/>
      <c r="E8" s="22"/>
      <c r="F8" s="23"/>
      <c r="H8" s="23"/>
      <c r="I8" s="23"/>
      <c r="J8" s="23"/>
      <c r="L8" s="22"/>
      <c r="M8" s="22"/>
      <c r="N8" s="23"/>
    </row>
    <row r="9" spans="1:18" x14ac:dyDescent="0.25">
      <c r="D9" s="22" t="s">
        <v>49</v>
      </c>
      <c r="E9" s="22" t="s">
        <v>50</v>
      </c>
      <c r="F9" s="23"/>
      <c r="H9" s="22" t="s">
        <v>49</v>
      </c>
      <c r="I9" s="22" t="s">
        <v>50</v>
      </c>
      <c r="J9" s="23"/>
      <c r="L9" s="22" t="s">
        <v>49</v>
      </c>
      <c r="M9" s="22" t="s">
        <v>50</v>
      </c>
      <c r="N9" s="23"/>
    </row>
    <row r="10" spans="1:18" x14ac:dyDescent="0.25">
      <c r="C10" s="17" t="s">
        <v>51</v>
      </c>
      <c r="D10" s="22" t="s">
        <v>52</v>
      </c>
      <c r="E10" s="22" t="s">
        <v>53</v>
      </c>
      <c r="F10" s="23">
        <f t="array" ref="F10">AxTable1[Цена реализации, руб. вкл. НДС]</f>
        <v>5801</v>
      </c>
      <c r="H10" s="22" t="s">
        <v>52</v>
      </c>
      <c r="I10" s="22" t="s">
        <v>53</v>
      </c>
      <c r="J10" s="23">
        <f t="array" ref="J10">AxTable1[Цена реализации, руб. вкл. НДС]</f>
        <v>5801</v>
      </c>
      <c r="L10" s="22" t="s">
        <v>52</v>
      </c>
      <c r="M10" s="22" t="s">
        <v>53</v>
      </c>
      <c r="N10" s="23">
        <f t="array" ref="N10">AxTable1[Цена реализации, руб. вкл. НДС]</f>
        <v>5801</v>
      </c>
    </row>
    <row r="11" spans="1:18" x14ac:dyDescent="0.25">
      <c r="C11" s="17" t="s">
        <v>54</v>
      </c>
      <c r="D11" s="22" t="s">
        <v>53</v>
      </c>
      <c r="E11" s="22" t="s">
        <v>55</v>
      </c>
      <c r="F11" s="23">
        <f t="array" ref="F11">AxTable1[Согласованная цена]*AxTable1[Процент]</f>
        <v>2446.5</v>
      </c>
      <c r="G11" s="24"/>
      <c r="H11" s="22" t="s">
        <v>53</v>
      </c>
      <c r="I11" s="22" t="s">
        <v>55</v>
      </c>
      <c r="J11" s="23">
        <f t="array" ref="J11">AxTable1[Цена реализации, руб. вкл. НДС]*AxTable1[Процент]</f>
        <v>2030.35</v>
      </c>
      <c r="L11" s="22" t="s">
        <v>53</v>
      </c>
      <c r="M11" s="22" t="s">
        <v>55</v>
      </c>
      <c r="N11" s="23">
        <f t="array" ref="N11">AxTable1[Цена реализации, руб. вкл. НДС]*AxTable1[Процент]</f>
        <v>2030.35</v>
      </c>
    </row>
    <row r="12" spans="1:18" x14ac:dyDescent="0.25">
      <c r="C12" s="17" t="s">
        <v>56</v>
      </c>
      <c r="D12" s="22" t="s">
        <v>57</v>
      </c>
      <c r="E12" s="22" t="s">
        <v>53</v>
      </c>
      <c r="F12" s="23">
        <f t="array" ref="F12">-AxTable1[Согласованная цена]+AxTable1[Цена реализации, руб. вкл. НДС]</f>
        <v>-1189</v>
      </c>
      <c r="H12" s="22" t="s">
        <v>53</v>
      </c>
      <c r="I12" s="22" t="s">
        <v>55</v>
      </c>
      <c r="J12" s="23">
        <f t="array" ref="J12">-(AxTable1[Согласованная цена]-AxTable1[Цена реализации, руб. вкл. НДС])*(1-AxTable1[Процент])</f>
        <v>-772.85</v>
      </c>
      <c r="L12" s="22" t="s">
        <v>53</v>
      </c>
      <c r="M12" s="22" t="s">
        <v>55</v>
      </c>
      <c r="N12" s="23">
        <f t="array" ref="N12">-(AxTable1[Согласованная цена]-AxTable1[Цена реализации, руб. вкл. НДС])*(1-AxTable1[Процент])*1.15</f>
        <v>-888.77749999999992</v>
      </c>
    </row>
    <row r="13" spans="1:18" x14ac:dyDescent="0.25">
      <c r="C13" s="17" t="s">
        <v>58</v>
      </c>
      <c r="D13" s="22" t="s">
        <v>59</v>
      </c>
      <c r="E13" s="22" t="s">
        <v>53</v>
      </c>
      <c r="F13" s="23">
        <f>F10-F11-F12</f>
        <v>4543.5</v>
      </c>
      <c r="H13" s="22" t="s">
        <v>59</v>
      </c>
      <c r="I13" s="22" t="s">
        <v>53</v>
      </c>
      <c r="J13" s="23">
        <f>J10-J11-J12</f>
        <v>4543.5</v>
      </c>
      <c r="L13" s="22" t="s">
        <v>59</v>
      </c>
      <c r="M13" s="22" t="s">
        <v>53</v>
      </c>
      <c r="N13" s="25">
        <f>N10-N11-N12</f>
        <v>4659.4274999999998</v>
      </c>
    </row>
    <row r="17" spans="1:18" x14ac:dyDescent="0.25">
      <c r="A17" s="26"/>
      <c r="B17" s="26"/>
      <c r="C17" s="26"/>
      <c r="D17" s="26" t="s">
        <v>60</v>
      </c>
      <c r="E17" s="26"/>
      <c r="F17" s="27"/>
      <c r="G17" s="27"/>
      <c r="H17" s="27"/>
      <c r="I17" s="27"/>
      <c r="J17" s="27"/>
      <c r="K17" s="27"/>
      <c r="L17" s="27"/>
      <c r="M17" s="27"/>
      <c r="N17" s="28"/>
      <c r="O17" s="28"/>
      <c r="P17" s="28"/>
      <c r="Q17" s="28"/>
      <c r="R17" s="28"/>
    </row>
    <row r="19" spans="1:18" x14ac:dyDescent="0.25">
      <c r="A19" t="s">
        <v>28</v>
      </c>
      <c r="B19" t="s">
        <v>29</v>
      </c>
      <c r="C19" t="s">
        <v>30</v>
      </c>
      <c r="D19" t="s">
        <v>31</v>
      </c>
      <c r="E19" t="s">
        <v>32</v>
      </c>
      <c r="F19" s="29" t="s">
        <v>33</v>
      </c>
      <c r="G19" t="s">
        <v>34</v>
      </c>
      <c r="H19" t="s">
        <v>61</v>
      </c>
      <c r="I19" t="s">
        <v>36</v>
      </c>
      <c r="J19" t="s">
        <v>37</v>
      </c>
      <c r="K19" t="s">
        <v>38</v>
      </c>
      <c r="L19" t="s">
        <v>39</v>
      </c>
      <c r="M19" t="s">
        <v>40</v>
      </c>
      <c r="N19" s="30" t="s">
        <v>62</v>
      </c>
      <c r="O19" s="30" t="s">
        <v>63</v>
      </c>
    </row>
    <row r="20" spans="1:18" x14ac:dyDescent="0.25">
      <c r="A20" s="17" t="s">
        <v>42</v>
      </c>
      <c r="B20" s="17" t="s">
        <v>42</v>
      </c>
      <c r="C20" s="17" t="s">
        <v>43</v>
      </c>
      <c r="E20" s="17" t="s">
        <v>44</v>
      </c>
      <c r="F20" s="18" t="s">
        <v>45</v>
      </c>
      <c r="G20" s="18">
        <v>1</v>
      </c>
      <c r="H20" s="18">
        <v>5801</v>
      </c>
      <c r="I20" s="18">
        <v>6990</v>
      </c>
      <c r="J20" s="18">
        <v>0.35</v>
      </c>
      <c r="K20" s="18">
        <f>AxTable13[[#This Row],[Чистая сумма]]-AxTable13[[#This Row],[Сумма комиссии]]+AxTable13[[#This Row],[Скидка по комиссии]]</f>
        <v>4543.5</v>
      </c>
      <c r="L20" s="18">
        <f>AxTable13[[#This Row],[Чистая сумма]]*AxTable13[[#This Row],[Процент]]</f>
        <v>2030.35</v>
      </c>
      <c r="M20">
        <v>0</v>
      </c>
      <c r="N20">
        <f>(AxTable13[[#This Row],[Согласованная цена]]-AxTable13[[#This Row],[Чистая сумма]])*(1-AxTable13[[#This Row],[Процент]])</f>
        <v>772.85</v>
      </c>
      <c r="O20" s="31">
        <v>0.2</v>
      </c>
    </row>
    <row r="22" spans="1:18" x14ac:dyDescent="0.25">
      <c r="A22" s="26"/>
      <c r="B22" s="26"/>
      <c r="C22" s="26"/>
      <c r="D22" s="26" t="s">
        <v>178</v>
      </c>
      <c r="E22" s="26"/>
      <c r="F22" s="27"/>
      <c r="G22" s="27"/>
      <c r="H22" s="27"/>
      <c r="I22" s="27"/>
      <c r="J22" s="27"/>
      <c r="K22" s="27"/>
      <c r="L22" s="27"/>
      <c r="M22" s="27"/>
      <c r="N22" s="28"/>
      <c r="O22" s="28"/>
      <c r="P22" s="28"/>
      <c r="Q22" s="28"/>
      <c r="R22" s="28"/>
    </row>
    <row r="24" spans="1:18" x14ac:dyDescent="0.25">
      <c r="A24" t="s">
        <v>28</v>
      </c>
      <c r="B24" t="s">
        <v>29</v>
      </c>
      <c r="C24" t="s">
        <v>30</v>
      </c>
      <c r="D24" t="s">
        <v>31</v>
      </c>
      <c r="E24" t="s">
        <v>32</v>
      </c>
      <c r="F24" s="29" t="s">
        <v>33</v>
      </c>
      <c r="G24" t="s">
        <v>34</v>
      </c>
      <c r="H24" t="s">
        <v>61</v>
      </c>
      <c r="I24" t="s">
        <v>36</v>
      </c>
      <c r="J24" t="s">
        <v>37</v>
      </c>
      <c r="K24" t="s">
        <v>38</v>
      </c>
      <c r="L24" t="s">
        <v>39</v>
      </c>
      <c r="M24" t="s">
        <v>40</v>
      </c>
      <c r="N24" s="30" t="s">
        <v>62</v>
      </c>
      <c r="O24" s="30" t="s">
        <v>63</v>
      </c>
    </row>
    <row r="25" spans="1:18" x14ac:dyDescent="0.25">
      <c r="A25" s="17" t="s">
        <v>42</v>
      </c>
      <c r="B25" s="17" t="s">
        <v>42</v>
      </c>
      <c r="C25" s="17" t="s">
        <v>43</v>
      </c>
      <c r="E25" s="17" t="s">
        <v>98</v>
      </c>
      <c r="F25" s="18" t="s">
        <v>45</v>
      </c>
      <c r="G25" s="18">
        <v>1</v>
      </c>
      <c r="H25" s="18">
        <v>5801</v>
      </c>
      <c r="I25" s="18">
        <v>6990</v>
      </c>
      <c r="J25" s="18">
        <v>0.35</v>
      </c>
      <c r="K25" s="18">
        <f>AxTable134[[#This Row],[Чистая сумма]]-AxTable134[[#This Row],[Сумма комиссии]]+AxTable134[[#This Row],[Скидка по комиссии]]</f>
        <v>4659.4274999999998</v>
      </c>
      <c r="L25" s="18">
        <f>AxTable134[[#This Row],[Чистая сумма]]*AxTable134[[#This Row],[Процент]]</f>
        <v>2030.35</v>
      </c>
      <c r="M25">
        <v>0</v>
      </c>
      <c r="N25" s="29">
        <f>(AxTable134[[#This Row],[Согласованная цена]]-AxTable134[[#This Row],[Чистая сумма]])*(1-AxTable134[[#This Row],[Процент]])*1.15</f>
        <v>888.77749999999992</v>
      </c>
      <c r="O25" s="31">
        <v>0.1</v>
      </c>
    </row>
    <row r="29" spans="1:18" x14ac:dyDescent="0.25">
      <c r="A29" s="26" t="s">
        <v>64</v>
      </c>
      <c r="B29" s="26"/>
      <c r="C29" s="26"/>
      <c r="D29" s="26"/>
      <c r="E29" s="26"/>
      <c r="F29" s="27"/>
      <c r="G29" s="27"/>
      <c r="H29" s="27"/>
      <c r="I29" s="27"/>
      <c r="J29" s="27"/>
      <c r="K29" s="27"/>
      <c r="L29" s="27"/>
      <c r="M29" s="27"/>
      <c r="N29" s="28"/>
      <c r="O29" s="28"/>
      <c r="P29" s="28"/>
      <c r="Q29" s="28"/>
      <c r="R29" s="28"/>
    </row>
    <row r="31" spans="1:18" x14ac:dyDescent="0.25">
      <c r="A31" s="3" t="s">
        <v>65</v>
      </c>
      <c r="B31"/>
      <c r="C31"/>
      <c r="D31"/>
      <c r="E31"/>
      <c r="F31"/>
      <c r="G31"/>
      <c r="H31"/>
      <c r="I31"/>
      <c r="J31"/>
      <c r="K31"/>
      <c r="L31"/>
      <c r="M31"/>
    </row>
    <row r="32" spans="1:18" x14ac:dyDescent="0.25">
      <c r="A32" t="s">
        <v>66</v>
      </c>
      <c r="B32" t="s">
        <v>67</v>
      </c>
      <c r="C32"/>
      <c r="D32"/>
      <c r="E32"/>
      <c r="F32"/>
      <c r="G32"/>
      <c r="H32"/>
      <c r="I32"/>
      <c r="J32"/>
      <c r="K32"/>
      <c r="L32"/>
      <c r="M32"/>
    </row>
    <row r="33" spans="1:18" x14ac:dyDescent="0.25">
      <c r="A33" s="32" t="s">
        <v>68</v>
      </c>
      <c r="B33" t="s">
        <v>69</v>
      </c>
      <c r="C33"/>
      <c r="D33"/>
      <c r="E33"/>
      <c r="F33"/>
      <c r="G33"/>
      <c r="H33"/>
      <c r="I33"/>
      <c r="J33"/>
      <c r="K33"/>
      <c r="L33"/>
      <c r="M33"/>
    </row>
    <row r="34" spans="1:18" x14ac:dyDescent="0.25">
      <c r="A34" t="s">
        <v>70</v>
      </c>
      <c r="B34"/>
      <c r="C34"/>
      <c r="D34"/>
      <c r="E34"/>
      <c r="F34"/>
      <c r="G34"/>
      <c r="H34"/>
      <c r="I34"/>
      <c r="J34"/>
      <c r="K34"/>
      <c r="L34"/>
      <c r="M34"/>
    </row>
    <row r="35" spans="1:18" x14ac:dyDescent="0.25">
      <c r="A35" t="s">
        <v>71</v>
      </c>
      <c r="B35"/>
      <c r="C35"/>
      <c r="D35"/>
      <c r="E35"/>
      <c r="F35"/>
      <c r="G35"/>
      <c r="H35"/>
      <c r="I35"/>
      <c r="J35"/>
      <c r="K35"/>
      <c r="L35"/>
      <c r="M35"/>
    </row>
    <row r="36" spans="1:18" x14ac:dyDescent="0.25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8" ht="75" x14ac:dyDescent="0.25">
      <c r="A37" s="33" t="s">
        <v>72</v>
      </c>
      <c r="B37" s="33" t="s">
        <v>73</v>
      </c>
      <c r="C37" s="33" t="s">
        <v>74</v>
      </c>
      <c r="D37" s="33" t="s">
        <v>75</v>
      </c>
      <c r="E37" s="33" t="s">
        <v>76</v>
      </c>
      <c r="F37" s="33" t="s">
        <v>77</v>
      </c>
      <c r="G37" s="33" t="s">
        <v>78</v>
      </c>
      <c r="H37" s="33" t="s">
        <v>34</v>
      </c>
      <c r="I37" s="33" t="s">
        <v>35</v>
      </c>
      <c r="J37" s="33" t="s">
        <v>79</v>
      </c>
      <c r="K37" s="33" t="s">
        <v>80</v>
      </c>
      <c r="L37" s="33" t="s">
        <v>81</v>
      </c>
      <c r="M37" s="33" t="s">
        <v>82</v>
      </c>
      <c r="N37" s="33" t="s">
        <v>83</v>
      </c>
      <c r="O37" s="34" t="s">
        <v>84</v>
      </c>
      <c r="P37" s="33" t="s">
        <v>85</v>
      </c>
      <c r="Q37" s="33" t="s">
        <v>86</v>
      </c>
      <c r="R37" s="33" t="s">
        <v>87</v>
      </c>
    </row>
    <row r="38" spans="1:18" ht="30" x14ac:dyDescent="0.25">
      <c r="A38" s="35" t="s">
        <v>88</v>
      </c>
      <c r="B38" s="33" t="s">
        <v>89</v>
      </c>
      <c r="C38" s="33" t="s">
        <v>89</v>
      </c>
      <c r="D38" s="33" t="s">
        <v>89</v>
      </c>
      <c r="E38" s="33" t="s">
        <v>89</v>
      </c>
      <c r="F38" s="33" t="s">
        <v>89</v>
      </c>
      <c r="G38" s="33" t="s">
        <v>89</v>
      </c>
      <c r="H38" s="33" t="s">
        <v>89</v>
      </c>
      <c r="I38" s="36">
        <f>SUM(I39:I40)</f>
        <v>11602</v>
      </c>
      <c r="J38" s="36">
        <f>SUM(J39:J40)</f>
        <v>13980</v>
      </c>
      <c r="K38" s="36">
        <f>SUM(K39:K40)</f>
        <v>9202.9274999999998</v>
      </c>
      <c r="L38" s="36" t="s">
        <v>89</v>
      </c>
      <c r="M38" s="36">
        <f>SUM(M39:M40)</f>
        <v>4060.7</v>
      </c>
      <c r="N38" s="36">
        <f>SUM(N39:N40)</f>
        <v>0</v>
      </c>
      <c r="O38" s="33"/>
      <c r="P38" s="33"/>
      <c r="Q38" s="33"/>
      <c r="R38" s="33"/>
    </row>
    <row r="39" spans="1:18" x14ac:dyDescent="0.25">
      <c r="A39" s="37" t="s">
        <v>90</v>
      </c>
      <c r="B39" s="37" t="s">
        <v>91</v>
      </c>
      <c r="C39" s="37" t="s">
        <v>92</v>
      </c>
      <c r="D39" s="37" t="s">
        <v>93</v>
      </c>
      <c r="E39" s="37" t="s">
        <v>94</v>
      </c>
      <c r="F39" s="37" t="s">
        <v>44</v>
      </c>
      <c r="G39" s="37" t="s">
        <v>95</v>
      </c>
      <c r="H39" s="37">
        <v>1</v>
      </c>
      <c r="I39" s="38">
        <f t="array" ref="I39">AxTable13[Чистая сумма]</f>
        <v>5801</v>
      </c>
      <c r="J39" s="38">
        <f t="array" ref="J39">AxTable13[Согласованная цена]</f>
        <v>6990</v>
      </c>
      <c r="K39" s="38">
        <f t="array" ref="K39">AxTable13[Сумма к перечислению]</f>
        <v>4543.5</v>
      </c>
      <c r="L39" s="37">
        <v>35</v>
      </c>
      <c r="M39" s="37">
        <f>I39*L39/100</f>
        <v>2030.35</v>
      </c>
      <c r="N39" s="37">
        <v>0</v>
      </c>
      <c r="O39" s="39">
        <v>20</v>
      </c>
      <c r="P39" s="37" t="s">
        <v>96</v>
      </c>
      <c r="Q39" s="37" t="s">
        <v>97</v>
      </c>
      <c r="R39" s="37" t="s">
        <v>97</v>
      </c>
    </row>
    <row r="40" spans="1:18" x14ac:dyDescent="0.25">
      <c r="A40" s="37" t="s">
        <v>90</v>
      </c>
      <c r="B40" s="37" t="s">
        <v>91</v>
      </c>
      <c r="C40" s="37" t="s">
        <v>92</v>
      </c>
      <c r="D40" s="37" t="s">
        <v>93</v>
      </c>
      <c r="E40" s="37" t="s">
        <v>94</v>
      </c>
      <c r="F40" s="37" t="s">
        <v>98</v>
      </c>
      <c r="G40" s="37" t="s">
        <v>95</v>
      </c>
      <c r="H40" s="37">
        <v>1</v>
      </c>
      <c r="I40" s="38">
        <f t="array" ref="I40">AxTable13[Чистая сумма]</f>
        <v>5801</v>
      </c>
      <c r="J40" s="38">
        <f t="array" ref="J40">AxTable134[Согласованная цена]</f>
        <v>6990</v>
      </c>
      <c r="K40" s="38">
        <f t="array" ref="K40">AxTable134[Сумма к перечислению]</f>
        <v>4659.4274999999998</v>
      </c>
      <c r="L40" s="37">
        <v>35</v>
      </c>
      <c r="M40" s="37">
        <f>I40*L40/100</f>
        <v>2030.35</v>
      </c>
      <c r="N40" s="37">
        <v>0</v>
      </c>
      <c r="O40" s="39">
        <v>10</v>
      </c>
      <c r="P40" s="37" t="s">
        <v>96</v>
      </c>
      <c r="Q40" s="37" t="s">
        <v>97</v>
      </c>
      <c r="R40" s="37" t="s">
        <v>97</v>
      </c>
    </row>
    <row r="42" spans="1:18" ht="60" x14ac:dyDescent="0.25">
      <c r="A42" s="33" t="s">
        <v>99</v>
      </c>
      <c r="B42" s="23">
        <f>M38</f>
        <v>4060.7</v>
      </c>
    </row>
    <row r="43" spans="1:18" ht="60" x14ac:dyDescent="0.25">
      <c r="A43" s="35" t="s">
        <v>100</v>
      </c>
      <c r="B43" s="23">
        <f t="array" ref="B43">AxTable13[Скидка по комиссии]+AxTable134[Скидка по комиссии]</f>
        <v>1661.6275000000001</v>
      </c>
    </row>
    <row r="44" spans="1:18" ht="60" x14ac:dyDescent="0.25">
      <c r="A44" s="35" t="s">
        <v>101</v>
      </c>
      <c r="B44" s="23">
        <f>B42-B43</f>
        <v>2399.0724999999998</v>
      </c>
    </row>
    <row r="49" spans="1:18" x14ac:dyDescent="0.25">
      <c r="A49" s="26" t="s">
        <v>102</v>
      </c>
      <c r="B49" s="26"/>
      <c r="C49" s="26"/>
      <c r="D49" s="26"/>
      <c r="E49" s="26"/>
      <c r="F49" s="27"/>
      <c r="G49" s="27"/>
      <c r="H49" s="27"/>
      <c r="I49" s="27"/>
      <c r="J49" s="27"/>
      <c r="K49" s="27"/>
      <c r="L49" s="27"/>
      <c r="M49" s="27"/>
      <c r="N49" s="28"/>
      <c r="O49" s="28"/>
      <c r="P49" s="28"/>
      <c r="Q49" s="28"/>
      <c r="R49" s="28"/>
    </row>
    <row r="50" spans="1:18" ht="15.75" thickBot="1" x14ac:dyDescent="0.3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8" ht="15.75" x14ac:dyDescent="0.25">
      <c r="A51" s="40" t="s">
        <v>103</v>
      </c>
      <c r="B51" s="84" t="s">
        <v>104</v>
      </c>
      <c r="C51" s="85"/>
      <c r="D51" s="41">
        <v>-1</v>
      </c>
      <c r="E51" s="42"/>
      <c r="F51" s="42"/>
      <c r="G51" s="42"/>
      <c r="H51" s="42"/>
      <c r="I51" s="42"/>
      <c r="J51" s="42"/>
      <c r="K51" s="42"/>
      <c r="L51" s="42"/>
      <c r="M51" s="42"/>
      <c r="N51" s="43"/>
    </row>
    <row r="52" spans="1:18" x14ac:dyDescent="0.25">
      <c r="A52" s="44" t="s">
        <v>105</v>
      </c>
      <c r="B52" s="86" t="s">
        <v>106</v>
      </c>
      <c r="C52" s="87"/>
      <c r="D52" s="45" t="s">
        <v>107</v>
      </c>
      <c r="E52"/>
      <c r="F52"/>
      <c r="G52"/>
      <c r="H52"/>
      <c r="I52"/>
      <c r="J52"/>
      <c r="K52"/>
      <c r="L52"/>
      <c r="M52"/>
      <c r="N52" s="46"/>
    </row>
    <row r="53" spans="1:18" ht="60" x14ac:dyDescent="0.25">
      <c r="A53" s="44" t="s">
        <v>108</v>
      </c>
      <c r="B53" s="47" t="s">
        <v>109</v>
      </c>
      <c r="C53" s="48" t="s">
        <v>110</v>
      </c>
      <c r="D53" s="45">
        <v>-2</v>
      </c>
      <c r="E53"/>
      <c r="F53"/>
      <c r="G53"/>
      <c r="H53"/>
      <c r="I53"/>
      <c r="J53"/>
      <c r="K53"/>
      <c r="L53"/>
      <c r="M53"/>
      <c r="N53" s="46"/>
    </row>
    <row r="54" spans="1:18" ht="30" x14ac:dyDescent="0.25">
      <c r="A54" s="49"/>
      <c r="B54" s="47" t="s">
        <v>111</v>
      </c>
      <c r="C54" s="48" t="s">
        <v>112</v>
      </c>
      <c r="D54" s="45" t="s">
        <v>113</v>
      </c>
      <c r="E54"/>
      <c r="F54"/>
      <c r="G54"/>
      <c r="H54"/>
      <c r="I54"/>
      <c r="J54"/>
      <c r="K54"/>
      <c r="L54"/>
      <c r="M54"/>
      <c r="N54" s="46"/>
    </row>
    <row r="55" spans="1:18" x14ac:dyDescent="0.25">
      <c r="A55" s="49"/>
      <c r="B55" s="47" t="s">
        <v>114</v>
      </c>
      <c r="C55" s="48" t="s">
        <v>115</v>
      </c>
      <c r="D55" s="45" t="s">
        <v>116</v>
      </c>
      <c r="E55"/>
      <c r="F55"/>
      <c r="G55"/>
      <c r="H55"/>
      <c r="I55"/>
      <c r="J55"/>
      <c r="K55"/>
      <c r="L55"/>
      <c r="M55"/>
      <c r="N55" s="46"/>
    </row>
    <row r="56" spans="1:18" ht="90" x14ac:dyDescent="0.25">
      <c r="A56" s="49"/>
      <c r="B56" s="47" t="s">
        <v>117</v>
      </c>
      <c r="C56" s="48" t="s">
        <v>118</v>
      </c>
      <c r="D56" s="45"/>
      <c r="E56"/>
      <c r="F56"/>
      <c r="G56"/>
      <c r="H56"/>
      <c r="I56"/>
      <c r="J56"/>
      <c r="K56"/>
      <c r="L56"/>
      <c r="M56"/>
      <c r="N56" s="46"/>
    </row>
    <row r="57" spans="1:18" ht="30" x14ac:dyDescent="0.25">
      <c r="A57" s="49"/>
      <c r="B57" s="47" t="s">
        <v>119</v>
      </c>
      <c r="C57" s="48" t="s">
        <v>120</v>
      </c>
      <c r="D57" s="45"/>
      <c r="E57"/>
      <c r="F57"/>
      <c r="G57"/>
      <c r="H57"/>
      <c r="I57"/>
      <c r="J57"/>
      <c r="K57"/>
      <c r="L57"/>
      <c r="M57"/>
      <c r="N57" s="46"/>
    </row>
    <row r="58" spans="1:18" ht="30" x14ac:dyDescent="0.25">
      <c r="A58" s="49"/>
      <c r="B58" s="47" t="s">
        <v>121</v>
      </c>
      <c r="C58" s="48" t="s">
        <v>122</v>
      </c>
      <c r="D58" s="45">
        <v>-3</v>
      </c>
      <c r="E58"/>
      <c r="F58"/>
      <c r="G58"/>
      <c r="H58"/>
      <c r="I58"/>
      <c r="J58"/>
      <c r="K58"/>
      <c r="L58"/>
      <c r="M58"/>
      <c r="N58" s="46"/>
    </row>
    <row r="59" spans="1:18" ht="30" x14ac:dyDescent="0.25">
      <c r="A59" s="49"/>
      <c r="B59" s="47" t="s">
        <v>123</v>
      </c>
      <c r="C59" s="48" t="s">
        <v>122</v>
      </c>
      <c r="D59" s="45">
        <v>-4</v>
      </c>
      <c r="E59"/>
      <c r="F59"/>
      <c r="G59"/>
      <c r="H59"/>
      <c r="I59"/>
      <c r="J59"/>
      <c r="K59"/>
      <c r="L59"/>
      <c r="M59"/>
      <c r="N59" s="46"/>
    </row>
    <row r="60" spans="1:18" ht="45" x14ac:dyDescent="0.25">
      <c r="A60" s="49"/>
      <c r="B60" s="47" t="s">
        <v>124</v>
      </c>
      <c r="C60" s="48" t="s">
        <v>122</v>
      </c>
      <c r="D60" s="45">
        <v>-5</v>
      </c>
      <c r="E60"/>
      <c r="F60"/>
      <c r="G60"/>
      <c r="H60"/>
      <c r="I60"/>
      <c r="J60"/>
      <c r="K60"/>
      <c r="L60"/>
      <c r="M60"/>
      <c r="N60" s="46"/>
    </row>
    <row r="61" spans="1:18" ht="45" x14ac:dyDescent="0.25">
      <c r="A61" s="49"/>
      <c r="B61" s="47" t="s">
        <v>125</v>
      </c>
      <c r="C61" s="45" t="s">
        <v>126</v>
      </c>
      <c r="D61" s="45" t="s">
        <v>127</v>
      </c>
      <c r="E61"/>
      <c r="F61"/>
      <c r="G61"/>
      <c r="H61"/>
      <c r="I61"/>
      <c r="J61"/>
      <c r="K61"/>
      <c r="L61"/>
      <c r="M61"/>
      <c r="N61" s="46"/>
    </row>
    <row r="62" spans="1:18" x14ac:dyDescent="0.25">
      <c r="A62" s="49"/>
      <c r="B62" s="47" t="s">
        <v>128</v>
      </c>
      <c r="C62" s="48" t="s">
        <v>129</v>
      </c>
      <c r="D62" s="45">
        <v>-6</v>
      </c>
      <c r="E62"/>
      <c r="F62"/>
      <c r="G62"/>
      <c r="H62"/>
      <c r="I62"/>
      <c r="J62"/>
      <c r="K62"/>
      <c r="L62"/>
      <c r="M62"/>
      <c r="N62" s="46"/>
    </row>
    <row r="63" spans="1:18" ht="60" x14ac:dyDescent="0.25">
      <c r="A63" s="49"/>
      <c r="B63" s="47" t="s">
        <v>111</v>
      </c>
      <c r="C63" s="48" t="s">
        <v>130</v>
      </c>
      <c r="D63" s="45" t="s">
        <v>131</v>
      </c>
      <c r="E63"/>
      <c r="F63"/>
      <c r="G63"/>
      <c r="H63"/>
      <c r="I63"/>
      <c r="J63"/>
      <c r="K63"/>
      <c r="L63"/>
      <c r="M63"/>
      <c r="N63" s="46"/>
    </row>
    <row r="64" spans="1:18" x14ac:dyDescent="0.25">
      <c r="A64" s="49"/>
      <c r="B64" s="47" t="s">
        <v>114</v>
      </c>
      <c r="C64" s="48" t="s">
        <v>132</v>
      </c>
      <c r="D64" s="45" t="s">
        <v>133</v>
      </c>
      <c r="E64"/>
      <c r="F64"/>
      <c r="G64"/>
      <c r="H64"/>
      <c r="I64"/>
      <c r="J64"/>
      <c r="K64"/>
      <c r="L64"/>
      <c r="M64"/>
      <c r="N64" s="46"/>
    </row>
    <row r="65" spans="1:16" ht="45" x14ac:dyDescent="0.25">
      <c r="A65" s="49"/>
      <c r="B65" s="47" t="s">
        <v>134</v>
      </c>
      <c r="C65" s="48" t="s">
        <v>135</v>
      </c>
      <c r="D65" s="45">
        <v>-7</v>
      </c>
      <c r="E65"/>
      <c r="F65"/>
      <c r="G65"/>
      <c r="H65"/>
      <c r="I65"/>
      <c r="J65"/>
      <c r="K65"/>
      <c r="L65"/>
      <c r="M65"/>
      <c r="N65" s="46"/>
    </row>
    <row r="66" spans="1:16" ht="90.75" thickBot="1" x14ac:dyDescent="0.3">
      <c r="A66" s="50"/>
      <c r="B66" s="51" t="s">
        <v>136</v>
      </c>
      <c r="C66" s="52"/>
      <c r="D66" s="53">
        <v>-8</v>
      </c>
      <c r="E66" s="54"/>
      <c r="F66" s="54"/>
      <c r="G66" s="54"/>
      <c r="H66" s="54"/>
      <c r="I66" s="54"/>
      <c r="J66" s="54"/>
      <c r="K66" s="54"/>
      <c r="L66" s="54"/>
      <c r="M66" s="54"/>
      <c r="N66" s="55"/>
    </row>
    <row r="67" spans="1:16" ht="22.5" x14ac:dyDescent="0.25">
      <c r="A67" s="56" t="s">
        <v>137</v>
      </c>
      <c r="B67" s="75" t="s">
        <v>138</v>
      </c>
      <c r="C67" s="56" t="s">
        <v>139</v>
      </c>
      <c r="D67" s="56" t="s">
        <v>137</v>
      </c>
      <c r="E67" s="78" t="s">
        <v>140</v>
      </c>
      <c r="F67" s="79"/>
      <c r="G67" s="75" t="s">
        <v>141</v>
      </c>
      <c r="H67" s="75" t="s">
        <v>142</v>
      </c>
      <c r="I67" s="56" t="s">
        <v>143</v>
      </c>
      <c r="J67" s="75" t="s">
        <v>144</v>
      </c>
      <c r="K67" s="75" t="s">
        <v>145</v>
      </c>
      <c r="L67" s="56" t="s">
        <v>146</v>
      </c>
      <c r="M67" s="56" t="s">
        <v>143</v>
      </c>
      <c r="N67" s="78" t="s">
        <v>147</v>
      </c>
      <c r="O67" s="79"/>
      <c r="P67" s="75" t="s">
        <v>148</v>
      </c>
    </row>
    <row r="68" spans="1:16" x14ac:dyDescent="0.25">
      <c r="A68" s="57" t="s">
        <v>149</v>
      </c>
      <c r="B68" s="76"/>
      <c r="C68" s="57" t="s">
        <v>150</v>
      </c>
      <c r="D68" s="57" t="s">
        <v>151</v>
      </c>
      <c r="E68" s="80" t="s">
        <v>152</v>
      </c>
      <c r="F68" s="81"/>
      <c r="G68" s="76"/>
      <c r="H68" s="76"/>
      <c r="I68" s="57" t="s">
        <v>153</v>
      </c>
      <c r="J68" s="76"/>
      <c r="K68" s="76"/>
      <c r="L68" s="57" t="s">
        <v>154</v>
      </c>
      <c r="M68" s="57" t="s">
        <v>153</v>
      </c>
      <c r="N68" s="80"/>
      <c r="O68" s="81"/>
      <c r="P68" s="76"/>
    </row>
    <row r="69" spans="1:16" ht="45.75" thickBot="1" x14ac:dyDescent="0.3">
      <c r="A69" s="57" t="s">
        <v>155</v>
      </c>
      <c r="B69" s="76"/>
      <c r="C69" s="57" t="s">
        <v>156</v>
      </c>
      <c r="D69" s="57" t="s">
        <v>157</v>
      </c>
      <c r="E69" s="82"/>
      <c r="F69" s="83"/>
      <c r="G69" s="76"/>
      <c r="H69" s="76"/>
      <c r="I69" s="57" t="s">
        <v>158</v>
      </c>
      <c r="J69" s="76"/>
      <c r="K69" s="76"/>
      <c r="L69" s="57"/>
      <c r="M69" s="57" t="s">
        <v>159</v>
      </c>
      <c r="N69" s="82"/>
      <c r="O69" s="83"/>
      <c r="P69" s="76"/>
    </row>
    <row r="70" spans="1:16" ht="34.5" thickBot="1" x14ac:dyDescent="0.3">
      <c r="A70" s="58" t="s">
        <v>160</v>
      </c>
      <c r="B70" s="77"/>
      <c r="C70" s="58" t="s">
        <v>161</v>
      </c>
      <c r="D70" s="58"/>
      <c r="E70" s="59" t="s">
        <v>137</v>
      </c>
      <c r="F70" s="59" t="s">
        <v>162</v>
      </c>
      <c r="G70" s="77"/>
      <c r="H70" s="77"/>
      <c r="I70" s="58"/>
      <c r="J70" s="77"/>
      <c r="K70" s="77"/>
      <c r="L70" s="58"/>
      <c r="M70" s="58"/>
      <c r="N70" s="59" t="s">
        <v>163</v>
      </c>
      <c r="O70" s="59" t="s">
        <v>164</v>
      </c>
      <c r="P70" s="77"/>
    </row>
    <row r="71" spans="1:16" ht="15.75" thickBot="1" x14ac:dyDescent="0.3">
      <c r="A71" s="59" t="s">
        <v>165</v>
      </c>
      <c r="B71" s="59">
        <v>1</v>
      </c>
      <c r="C71" s="59" t="s">
        <v>166</v>
      </c>
      <c r="D71" s="59" t="s">
        <v>167</v>
      </c>
      <c r="E71" s="59">
        <v>2</v>
      </c>
      <c r="F71" s="59" t="s">
        <v>168</v>
      </c>
      <c r="G71" s="59">
        <v>3</v>
      </c>
      <c r="H71" s="59">
        <v>4</v>
      </c>
      <c r="I71" s="59">
        <v>5</v>
      </c>
      <c r="J71" s="59">
        <v>6</v>
      </c>
      <c r="K71" s="59">
        <v>7</v>
      </c>
      <c r="L71" s="59">
        <v>8</v>
      </c>
      <c r="M71" s="59">
        <v>9</v>
      </c>
      <c r="N71" s="59">
        <v>10</v>
      </c>
      <c r="O71" s="59" t="s">
        <v>169</v>
      </c>
      <c r="P71" s="59">
        <v>11</v>
      </c>
    </row>
    <row r="72" spans="1:16" ht="34.5" thickBot="1" x14ac:dyDescent="0.3">
      <c r="A72" s="60" t="s">
        <v>170</v>
      </c>
      <c r="B72" s="61">
        <v>1</v>
      </c>
      <c r="C72" s="62" t="s">
        <v>171</v>
      </c>
      <c r="D72" s="60" t="s">
        <v>122</v>
      </c>
      <c r="E72" s="60">
        <v>796</v>
      </c>
      <c r="F72" s="61" t="s">
        <v>172</v>
      </c>
      <c r="G72" s="63">
        <v>1</v>
      </c>
      <c r="H72" s="64">
        <f>I72</f>
        <v>1999.2270833333332</v>
      </c>
      <c r="I72" s="64">
        <f>M72-L72</f>
        <v>1999.2270833333332</v>
      </c>
      <c r="J72" s="63" t="s">
        <v>173</v>
      </c>
      <c r="K72" s="65">
        <v>0.2</v>
      </c>
      <c r="L72" s="64">
        <f>M72/1.2*0.2</f>
        <v>399.84541666666667</v>
      </c>
      <c r="M72" s="64">
        <f>B44</f>
        <v>2399.0724999999998</v>
      </c>
      <c r="N72" s="60" t="s">
        <v>122</v>
      </c>
      <c r="O72" s="61" t="s">
        <v>122</v>
      </c>
      <c r="P72" s="61" t="s">
        <v>122</v>
      </c>
    </row>
    <row r="73" spans="1:16" ht="15.75" thickBot="1" x14ac:dyDescent="0.3">
      <c r="A73" s="66"/>
      <c r="B73" s="72" t="s">
        <v>174</v>
      </c>
      <c r="C73" s="73"/>
      <c r="D73" s="73"/>
      <c r="E73" s="73"/>
      <c r="F73" s="73"/>
      <c r="G73" s="73"/>
      <c r="H73" s="74"/>
      <c r="I73" s="67">
        <f>SUM(I72)</f>
        <v>1999.2270833333332</v>
      </c>
      <c r="J73" s="68" t="s">
        <v>175</v>
      </c>
      <c r="K73" s="68" t="s">
        <v>175</v>
      </c>
      <c r="L73" s="67">
        <f>SUM(L72)</f>
        <v>399.84541666666667</v>
      </c>
      <c r="M73" s="67">
        <f>SUM(M72)</f>
        <v>2399.0724999999998</v>
      </c>
    </row>
  </sheetData>
  <mergeCells count="13">
    <mergeCell ref="B51:C51"/>
    <mergeCell ref="B52:C52"/>
    <mergeCell ref="B73:H73"/>
    <mergeCell ref="K67:K70"/>
    <mergeCell ref="N67:O69"/>
    <mergeCell ref="P67:P70"/>
    <mergeCell ref="E68:F68"/>
    <mergeCell ref="E69:F69"/>
    <mergeCell ref="B67:B70"/>
    <mergeCell ref="E67:F67"/>
    <mergeCell ref="G67:G70"/>
    <mergeCell ref="H67:H70"/>
    <mergeCell ref="J67:J70"/>
  </mergeCells>
  <pageMargins left="0.7" right="0.7" top="0.75" bottom="0.75" header="0.3" footer="0.3"/>
  <legacyDrawing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Партнер НЕ на НДС</vt:lpstr>
      <vt:lpstr>Отчет комиссионера с формулами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Tatyana Lobtsova</dc:creator>
  <cp:lastModifiedBy>Tatyana Lobtsova</cp:lastModifiedBy>
  <dcterms:created xsi:type="dcterms:W3CDTF">2024-10-24T08:22:40Z</dcterms:created>
  <dcterms:modified xsi:type="dcterms:W3CDTF">2024-10-24T09:14:57Z</dcterms:modified>
</cp:coreProperties>
</file>