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.minaeva\Downloads\"/>
    </mc:Choice>
  </mc:AlternateContent>
  <xr:revisionPtr revIDLastSave="0" documentId="13_ncr:1_{8D7134BB-49C4-420B-9F2D-AA2F1C479EF7}" xr6:coauthVersionLast="36" xr6:coauthVersionMax="36" xr10:uidLastSave="{00000000-0000-0000-0000-000000000000}"/>
  <bookViews>
    <workbookView xWindow="0" yWindow="0" windowWidth="21570" windowHeight="5940" xr2:uid="{3AC1FACF-B8B2-41DC-B1F6-4013793C5200}"/>
  </bookViews>
  <sheets>
    <sheet name="Партнер на НДС (товары 10%) (2)" sheetId="1" r:id="rId1"/>
    <sheet name="Отчет комиссионера с формулами" sheetId="2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5" i="2" l="1" a="1"/>
  <c r="B35" i="2" s="1"/>
  <c r="K32" i="2" a="1"/>
  <c r="K32" i="2" s="1"/>
  <c r="J32" i="2" a="1"/>
  <c r="J32" i="2" s="1"/>
  <c r="I32" i="2" a="1"/>
  <c r="I32" i="2" s="1"/>
  <c r="M32" i="2" s="1"/>
  <c r="K31" i="2" a="1"/>
  <c r="K31" i="2" s="1"/>
  <c r="K30" i="2" s="1"/>
  <c r="J31" i="2"/>
  <c r="J30" i="2" s="1"/>
  <c r="J31" i="2" a="1"/>
  <c r="I31" i="2" a="1"/>
  <c r="I31" i="2" s="1"/>
  <c r="N30" i="2"/>
  <c r="M31" i="2" l="1"/>
  <c r="M30" i="2" s="1"/>
  <c r="B34" i="2" s="1"/>
  <c r="B36" i="2" s="1"/>
  <c r="M64" i="2" s="1"/>
  <c r="I30" i="2"/>
  <c r="N19" i="2"/>
  <c r="L19" i="2"/>
  <c r="K19" i="2" s="1"/>
  <c r="N12" i="2" a="1"/>
  <c r="N12" i="2" s="1"/>
  <c r="J12" i="2" a="1"/>
  <c r="J12" i="2" s="1"/>
  <c r="F12" i="2" a="1"/>
  <c r="F12" i="2" s="1"/>
  <c r="N11" i="2" a="1"/>
  <c r="N11" i="2" s="1"/>
  <c r="J11" i="2" a="1"/>
  <c r="J11" i="2" s="1"/>
  <c r="F11" i="2" a="1"/>
  <c r="F11" i="2" s="1"/>
  <c r="N10" i="2" a="1"/>
  <c r="N10" i="2" s="1"/>
  <c r="J10" i="2" a="1"/>
  <c r="J10" i="2" s="1"/>
  <c r="F10" i="2" a="1"/>
  <c r="F10" i="2" s="1"/>
  <c r="G12" i="1"/>
  <c r="C7" i="1"/>
  <c r="C20" i="1" s="1"/>
  <c r="C6" i="1"/>
  <c r="C11" i="1" s="1"/>
  <c r="G5" i="1"/>
  <c r="G6" i="1" s="1"/>
  <c r="L64" i="2" l="1"/>
  <c r="L65" i="2" s="1"/>
  <c r="M65" i="2"/>
  <c r="N13" i="2"/>
  <c r="J13" i="2"/>
  <c r="F13" i="2"/>
  <c r="G11" i="1"/>
  <c r="G8" i="1"/>
  <c r="G14" i="1" s="1"/>
  <c r="G7" i="1"/>
  <c r="C25" i="1"/>
  <c r="C13" i="1"/>
  <c r="C14" i="1"/>
  <c r="I64" i="2" l="1"/>
  <c r="C19" i="1"/>
  <c r="C22" i="1"/>
  <c r="G13" i="1"/>
  <c r="G15" i="1" s="1"/>
  <c r="G22" i="1" s="1"/>
  <c r="G26" i="1" s="1"/>
  <c r="G20" i="1"/>
  <c r="I65" i="2" l="1"/>
  <c r="H64" i="2"/>
  <c r="G25" i="1"/>
  <c r="G27" i="1" s="1"/>
  <c r="G24" i="1"/>
  <c r="G28" i="1" s="1"/>
  <c r="G19" i="1"/>
  <c r="C26" i="1"/>
  <c r="C27" i="1" s="1"/>
  <c r="C24" i="1"/>
  <c r="C28" i="1" s="1"/>
  <c r="C30" i="1" s="1"/>
  <c r="G30" i="1" l="1"/>
  <c r="G31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tc={BE5565C9-B27B-47CA-A259-ABF6008F7DCE}</author>
  </authors>
  <commentList>
    <comment ref="A30" authorId="0" shapeId="0" xr:uid="{F9A12787-8C94-4F1E-84CB-73F2EA69B862}">
      <text>
        <r>
          <rPr>
            <sz val="11"/>
            <color theme="1"/>
            <rFont val="Calibri"/>
            <family val="2"/>
            <scheme val="minor"/>
          </rPr>
          <t>[Цепочка примечаний]
Ваша версия Excel позволяет прочитать эту цепочку примечаний, но если открыть файл в более поздней версии Excel, все внесенные в нее изменения будут удалены. Подробнее: https://go.microsoft.com/fwlink/?linkid=870924
Комментарий:
    Перенести итого в верхнюю часть таблицы</t>
        </r>
      </text>
    </comment>
  </commentList>
</comments>
</file>

<file path=xl/sharedStrings.xml><?xml version="1.0" encoding="utf-8"?>
<sst xmlns="http://schemas.openxmlformats.org/spreadsheetml/2006/main" count="273" uniqueCount="178">
  <si>
    <t>Текущая модель</t>
  </si>
  <si>
    <t>Скидочная модель</t>
  </si>
  <si>
    <t>Если премия учитывается в расходах по НнП</t>
  </si>
  <si>
    <t>Цена продажи Партнера</t>
  </si>
  <si>
    <t>с учетом НДС</t>
  </si>
  <si>
    <t>Средний процент скидки Покупателю</t>
  </si>
  <si>
    <t>Сумма скидки Покупателю</t>
  </si>
  <si>
    <t>В отчете комиссионера доход Партнера</t>
  </si>
  <si>
    <t>Скидка Партнёру на комиссию</t>
  </si>
  <si>
    <t>КШ</t>
  </si>
  <si>
    <t>Получено денег от Покупателя</t>
  </si>
  <si>
    <t>Размер комиссии</t>
  </si>
  <si>
    <t>Комиссия КШ, с учётом НДС</t>
  </si>
  <si>
    <t>Комиссия КШ, с учётом НДС, без скидки</t>
  </si>
  <si>
    <t>Расходы</t>
  </si>
  <si>
    <t>Скидка на комиссию</t>
  </si>
  <si>
    <t>Комиссия КШ, с учётом НДС, с учётом скидки</t>
  </si>
  <si>
    <t>Партнер</t>
  </si>
  <si>
    <t>Получено денег от КШ</t>
  </si>
  <si>
    <t>Выручка</t>
  </si>
  <si>
    <t>Премия</t>
  </si>
  <si>
    <t>Расход</t>
  </si>
  <si>
    <t>Налог на прибыль</t>
  </si>
  <si>
    <t>НДС к исчислению</t>
  </si>
  <si>
    <t>НДС к вычету</t>
  </si>
  <si>
    <t>НДС к уплате</t>
  </si>
  <si>
    <t>Итого налоги</t>
  </si>
  <si>
    <t>Итого доход в деньгах</t>
  </si>
  <si>
    <t>Дополнительный доход</t>
  </si>
  <si>
    <t>Было строки отчета комиссионера</t>
  </si>
  <si>
    <t>Номер внешнего заказа клиента</t>
  </si>
  <si>
    <t>Заказ на продажу</t>
  </si>
  <si>
    <t>Номенклатура</t>
  </si>
  <si>
    <t>Размер</t>
  </si>
  <si>
    <t>Серийный номер</t>
  </si>
  <si>
    <t>Конфигурация</t>
  </si>
  <si>
    <t>Количество</t>
  </si>
  <si>
    <t>Цена реализации, руб. вкл. НДС</t>
  </si>
  <si>
    <t>Согласованная цена</t>
  </si>
  <si>
    <t>Процент</t>
  </si>
  <si>
    <t>Сумма к перечислению</t>
  </si>
  <si>
    <t>Сумма комиссии</t>
  </si>
  <si>
    <t>Сумма отклонения</t>
  </si>
  <si>
    <t>Столбец1</t>
  </si>
  <si>
    <t>RU240129-634198</t>
  </si>
  <si>
    <t>MP002XM0VGSUINS</t>
  </si>
  <si>
    <t>BLM39337724</t>
  </si>
  <si>
    <t>01</t>
  </si>
  <si>
    <t>Было - проводки</t>
  </si>
  <si>
    <t>20%</t>
  </si>
  <si>
    <t>10%</t>
  </si>
  <si>
    <t>ДТ</t>
  </si>
  <si>
    <t>КТ</t>
  </si>
  <si>
    <t>Продажа товара</t>
  </si>
  <si>
    <t>62</t>
  </si>
  <si>
    <t>76 Партнер</t>
  </si>
  <si>
    <t>Начисление комиссии</t>
  </si>
  <si>
    <t>90</t>
  </si>
  <si>
    <t>Расходы по прог лояльн</t>
  </si>
  <si>
    <t>91.02</t>
  </si>
  <si>
    <t>Оплата</t>
  </si>
  <si>
    <t>51</t>
  </si>
  <si>
    <t>Стало строки товара с 10% (строки отчета комиссионера D365)</t>
  </si>
  <si>
    <t>Чистая сумма</t>
  </si>
  <si>
    <t>Скидка по комиссии</t>
  </si>
  <si>
    <t>Ставка НДС</t>
  </si>
  <si>
    <t>BLM39337725</t>
  </si>
  <si>
    <t>Стало - печ форма (все отчеты комиссионера) D365 +направляемая в ЭДО</t>
  </si>
  <si>
    <t>Отчет комиссионера № CR000106377 от 29.02.2024 по договору комиссии от 16.10.2017</t>
  </si>
  <si>
    <t>Период:</t>
  </si>
  <si>
    <t>С 01.02.2024 по 29.02.2024</t>
  </si>
  <si>
    <t>Комиссионер:</t>
  </si>
  <si>
    <t>Общество с ограниченной ответственностью "Купишуз", ИНН 7705935687, КПП 773101001</t>
  </si>
  <si>
    <t>Комитент:</t>
  </si>
  <si>
    <t>Договор:</t>
  </si>
  <si>
    <t>Заказ</t>
  </si>
  <si>
    <t>Дата заказа</t>
  </si>
  <si>
    <t>Артикул</t>
  </si>
  <si>
    <t>SellerSKU</t>
  </si>
  <si>
    <t>Штрих-код партнера (EAN)</t>
  </si>
  <si>
    <t>Штрих-код</t>
  </si>
  <si>
    <t>Метод доставки</t>
  </si>
  <si>
    <t>Согласованная с комитентом цена, руб. вкл. НДС</t>
  </si>
  <si>
    <t>К перечислению комитенту, 
руб. вкл. НДС</t>
  </si>
  <si>
    <t>Комиссионное вознаграждение, %</t>
  </si>
  <si>
    <t>Комиссионное вознаграждение от цены реализации, без учета скидки
 руб. вкл. НДС</t>
  </si>
  <si>
    <t>НДС с ин. компаний, руб</t>
  </si>
  <si>
    <t>Ставка НДС при продаже товара, %</t>
  </si>
  <si>
    <t>Дата продажи</t>
  </si>
  <si>
    <t>Номер заказа в учете комитента</t>
  </si>
  <si>
    <t>Uit</t>
  </si>
  <si>
    <t>Итого по отчету комиссионера:</t>
  </si>
  <si>
    <t>-</t>
  </si>
  <si>
    <t>RU240211-782680</t>
  </si>
  <si>
    <t>11.02.2024</t>
  </si>
  <si>
    <t>MP002XB006SJCM056</t>
  </si>
  <si>
    <t>535К-361г-56</t>
  </si>
  <si>
    <t>4601008135303</t>
  </si>
  <si>
    <t>XDC</t>
  </si>
  <si>
    <t>16.02.2024</t>
  </si>
  <si>
    <t/>
  </si>
  <si>
    <t>Комиссионное вознаграждение, без учета скидки
 руб. вкл. НДС</t>
  </si>
  <si>
    <t>Скидка на комиссионное вознаграждение, руб. вкл. НДС</t>
  </si>
  <si>
    <t>Комиссионное вознаграждение с учетом скидки, руб. вкл. НДС</t>
  </si>
  <si>
    <t>Стало - УПД на комиссию</t>
  </si>
  <si>
    <t>УПД</t>
  </si>
  <si>
    <t>Счет-фактура №F00000082218 от 01.03.2024</t>
  </si>
  <si>
    <t>Статус:</t>
  </si>
  <si>
    <t>Исправление № — от —</t>
  </si>
  <si>
    <t>(1а)</t>
  </si>
  <si>
    <t>Счет-фактура и передаточный документ — 1</t>
  </si>
  <si>
    <t>Продавец</t>
  </si>
  <si>
    <t>Общество с ограниченной ответственностью "Купишуз"</t>
  </si>
  <si>
    <t>Адрес</t>
  </si>
  <si>
    <t>121614, г. Москва, Крылатская, 15</t>
  </si>
  <si>
    <t>(2а)</t>
  </si>
  <si>
    <t>ИНН/КПП</t>
  </si>
  <si>
    <t>7705935687 / 773101001</t>
  </si>
  <si>
    <t>(2б)</t>
  </si>
  <si>
    <t>Банковские реквизиты</t>
  </si>
  <si>
    <t>Р/с 40702810200001432667, АО "РАЙФФАЙЗЕНБАНК", БИК 044525700, к/с 30101810200000000700</t>
  </si>
  <si>
    <t>Контактные данные</t>
  </si>
  <si>
    <t>Тел.: +7 (499) 500-49-70,</t>
  </si>
  <si>
    <t>Грузоотправитель и его адрес</t>
  </si>
  <si>
    <t>—</t>
  </si>
  <si>
    <t>Грузополучатель и его адрес</t>
  </si>
  <si>
    <t>К платежно-расчетному документу</t>
  </si>
  <si>
    <t>Документ об отгрузке</t>
  </si>
  <si>
    <r>
      <t>№</t>
    </r>
    <r>
      <rPr>
        <sz val="11"/>
        <color theme="1"/>
        <rFont val="Calibri"/>
        <family val="2"/>
        <charset val="204"/>
        <scheme val="minor"/>
      </rPr>
      <t>п/п 1 №F00000082218 от 01.03.2024</t>
    </r>
  </si>
  <si>
    <t>(5а)</t>
  </si>
  <si>
    <t>Покупатель</t>
  </si>
  <si>
    <t>ООО "Машук"</t>
  </si>
  <si>
    <t>357528, Ставропольский край, Пятигорск г, Февральская, д. 54, литер Г1, пом. 217</t>
  </si>
  <si>
    <t>(6а)</t>
  </si>
  <si>
    <t>2632800220 / 263201001</t>
  </si>
  <si>
    <t>(6б)</t>
  </si>
  <si>
    <t>Валюта: наименование, код</t>
  </si>
  <si>
    <t>Российский рубль, 643</t>
  </si>
  <si>
    <t>Идентификатор государственного контракта, договора (соглашения) (при наличии):</t>
  </si>
  <si>
    <t>Код</t>
  </si>
  <si>
    <t>№ п/п</t>
  </si>
  <si>
    <t>Наименование товара</t>
  </si>
  <si>
    <t>Единица</t>
  </si>
  <si>
    <t>Количест­во (объем)</t>
  </si>
  <si>
    <t>Цена (тариф) за единицу измерения</t>
  </si>
  <si>
    <t>Стоимость</t>
  </si>
  <si>
    <t>В том числе сумма акциза</t>
  </si>
  <si>
    <t>Налоговая ставка</t>
  </si>
  <si>
    <t>Сумма налога, предъявляе­мая</t>
  </si>
  <si>
    <t>Страна происхождения товара</t>
  </si>
  <si>
    <t>Регистрационный номер декларации на товары или реги­страцион­ный номер партии товара, подлежаще­го просле­живаемости</t>
  </si>
  <si>
    <t>товара /</t>
  </si>
  <si>
    <t>(описание выполненных</t>
  </si>
  <si>
    <t>вида</t>
  </si>
  <si>
    <t>измерения</t>
  </si>
  <si>
    <t>товаров (работ,</t>
  </si>
  <si>
    <t>покупа­телю</t>
  </si>
  <si>
    <t>работ,</t>
  </si>
  <si>
    <t>работ, оказанных услуг),</t>
  </si>
  <si>
    <t>товара</t>
  </si>
  <si>
    <t>услуг), иму­щественных прав без налога - всего</t>
  </si>
  <si>
    <t>услуг), иму­щественных прав с налогом - всего</t>
  </si>
  <si>
    <t>услуг</t>
  </si>
  <si>
    <t>имущественного права</t>
  </si>
  <si>
    <t>Условное обозначе­ние (наци­ональное)</t>
  </si>
  <si>
    <t>Циф­ро­вой код</t>
  </si>
  <si>
    <t>Краткое наимено­вание</t>
  </si>
  <si>
    <t>А</t>
  </si>
  <si>
    <t>1а</t>
  </si>
  <si>
    <t>1б</t>
  </si>
  <si>
    <t>2а</t>
  </si>
  <si>
    <t>10а</t>
  </si>
  <si>
    <t>90_Комиссия</t>
  </si>
  <si>
    <r>
      <rPr>
        <sz val="8"/>
        <color rgb="FFFF0000"/>
        <rFont val="Arial"/>
        <family val="2"/>
        <charset val="204"/>
      </rPr>
      <t>Вознаграждение за исполнение комиссионного поручения</t>
    </r>
    <r>
      <rPr>
        <sz val="8"/>
        <color rgb="FF000000"/>
        <rFont val="Arial"/>
        <family val="2"/>
        <charset val="204"/>
      </rPr>
      <t xml:space="preserve"> по отчету CR000106377 </t>
    </r>
    <r>
      <rPr>
        <sz val="8"/>
        <color rgb="FFFF0000"/>
        <rFont val="Arial"/>
        <family val="2"/>
        <charset val="204"/>
      </rPr>
      <t>от дата</t>
    </r>
    <r>
      <rPr>
        <sz val="8"/>
        <color rgb="FF000000"/>
        <rFont val="Arial"/>
        <family val="2"/>
        <charset val="204"/>
      </rPr>
      <t>, ,</t>
    </r>
  </si>
  <si>
    <t>шт</t>
  </si>
  <si>
    <t>без акциза</t>
  </si>
  <si>
    <t>Всего к оплате (9)</t>
  </si>
  <si>
    <t>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</si>
</sst>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6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  <font>
      <sz val="11"/>
      <color theme="1" tint="0.249977111117893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000000"/>
      <name val="Arial"/>
      <family val="2"/>
      <charset val="204"/>
    </font>
    <font>
      <b/>
      <sz val="12"/>
      <color theme="1"/>
      <name val="Calibri"/>
      <family val="2"/>
      <scheme val="minor"/>
    </font>
    <font>
      <sz val="11"/>
      <color rgb="FF777777"/>
      <name val="Calibri"/>
      <family val="2"/>
      <scheme val="minor"/>
    </font>
    <font>
      <sz val="8"/>
      <color rgb="FF000000"/>
      <name val="Arial"/>
      <family val="2"/>
      <charset val="204"/>
    </font>
    <font>
      <sz val="10"/>
      <color theme="1"/>
      <name val="Calibri"/>
      <family val="2"/>
      <scheme val="minor"/>
    </font>
    <font>
      <sz val="8"/>
      <color rgb="FFFF0000"/>
      <name val="Arial"/>
      <family val="2"/>
      <charset val="204"/>
    </font>
    <font>
      <b/>
      <sz val="8"/>
      <color rgb="FF000000"/>
      <name val="Arial"/>
      <family val="2"/>
      <charset val="204"/>
    </font>
  </fonts>
  <fills count="9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26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FFFFFF"/>
      </left>
      <right style="medium">
        <color rgb="FF808080"/>
      </right>
      <top style="medium">
        <color rgb="FFFFFFFF"/>
      </top>
      <bottom/>
      <diagonal/>
    </border>
    <border>
      <left style="medium">
        <color rgb="FF808080"/>
      </left>
      <right/>
      <top style="medium">
        <color rgb="FFFFFFFF"/>
      </top>
      <bottom/>
      <diagonal/>
    </border>
    <border>
      <left/>
      <right/>
      <top style="medium">
        <color rgb="FFFFFFFF"/>
      </top>
      <bottom/>
      <diagonal/>
    </border>
    <border>
      <left/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 style="medium">
        <color rgb="FF808080"/>
      </right>
      <top/>
      <bottom/>
      <diagonal/>
    </border>
    <border>
      <left style="medium">
        <color rgb="FF808080"/>
      </left>
      <right/>
      <top/>
      <bottom/>
      <diagonal/>
    </border>
    <border>
      <left/>
      <right style="medium">
        <color rgb="FFFFFFFF"/>
      </right>
      <top/>
      <bottom/>
      <diagonal/>
    </border>
    <border>
      <left style="medium">
        <color rgb="FFFFFFFF"/>
      </left>
      <right style="medium">
        <color rgb="FF808080"/>
      </right>
      <top/>
      <bottom style="medium">
        <color rgb="FF808080"/>
      </bottom>
      <diagonal/>
    </border>
    <border>
      <left style="medium">
        <color rgb="FF808080"/>
      </left>
      <right/>
      <top/>
      <bottom style="medium">
        <color rgb="FF808080"/>
      </bottom>
      <diagonal/>
    </border>
    <border>
      <left/>
      <right/>
      <top/>
      <bottom style="medium">
        <color rgb="FF808080"/>
      </bottom>
      <diagonal/>
    </border>
    <border>
      <left/>
      <right style="medium">
        <color rgb="FFFFFFFF"/>
      </right>
      <top/>
      <bottom style="medium">
        <color rgb="FF808080"/>
      </bottom>
      <diagonal/>
    </border>
    <border>
      <left style="medium">
        <color rgb="FF808080"/>
      </left>
      <right style="medium">
        <color rgb="FF808080"/>
      </right>
      <top style="medium">
        <color rgb="FF808080"/>
      </top>
      <bottom/>
      <diagonal/>
    </border>
    <border>
      <left style="medium">
        <color rgb="FF808080"/>
      </left>
      <right/>
      <top style="medium">
        <color rgb="FF808080"/>
      </top>
      <bottom/>
      <diagonal/>
    </border>
    <border>
      <left/>
      <right style="medium">
        <color rgb="FF808080"/>
      </right>
      <top style="medium">
        <color rgb="FF808080"/>
      </top>
      <bottom/>
      <diagonal/>
    </border>
    <border>
      <left style="medium">
        <color rgb="FF808080"/>
      </left>
      <right style="medium">
        <color rgb="FF808080"/>
      </right>
      <top/>
      <bottom/>
      <diagonal/>
    </border>
    <border>
      <left/>
      <right style="medium">
        <color rgb="FF808080"/>
      </right>
      <top/>
      <bottom/>
      <diagonal/>
    </border>
    <border>
      <left/>
      <right style="medium">
        <color rgb="FF808080"/>
      </right>
      <top/>
      <bottom style="medium">
        <color rgb="FF808080"/>
      </bottom>
      <diagonal/>
    </border>
    <border>
      <left style="medium">
        <color rgb="FF808080"/>
      </left>
      <right style="medium">
        <color rgb="FF808080"/>
      </right>
      <top/>
      <bottom style="medium">
        <color rgb="FF808080"/>
      </bottom>
      <diagonal/>
    </border>
    <border>
      <left style="medium">
        <color rgb="FF808080"/>
      </left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 style="medium">
        <color rgb="FFFFFFFF"/>
      </left>
      <right style="medium">
        <color rgb="FF808080"/>
      </right>
      <top style="medium">
        <color rgb="FF808080"/>
      </top>
      <bottom style="medium">
        <color rgb="FFFFFFFF"/>
      </bottom>
      <diagonal/>
    </border>
    <border>
      <left style="medium">
        <color rgb="FF808080"/>
      </left>
      <right/>
      <top style="medium">
        <color rgb="FF808080"/>
      </top>
      <bottom style="medium">
        <color rgb="FFFFFFFF"/>
      </bottom>
      <diagonal/>
    </border>
    <border>
      <left/>
      <right/>
      <top style="medium">
        <color rgb="FF808080"/>
      </top>
      <bottom style="medium">
        <color rgb="FFFFFFFF"/>
      </bottom>
      <diagonal/>
    </border>
    <border>
      <left/>
      <right style="medium">
        <color rgb="FF808080"/>
      </right>
      <top style="medium">
        <color rgb="FF808080"/>
      </top>
      <bottom style="medium">
        <color rgb="FFFFFFFF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8" fillId="0" borderId="0"/>
  </cellStyleXfs>
  <cellXfs count="89">
    <xf numFmtId="0" fontId="0" fillId="0" borderId="0" xfId="0"/>
    <xf numFmtId="164" fontId="0" fillId="0" borderId="0" xfId="0" applyNumberFormat="1"/>
    <xf numFmtId="0" fontId="3" fillId="0" borderId="0" xfId="0" applyFont="1" applyAlignment="1">
      <alignment horizontal="center"/>
    </xf>
    <xf numFmtId="0" fontId="3" fillId="0" borderId="0" xfId="0" applyFont="1"/>
    <xf numFmtId="164" fontId="4" fillId="0" borderId="0" xfId="0" applyNumberFormat="1" applyFont="1"/>
    <xf numFmtId="10" fontId="0" fillId="0" borderId="0" xfId="1" applyNumberFormat="1" applyFont="1"/>
    <xf numFmtId="0" fontId="0" fillId="0" borderId="0" xfId="0" applyAlignment="1">
      <alignment wrapText="1"/>
    </xf>
    <xf numFmtId="0" fontId="0" fillId="3" borderId="0" xfId="0" applyFill="1" applyAlignment="1">
      <alignment wrapText="1"/>
    </xf>
    <xf numFmtId="164" fontId="0" fillId="3" borderId="0" xfId="0" applyNumberFormat="1" applyFill="1"/>
    <xf numFmtId="0" fontId="3" fillId="4" borderId="0" xfId="0" applyFont="1" applyFill="1"/>
    <xf numFmtId="164" fontId="2" fillId="0" borderId="0" xfId="0" applyNumberFormat="1" applyFont="1"/>
    <xf numFmtId="0" fontId="0" fillId="3" borderId="0" xfId="0" applyFill="1"/>
    <xf numFmtId="0" fontId="0" fillId="0" borderId="0" xfId="0" applyFill="1"/>
    <xf numFmtId="164" fontId="0" fillId="0" borderId="0" xfId="0" applyNumberFormat="1" applyFill="1"/>
    <xf numFmtId="164" fontId="3" fillId="0" borderId="0" xfId="0" applyNumberFormat="1" applyFont="1"/>
    <xf numFmtId="0" fontId="3" fillId="0" borderId="1" xfId="0" applyFont="1" applyFill="1" applyBorder="1"/>
    <xf numFmtId="164" fontId="3" fillId="0" borderId="1" xfId="0" applyNumberFormat="1" applyFont="1" applyFill="1" applyBorder="1"/>
    <xf numFmtId="0" fontId="3" fillId="0" borderId="0" xfId="0" applyFont="1" applyFill="1" applyBorder="1"/>
    <xf numFmtId="10" fontId="3" fillId="2" borderId="0" xfId="1" applyNumberFormat="1" applyFont="1" applyFill="1"/>
    <xf numFmtId="49" fontId="0" fillId="0" borderId="0" xfId="0" applyNumberFormat="1" applyAlignment="1">
      <alignment horizontal="left"/>
    </xf>
    <xf numFmtId="4" fontId="0" fillId="0" borderId="0" xfId="0" applyNumberFormat="1" applyAlignment="1">
      <alignment horizontal="left"/>
    </xf>
    <xf numFmtId="4" fontId="0" fillId="0" borderId="0" xfId="0" applyNumberFormat="1" applyAlignment="1">
      <alignment wrapText="1"/>
    </xf>
    <xf numFmtId="0" fontId="5" fillId="5" borderId="0" xfId="0" applyFont="1" applyFill="1" applyAlignment="1">
      <alignment wrapText="1"/>
    </xf>
    <xf numFmtId="4" fontId="0" fillId="5" borderId="0" xfId="0" applyNumberFormat="1" applyFill="1" applyAlignment="1">
      <alignment horizontal="left"/>
    </xf>
    <xf numFmtId="49" fontId="0" fillId="0" borderId="2" xfId="0" applyNumberFormat="1" applyBorder="1" applyAlignment="1">
      <alignment horizontal="left"/>
    </xf>
    <xf numFmtId="4" fontId="0" fillId="0" borderId="2" xfId="0" applyNumberFormat="1" applyBorder="1" applyAlignment="1">
      <alignment horizontal="left"/>
    </xf>
    <xf numFmtId="4" fontId="6" fillId="0" borderId="0" xfId="0" applyNumberFormat="1" applyFont="1" applyAlignment="1">
      <alignment horizontal="left"/>
    </xf>
    <xf numFmtId="4" fontId="7" fillId="0" borderId="2" xfId="0" applyNumberFormat="1" applyFont="1" applyBorder="1"/>
    <xf numFmtId="49" fontId="0" fillId="6" borderId="0" xfId="0" applyNumberFormat="1" applyFill="1" applyAlignment="1">
      <alignment horizontal="left"/>
    </xf>
    <xf numFmtId="4" fontId="0" fillId="6" borderId="0" xfId="0" applyNumberFormat="1" applyFill="1" applyAlignment="1">
      <alignment horizontal="left"/>
    </xf>
    <xf numFmtId="0" fontId="0" fillId="6" borderId="0" xfId="0" applyFill="1"/>
    <xf numFmtId="4" fontId="0" fillId="0" borderId="0" xfId="0" applyNumberFormat="1"/>
    <xf numFmtId="0" fontId="0" fillId="7" borderId="0" xfId="0" applyFill="1"/>
    <xf numFmtId="9" fontId="0" fillId="0" borderId="0" xfId="0" applyNumberFormat="1"/>
    <xf numFmtId="0" fontId="8" fillId="0" borderId="0" xfId="2"/>
    <xf numFmtId="0" fontId="3" fillId="0" borderId="2" xfId="0" applyFont="1" applyBorder="1" applyAlignment="1">
      <alignment horizontal="center" vertical="center" wrapText="1"/>
    </xf>
    <xf numFmtId="0" fontId="3" fillId="7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right" wrapText="1"/>
    </xf>
    <xf numFmtId="4" fontId="3" fillId="0" borderId="2" xfId="0" applyNumberFormat="1" applyFont="1" applyBorder="1" applyAlignment="1">
      <alignment horizontal="center" vertical="center" wrapText="1"/>
    </xf>
    <xf numFmtId="0" fontId="0" fillId="0" borderId="2" xfId="0" applyBorder="1"/>
    <xf numFmtId="4" fontId="0" fillId="0" borderId="2" xfId="0" applyNumberFormat="1" applyBorder="1"/>
    <xf numFmtId="0" fontId="0" fillId="8" borderId="2" xfId="0" applyFill="1" applyBorder="1"/>
    <xf numFmtId="0" fontId="9" fillId="0" borderId="3" xfId="0" applyFont="1" applyBorder="1" applyAlignment="1">
      <alignment vertical="center" wrapText="1"/>
    </xf>
    <xf numFmtId="0" fontId="11" fillId="0" borderId="5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12" fillId="0" borderId="7" xfId="0" applyFont="1" applyBorder="1" applyAlignment="1">
      <alignment vertical="center" wrapText="1"/>
    </xf>
    <xf numFmtId="0" fontId="11" fillId="0" borderId="0" xfId="0" applyFont="1" applyAlignment="1">
      <alignment vertical="top" wrapText="1" indent="1"/>
    </xf>
    <xf numFmtId="0" fontId="0" fillId="0" borderId="9" xfId="0" applyBorder="1"/>
    <xf numFmtId="0" fontId="11" fillId="0" borderId="8" xfId="0" applyFont="1" applyBorder="1" applyAlignment="1">
      <alignment vertical="top" wrapText="1" indent="1"/>
    </xf>
    <xf numFmtId="0" fontId="0" fillId="0" borderId="0" xfId="0" applyAlignment="1">
      <alignment vertical="top" wrapText="1" indent="1"/>
    </xf>
    <xf numFmtId="0" fontId="0" fillId="0" borderId="7" xfId="0" applyBorder="1" applyAlignment="1">
      <alignment vertical="top" wrapText="1"/>
    </xf>
    <xf numFmtId="0" fontId="0" fillId="0" borderId="10" xfId="0" applyBorder="1" applyAlignment="1">
      <alignment vertical="top" wrapText="1"/>
    </xf>
    <xf numFmtId="0" fontId="11" fillId="0" borderId="11" xfId="0" applyFont="1" applyBorder="1" applyAlignment="1">
      <alignment vertical="top" wrapText="1" indent="1"/>
    </xf>
    <xf numFmtId="0" fontId="0" fillId="0" borderId="12" xfId="0" applyBorder="1" applyAlignment="1">
      <alignment vertical="top" wrapText="1" indent="1"/>
    </xf>
    <xf numFmtId="0" fontId="11" fillId="0" borderId="12" xfId="0" applyFont="1" applyBorder="1" applyAlignment="1">
      <alignment vertical="top" wrapText="1" indent="1"/>
    </xf>
    <xf numFmtId="0" fontId="0" fillId="0" borderId="12" xfId="0" applyBorder="1"/>
    <xf numFmtId="0" fontId="0" fillId="0" borderId="13" xfId="0" applyBorder="1"/>
    <xf numFmtId="0" fontId="12" fillId="0" borderId="14" xfId="0" applyFont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 wrapText="1"/>
    </xf>
    <xf numFmtId="0" fontId="12" fillId="0" borderId="20" xfId="0" applyFont="1" applyBorder="1" applyAlignment="1">
      <alignment horizontal="center" vertical="center" wrapText="1"/>
    </xf>
    <xf numFmtId="0" fontId="12" fillId="0" borderId="21" xfId="0" applyFont="1" applyBorder="1" applyAlignment="1">
      <alignment horizontal="center" vertical="center" wrapText="1"/>
    </xf>
    <xf numFmtId="0" fontId="12" fillId="0" borderId="21" xfId="0" applyFont="1" applyBorder="1" applyAlignment="1">
      <alignment horizontal="center" vertical="top" wrapText="1"/>
    </xf>
    <xf numFmtId="0" fontId="12" fillId="0" borderId="21" xfId="0" applyFont="1" applyBorder="1" applyAlignment="1">
      <alignment horizontal="left" vertical="top" wrapText="1"/>
    </xf>
    <xf numFmtId="0" fontId="12" fillId="0" borderId="21" xfId="0" applyFont="1" applyBorder="1" applyAlignment="1">
      <alignment horizontal="left" vertical="center" wrapText="1"/>
    </xf>
    <xf numFmtId="0" fontId="12" fillId="0" borderId="21" xfId="0" applyFont="1" applyBorder="1" applyAlignment="1">
      <alignment horizontal="right" vertical="top" wrapText="1"/>
    </xf>
    <xf numFmtId="4" fontId="12" fillId="0" borderId="21" xfId="0" applyNumberFormat="1" applyFont="1" applyBorder="1" applyAlignment="1">
      <alignment horizontal="right" vertical="top" wrapText="1"/>
    </xf>
    <xf numFmtId="9" fontId="12" fillId="0" borderId="21" xfId="0" applyNumberFormat="1" applyFont="1" applyBorder="1" applyAlignment="1">
      <alignment horizontal="center" vertical="top" wrapText="1"/>
    </xf>
    <xf numFmtId="0" fontId="12" fillId="0" borderId="22" xfId="0" applyFont="1" applyBorder="1" applyAlignment="1">
      <alignment vertical="top" wrapText="1"/>
    </xf>
    <xf numFmtId="4" fontId="15" fillId="0" borderId="21" xfId="0" applyNumberFormat="1" applyFont="1" applyBorder="1" applyAlignment="1">
      <alignment horizontal="right" vertical="top" wrapText="1"/>
    </xf>
    <xf numFmtId="0" fontId="15" fillId="0" borderId="21" xfId="0" applyFont="1" applyBorder="1" applyAlignment="1">
      <alignment horizontal="center" vertical="top" wrapText="1"/>
    </xf>
    <xf numFmtId="0" fontId="3" fillId="2" borderId="0" xfId="0" applyFont="1" applyFill="1" applyAlignment="1">
      <alignment horizontal="center"/>
    </xf>
    <xf numFmtId="0" fontId="4" fillId="0" borderId="0" xfId="0" applyFont="1" applyFill="1" applyAlignment="1">
      <alignment wrapText="1"/>
    </xf>
    <xf numFmtId="0" fontId="15" fillId="0" borderId="23" xfId="0" applyFont="1" applyBorder="1" applyAlignment="1">
      <alignment horizontal="right" vertical="top" wrapText="1"/>
    </xf>
    <xf numFmtId="0" fontId="15" fillId="0" borderId="24" xfId="0" applyFont="1" applyBorder="1" applyAlignment="1">
      <alignment horizontal="right" vertical="top" wrapText="1"/>
    </xf>
    <xf numFmtId="0" fontId="15" fillId="0" borderId="25" xfId="0" applyFont="1" applyBorder="1" applyAlignment="1">
      <alignment horizontal="right" vertical="top" wrapText="1"/>
    </xf>
    <xf numFmtId="0" fontId="12" fillId="0" borderId="14" xfId="0" applyFont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 wrapText="1"/>
    </xf>
    <xf numFmtId="0" fontId="12" fillId="0" borderId="20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9" xfId="0" applyFont="1" applyBorder="1" applyAlignment="1">
      <alignment horizontal="center" vertical="center" wrapText="1"/>
    </xf>
    <xf numFmtId="0" fontId="10" fillId="0" borderId="4" xfId="0" applyFont="1" applyBorder="1" applyAlignment="1">
      <alignment vertical="center" wrapText="1"/>
    </xf>
    <xf numFmtId="0" fontId="10" fillId="0" borderId="5" xfId="0" applyFont="1" applyBorder="1" applyAlignment="1">
      <alignment vertical="center" wrapText="1"/>
    </xf>
    <xf numFmtId="0" fontId="13" fillId="0" borderId="8" xfId="0" applyFont="1" applyBorder="1" applyAlignment="1">
      <alignment horizontal="left" vertical="center" wrapText="1" indent="1"/>
    </xf>
    <xf numFmtId="0" fontId="13" fillId="0" borderId="0" xfId="0" applyFont="1" applyAlignment="1">
      <alignment horizontal="left" vertical="center" wrapText="1" indent="1"/>
    </xf>
  </cellXfs>
  <cellStyles count="3">
    <cellStyle name="Обычный" xfId="0" builtinId="0"/>
    <cellStyle name="Обычный 2" xfId="2" xr:uid="{F76A08BA-1405-4425-B7CD-92D92D3C8F21}"/>
    <cellStyle name="Процентный" xfId="1" builtinId="5"/>
  </cellStyles>
  <dxfs count="10">
    <dxf>
      <numFmt numFmtId="4" formatCode="#,##0.00"/>
      <fill>
        <patternFill patternType="solid">
          <fgColor indexed="64"/>
          <bgColor theme="5" tint="0.59999389629810485"/>
        </patternFill>
      </fill>
    </dxf>
    <dxf>
      <fill>
        <patternFill patternType="solid">
          <fgColor indexed="64"/>
          <bgColor theme="5" tint="0.59999389629810485"/>
        </patternFill>
      </fill>
    </dxf>
    <dxf>
      <fill>
        <patternFill patternType="none">
          <fgColor indexed="64"/>
          <bgColor auto="1"/>
        </patternFill>
      </fill>
    </dxf>
    <dxf>
      <numFmt numFmtId="4" formatCode="#,##0.00"/>
    </dxf>
    <dxf>
      <numFmt numFmtId="4" formatCode="#,##0.00"/>
      <fill>
        <patternFill patternType="solid">
          <fgColor indexed="64"/>
          <bgColor theme="5" tint="0.59999389629810485"/>
        </patternFill>
      </fill>
      <alignment horizontal="left" vertical="bottom" textRotation="0" wrapText="0" indent="0" justifyLastLine="0" shrinkToFit="0" readingOrder="0"/>
    </dxf>
    <dxf>
      <numFmt numFmtId="4" formatCode="#,##0.00"/>
      <fill>
        <patternFill patternType="solid">
          <fgColor indexed="64"/>
          <bgColor theme="5" tint="0.59999389629810485"/>
        </patternFill>
      </fill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9" tint="0.59999389629810485"/>
        </patternFill>
      </fill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9" tint="0.59999389629810485"/>
        </patternFill>
      </fill>
    </dxf>
    <dxf>
      <numFmt numFmtId="4" formatCode="#,##0.00"/>
    </dxf>
    <dxf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44;&#1083;&#1103;%20&#1088;&#1072;&#1089;&#1089;&#1099;&#1083;&#1082;&#1080;%20&#1082;&#1086;&#1084;&#1080;&#1090;&#1077;&#1085;&#1090;&#1072;&#1084;,%20&#1092;&#1086;&#1088;&#1084;&#1091;&#1083;&#1072;%20&#1089;%20&#1094;&#1080;&#1092;&#1088;&#1072;&#1084;&#1080;%20(5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Вспомогательные таблицы"/>
      <sheetName val="Для рассылки комитентам, формул"/>
    </sheetNames>
    <sheetDataSet>
      <sheetData sheetId="0"/>
      <sheetData sheetId="1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46B0E95-B5B5-4084-90EF-32319496AA37}" name="AxTable1" displayName="AxTable1" ref="A2:N3" totalsRowShown="0" headerRowDxfId="9">
  <autoFilter ref="A2:N3" xr:uid="{D0CC3FAB-3B8D-4454-83F8-680292EEDF3B}"/>
  <tableColumns count="14">
    <tableColumn id="1" xr3:uid="{B064077B-0942-454B-B68C-2A192ACDED56}" name="Номер внешнего заказа клиента"/>
    <tableColumn id="2" xr3:uid="{6BA6AA71-7A40-4515-8B57-1832B0048C1A}" name="Заказ на продажу"/>
    <tableColumn id="3" xr3:uid="{64EC66B8-5975-4643-827D-01E27AD7C35E}" name="Номенклатура"/>
    <tableColumn id="4" xr3:uid="{A734E570-1815-4E6E-8E07-2DCA05F7C7A6}" name="Размер"/>
    <tableColumn id="5" xr3:uid="{FA3F61C0-1B02-4F51-92C8-096C3459B8C9}" name="Серийный номер"/>
    <tableColumn id="6" xr3:uid="{961A4167-75A8-44B4-B315-3CFB81673BCA}" name="Конфигурация" dataDxfId="8"/>
    <tableColumn id="7" xr3:uid="{0E96B2DA-29C8-4907-8883-7F49D3348FFF}" name="Количество"/>
    <tableColumn id="8" xr3:uid="{7302C258-F210-4D85-A923-1FE46775C6C5}" name="Цена реализации, руб. вкл. НДС" dataDxfId="7"/>
    <tableColumn id="9" xr3:uid="{1C3CF4E4-E812-49C2-A682-3A95423E35B8}" name="Согласованная цена" dataDxfId="6"/>
    <tableColumn id="10" xr3:uid="{75A9379B-8CBD-4120-ADF9-1D276B03989A}" name="Процент"/>
    <tableColumn id="11" xr3:uid="{0337A704-683E-495F-8B36-91FF78360987}" name="Сумма к перечислению"/>
    <tableColumn id="12" xr3:uid="{5D5E6D0C-F6B4-479D-968A-F07BD775C077}" name="Сумма комиссии"/>
    <tableColumn id="13" xr3:uid="{30B565BB-5C5F-4CEA-AF0C-0887C9132B29}" name="Сумма отклонения" dataDxfId="5"/>
    <tableColumn id="14" xr3:uid="{B1BB053C-F031-46D0-833F-03644228864F}" name="Столбец1" dataDxfId="4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765D101-8B53-47E6-9B19-15B5B61A0EE1}" name="AxTable134" displayName="AxTable134" ref="A18:O19" totalsRowShown="0">
  <autoFilter ref="A18:O19" xr:uid="{88B37968-EE24-433E-97BB-69DC435C80E3}"/>
  <tableColumns count="15">
    <tableColumn id="1" xr3:uid="{2A7476D4-E262-4508-A253-948D25E3F33E}" name="Номер внешнего заказа клиента"/>
    <tableColumn id="2" xr3:uid="{0BFDA8BD-D1B6-4669-BB83-9E2F63E6B364}" name="Заказ на продажу"/>
    <tableColumn id="3" xr3:uid="{32A5365A-0A54-4D74-8F6F-9B6B4CE26742}" name="Номенклатура"/>
    <tableColumn id="4" xr3:uid="{AD9F059B-99E7-4FD5-AFD3-995F81F3731A}" name="Размер"/>
    <tableColumn id="5" xr3:uid="{A0BCF43D-CB50-4EF8-965D-61954A5487D9}" name="Серийный номер"/>
    <tableColumn id="6" xr3:uid="{4369F7E6-7498-42BC-BE21-B33238DF5B1D}" name="Конфигурация" dataDxfId="3"/>
    <tableColumn id="7" xr3:uid="{510099FA-BDF5-4031-ABFB-A6E883E6B793}" name="Количество"/>
    <tableColumn id="8" xr3:uid="{D9832EC1-10D1-4214-B8A3-458041A73846}" name="Чистая сумма"/>
    <tableColumn id="9" xr3:uid="{4685E544-C34D-424D-AD0B-392183977CB5}" name="Согласованная цена" dataDxfId="2"/>
    <tableColumn id="10" xr3:uid="{C0D416BE-2FB8-489D-9792-9F1B9B295B85}" name="Процент"/>
    <tableColumn id="11" xr3:uid="{0BE530DF-C27A-4AE5-B8E2-676832E954BC}" name="Сумма к перечислению">
      <calculatedColumnFormula>AxTable134[[#This Row],[Чистая сумма]]-AxTable134[[#This Row],[Сумма комиссии]]+AxTable134[[#This Row],[Скидка по комиссии]]</calculatedColumnFormula>
    </tableColumn>
    <tableColumn id="12" xr3:uid="{1A965B35-F29A-414F-878D-C153CA93A23B}" name="Сумма комиссии">
      <calculatedColumnFormula>AxTable134[[#This Row],[Чистая сумма]]*AxTable134[[#This Row],[Процент]]</calculatedColumnFormula>
    </tableColumn>
    <tableColumn id="13" xr3:uid="{90156754-0686-4D75-9CB1-DCE46FCDAFBA}" name="Сумма отклонения" dataDxfId="1"/>
    <tableColumn id="14" xr3:uid="{DE83CD28-089E-4AF5-A574-1ECAD56EB24D}" name="Скидка по комиссии" dataDxfId="0">
      <calculatedColumnFormula>(AxTable134[[#This Row],[Согласованная цена]]-AxTable134[[#This Row],[Чистая сумма]])*(1-AxTable134[[#This Row],[Процент]])*1.15</calculatedColumnFormula>
    </tableColumn>
    <tableColumn id="15" xr3:uid="{AA8D02E8-209B-460E-80E6-93DF17906F6D}" name="Ставка НДС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vmlDrawing" Target="../drawings/vmlDrawing1.vm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315016-F19C-40DF-BDE0-5FB2C9A495C4}">
  <dimension ref="B1:H39"/>
  <sheetViews>
    <sheetView tabSelected="1" workbookViewId="0">
      <selection activeCell="E5" sqref="E5"/>
    </sheetView>
  </sheetViews>
  <sheetFormatPr defaultColWidth="18.140625" defaultRowHeight="15" x14ac:dyDescent="0.25"/>
  <sheetData>
    <row r="1" spans="2:8" x14ac:dyDescent="0.25">
      <c r="C1" s="1"/>
      <c r="D1" s="1"/>
    </row>
    <row r="2" spans="2:8" x14ac:dyDescent="0.25">
      <c r="B2" s="71" t="s">
        <v>0</v>
      </c>
      <c r="C2" s="71"/>
      <c r="D2" s="2"/>
      <c r="F2" s="71" t="s">
        <v>1</v>
      </c>
      <c r="G2" s="71"/>
    </row>
    <row r="3" spans="2:8" x14ac:dyDescent="0.25">
      <c r="B3" s="3"/>
      <c r="C3" s="1"/>
      <c r="D3" s="1"/>
      <c r="F3" s="72" t="s">
        <v>2</v>
      </c>
      <c r="G3" s="72"/>
    </row>
    <row r="4" spans="2:8" x14ac:dyDescent="0.25">
      <c r="B4" t="s">
        <v>3</v>
      </c>
      <c r="C4" s="1">
        <v>110</v>
      </c>
      <c r="D4" s="4" t="s">
        <v>4</v>
      </c>
      <c r="F4" t="s">
        <v>3</v>
      </c>
      <c r="G4" s="1">
        <v>110</v>
      </c>
      <c r="H4" s="4" t="s">
        <v>4</v>
      </c>
    </row>
    <row r="5" spans="2:8" x14ac:dyDescent="0.25">
      <c r="B5" t="s">
        <v>5</v>
      </c>
      <c r="C5" s="5">
        <v>7.3571985948634552E-2</v>
      </c>
      <c r="D5" s="4"/>
      <c r="F5" t="s">
        <v>5</v>
      </c>
      <c r="G5" s="5">
        <f>C5</f>
        <v>7.3571985948634552E-2</v>
      </c>
      <c r="H5" s="4"/>
    </row>
    <row r="6" spans="2:8" x14ac:dyDescent="0.25">
      <c r="B6" t="s">
        <v>6</v>
      </c>
      <c r="C6" s="1">
        <f>C4*C5</f>
        <v>8.0929184543498014</v>
      </c>
      <c r="D6" s="1"/>
      <c r="F6" t="s">
        <v>6</v>
      </c>
      <c r="G6" s="1">
        <f>G4*G5</f>
        <v>8.0929184543498014</v>
      </c>
    </row>
    <row r="7" spans="2:8" ht="45" x14ac:dyDescent="0.25">
      <c r="B7" s="6" t="s">
        <v>7</v>
      </c>
      <c r="C7" s="1">
        <f>C4</f>
        <v>110</v>
      </c>
      <c r="D7" s="4" t="s">
        <v>4</v>
      </c>
      <c r="F7" s="6" t="s">
        <v>7</v>
      </c>
      <c r="G7" s="1">
        <f>G4-G6</f>
        <v>101.9070815456502</v>
      </c>
      <c r="H7" s="4" t="s">
        <v>4</v>
      </c>
    </row>
    <row r="8" spans="2:8" ht="30" x14ac:dyDescent="0.25">
      <c r="B8" s="6"/>
      <c r="C8" s="1"/>
      <c r="D8" s="1"/>
      <c r="F8" s="7" t="s">
        <v>8</v>
      </c>
      <c r="G8" s="8">
        <f>G6*(1-G12)*1.15</f>
        <v>5.9673648354866353</v>
      </c>
      <c r="H8" s="1"/>
    </row>
    <row r="9" spans="2:8" x14ac:dyDescent="0.25">
      <c r="C9" s="1"/>
      <c r="D9" s="1"/>
      <c r="G9" s="1"/>
    </row>
    <row r="10" spans="2:8" x14ac:dyDescent="0.25">
      <c r="B10" s="9" t="s">
        <v>9</v>
      </c>
      <c r="C10" s="1"/>
      <c r="D10" s="1"/>
      <c r="F10" s="9" t="s">
        <v>9</v>
      </c>
      <c r="G10" s="1"/>
    </row>
    <row r="11" spans="2:8" x14ac:dyDescent="0.25">
      <c r="B11" t="s">
        <v>10</v>
      </c>
      <c r="C11" s="1">
        <f>C4-C6</f>
        <v>101.9070815456502</v>
      </c>
      <c r="D11" s="1"/>
      <c r="F11" t="s">
        <v>10</v>
      </c>
      <c r="G11" s="1">
        <f>G4-G6</f>
        <v>101.9070815456502</v>
      </c>
    </row>
    <row r="12" spans="2:8" x14ac:dyDescent="0.25">
      <c r="B12" t="s">
        <v>11</v>
      </c>
      <c r="C12" s="5">
        <v>0.35882056273109247</v>
      </c>
      <c r="D12" s="10"/>
      <c r="F12" t="s">
        <v>11</v>
      </c>
      <c r="G12" s="5">
        <f>C12</f>
        <v>0.35882056273109247</v>
      </c>
    </row>
    <row r="13" spans="2:8" x14ac:dyDescent="0.25">
      <c r="B13" t="s">
        <v>12</v>
      </c>
      <c r="C13" s="1">
        <f>C7*C12</f>
        <v>39.470261900420169</v>
      </c>
      <c r="D13" s="1"/>
      <c r="F13" s="11" t="s">
        <v>13</v>
      </c>
      <c r="G13" s="8">
        <f>G7*G12</f>
        <v>36.566356346493535</v>
      </c>
    </row>
    <row r="14" spans="2:8" x14ac:dyDescent="0.25">
      <c r="B14" t="s">
        <v>14</v>
      </c>
      <c r="C14" s="1">
        <f>-C6</f>
        <v>-8.0929184543498014</v>
      </c>
      <c r="D14" s="1"/>
      <c r="F14" s="11" t="s">
        <v>15</v>
      </c>
      <c r="G14" s="8">
        <f>G8</f>
        <v>5.9673648354866353</v>
      </c>
    </row>
    <row r="15" spans="2:8" x14ac:dyDescent="0.25">
      <c r="C15" s="1"/>
      <c r="D15" s="1"/>
      <c r="F15" s="11" t="s">
        <v>16</v>
      </c>
      <c r="G15" s="8">
        <f>G13-G14</f>
        <v>30.598991511006901</v>
      </c>
    </row>
    <row r="16" spans="2:8" x14ac:dyDescent="0.25">
      <c r="C16" s="1"/>
      <c r="D16" s="1"/>
      <c r="F16" s="12" t="s">
        <v>14</v>
      </c>
      <c r="G16" s="13">
        <v>0</v>
      </c>
    </row>
    <row r="17" spans="2:7" x14ac:dyDescent="0.25">
      <c r="C17" s="1"/>
      <c r="D17" s="1"/>
      <c r="G17" s="1"/>
    </row>
    <row r="18" spans="2:7" x14ac:dyDescent="0.25">
      <c r="B18" s="9" t="s">
        <v>17</v>
      </c>
      <c r="C18" s="1"/>
      <c r="D18" s="1"/>
      <c r="F18" s="9" t="s">
        <v>17</v>
      </c>
      <c r="G18" s="1"/>
    </row>
    <row r="19" spans="2:7" x14ac:dyDescent="0.25">
      <c r="B19" t="s">
        <v>18</v>
      </c>
      <c r="C19" s="1">
        <f>C4-C13</f>
        <v>70.529738099579831</v>
      </c>
      <c r="D19" s="1"/>
      <c r="F19" t="s">
        <v>18</v>
      </c>
      <c r="G19" s="1">
        <f>G7-G15</f>
        <v>71.3080900346433</v>
      </c>
    </row>
    <row r="20" spans="2:7" x14ac:dyDescent="0.25">
      <c r="B20" t="s">
        <v>19</v>
      </c>
      <c r="C20" s="1">
        <f>C7/1.1</f>
        <v>99.999999999999986</v>
      </c>
      <c r="D20" s="1"/>
      <c r="F20" t="s">
        <v>19</v>
      </c>
      <c r="G20" s="1">
        <f>G7/1.1</f>
        <v>92.642801405136538</v>
      </c>
    </row>
    <row r="21" spans="2:7" x14ac:dyDescent="0.25">
      <c r="C21" s="1"/>
      <c r="D21" s="1"/>
      <c r="F21" t="s">
        <v>20</v>
      </c>
      <c r="G21" s="1">
        <v>0</v>
      </c>
    </row>
    <row r="22" spans="2:7" x14ac:dyDescent="0.25">
      <c r="B22" t="s">
        <v>21</v>
      </c>
      <c r="C22" s="1">
        <f>-C13/1.2</f>
        <v>-32.89188491701681</v>
      </c>
      <c r="D22" s="1"/>
      <c r="F22" t="s">
        <v>21</v>
      </c>
      <c r="G22" s="1">
        <f>-G15/1.2</f>
        <v>-25.499159592505752</v>
      </c>
    </row>
    <row r="23" spans="2:7" x14ac:dyDescent="0.25">
      <c r="C23" s="1"/>
      <c r="D23" s="1"/>
      <c r="G23" s="1"/>
    </row>
    <row r="24" spans="2:7" x14ac:dyDescent="0.25">
      <c r="B24" s="3" t="s">
        <v>22</v>
      </c>
      <c r="C24" s="14">
        <f>-(C20+C22)*20%</f>
        <v>-13.421623016596635</v>
      </c>
      <c r="D24" s="14"/>
      <c r="F24" s="3" t="s">
        <v>22</v>
      </c>
      <c r="G24" s="14">
        <f>-(G20+G21+G22)*20%</f>
        <v>-13.428728362526158</v>
      </c>
    </row>
    <row r="25" spans="2:7" x14ac:dyDescent="0.25">
      <c r="B25" t="s">
        <v>23</v>
      </c>
      <c r="C25" s="1">
        <f>-C20*10%</f>
        <v>-10</v>
      </c>
      <c r="D25" s="1"/>
      <c r="F25" t="s">
        <v>23</v>
      </c>
      <c r="G25" s="1">
        <f>-G20*10%</f>
        <v>-9.2642801405136534</v>
      </c>
    </row>
    <row r="26" spans="2:7" x14ac:dyDescent="0.25">
      <c r="B26" t="s">
        <v>24</v>
      </c>
      <c r="C26" s="1">
        <f>-C22*20%</f>
        <v>6.5783769834033627</v>
      </c>
      <c r="D26" s="1"/>
      <c r="F26" t="s">
        <v>24</v>
      </c>
      <c r="G26" s="1">
        <f>-G22*20%</f>
        <v>5.0998319185011507</v>
      </c>
    </row>
    <row r="27" spans="2:7" x14ac:dyDescent="0.25">
      <c r="B27" s="3" t="s">
        <v>25</v>
      </c>
      <c r="C27" s="14">
        <f>C25+C26</f>
        <v>-3.4216230165966373</v>
      </c>
      <c r="D27" s="14"/>
      <c r="F27" s="3" t="s">
        <v>25</v>
      </c>
      <c r="G27" s="14">
        <f>G25+G26</f>
        <v>-4.1644482220125028</v>
      </c>
    </row>
    <row r="28" spans="2:7" ht="15.75" thickBot="1" x14ac:dyDescent="0.3">
      <c r="B28" s="15" t="s">
        <v>26</v>
      </c>
      <c r="C28" s="16">
        <f>C24+C27</f>
        <v>-16.843246033193275</v>
      </c>
      <c r="D28" s="14"/>
      <c r="F28" s="15" t="s">
        <v>26</v>
      </c>
      <c r="G28" s="16">
        <f>G24+G27</f>
        <v>-17.593176584538661</v>
      </c>
    </row>
    <row r="29" spans="2:7" ht="15.75" thickTop="1" x14ac:dyDescent="0.25">
      <c r="C29" s="1"/>
      <c r="D29" s="1"/>
    </row>
    <row r="30" spans="2:7" ht="15.75" thickBot="1" x14ac:dyDescent="0.3">
      <c r="B30" s="15" t="s">
        <v>27</v>
      </c>
      <c r="C30" s="16">
        <f>C19+C28</f>
        <v>53.686492066386556</v>
      </c>
      <c r="D30" s="1"/>
      <c r="F30" s="15" t="s">
        <v>27</v>
      </c>
      <c r="G30" s="16">
        <f>G19+G28</f>
        <v>53.714913450104639</v>
      </c>
    </row>
    <row r="31" spans="2:7" ht="15.75" thickTop="1" x14ac:dyDescent="0.25">
      <c r="C31" s="1"/>
      <c r="D31" s="1"/>
      <c r="F31" s="17" t="s">
        <v>28</v>
      </c>
      <c r="G31" s="18">
        <f>G30/C30-1</f>
        <v>5.2939543308094805E-4</v>
      </c>
    </row>
    <row r="32" spans="2:7" x14ac:dyDescent="0.25">
      <c r="C32" s="1"/>
      <c r="D32" s="1"/>
    </row>
    <row r="33" spans="3:4" x14ac:dyDescent="0.25">
      <c r="C33" s="1"/>
      <c r="D33" s="1"/>
    </row>
    <row r="34" spans="3:4" x14ac:dyDescent="0.25">
      <c r="C34" s="1"/>
      <c r="D34" s="1"/>
    </row>
    <row r="35" spans="3:4" x14ac:dyDescent="0.25">
      <c r="C35" s="1"/>
      <c r="D35" s="1"/>
    </row>
    <row r="36" spans="3:4" x14ac:dyDescent="0.25">
      <c r="C36" s="1"/>
      <c r="D36" s="1"/>
    </row>
    <row r="37" spans="3:4" x14ac:dyDescent="0.25">
      <c r="C37" s="1"/>
      <c r="D37" s="1"/>
    </row>
    <row r="38" spans="3:4" x14ac:dyDescent="0.25">
      <c r="C38" s="1"/>
      <c r="D38" s="1"/>
    </row>
    <row r="39" spans="3:4" x14ac:dyDescent="0.25">
      <c r="C39" s="1"/>
      <c r="D39" s="1"/>
    </row>
  </sheetData>
  <mergeCells count="3">
    <mergeCell ref="B2:C2"/>
    <mergeCell ref="F2:G2"/>
    <mergeCell ref="F3:G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8930C-45E1-4AD4-93DF-546841DEFF57}">
  <dimension ref="A1:S85"/>
  <sheetViews>
    <sheetView topLeftCell="A58" workbookViewId="0">
      <selection activeCell="O29" sqref="O29"/>
    </sheetView>
  </sheetViews>
  <sheetFormatPr defaultColWidth="13.28515625" defaultRowHeight="15" x14ac:dyDescent="0.25"/>
  <sheetData>
    <row r="1" spans="1:15" x14ac:dyDescent="0.25">
      <c r="A1" s="19"/>
      <c r="B1" s="19"/>
      <c r="C1" s="19"/>
      <c r="D1" s="28" t="s">
        <v>29</v>
      </c>
      <c r="E1" s="28"/>
      <c r="F1" s="28"/>
      <c r="G1" s="20"/>
      <c r="H1" s="20"/>
      <c r="I1" s="20"/>
      <c r="J1" s="20"/>
      <c r="K1" s="20"/>
      <c r="L1" s="20"/>
      <c r="M1" s="20"/>
    </row>
    <row r="2" spans="1:15" ht="60" x14ac:dyDescent="0.25">
      <c r="A2" s="6" t="s">
        <v>30</v>
      </c>
      <c r="B2" s="6" t="s">
        <v>31</v>
      </c>
      <c r="C2" s="6" t="s">
        <v>32</v>
      </c>
      <c r="D2" s="6" t="s">
        <v>33</v>
      </c>
      <c r="E2" s="6" t="s">
        <v>34</v>
      </c>
      <c r="F2" s="21" t="s">
        <v>35</v>
      </c>
      <c r="G2" s="6" t="s">
        <v>36</v>
      </c>
      <c r="H2" s="22" t="s">
        <v>37</v>
      </c>
      <c r="I2" s="22" t="s">
        <v>38</v>
      </c>
      <c r="J2" s="6" t="s">
        <v>39</v>
      </c>
      <c r="K2" s="6" t="s">
        <v>40</v>
      </c>
      <c r="L2" s="6" t="s">
        <v>41</v>
      </c>
      <c r="M2" s="6" t="s">
        <v>42</v>
      </c>
      <c r="N2" s="6" t="s">
        <v>43</v>
      </c>
    </row>
    <row r="3" spans="1:15" x14ac:dyDescent="0.25">
      <c r="A3" s="19" t="s">
        <v>44</v>
      </c>
      <c r="B3" s="19" t="s">
        <v>44</v>
      </c>
      <c r="C3" s="19" t="s">
        <v>45</v>
      </c>
      <c r="D3" s="19"/>
      <c r="E3" s="19" t="s">
        <v>46</v>
      </c>
      <c r="F3" s="20" t="s">
        <v>47</v>
      </c>
      <c r="G3" s="20">
        <v>1</v>
      </c>
      <c r="H3" s="23">
        <v>5801</v>
      </c>
      <c r="I3" s="23">
        <v>6990</v>
      </c>
      <c r="J3" s="20">
        <v>0.35</v>
      </c>
      <c r="K3" s="20">
        <v>4543.5</v>
      </c>
      <c r="L3" s="20">
        <v>2446.5</v>
      </c>
      <c r="M3" s="20">
        <v>1189</v>
      </c>
      <c r="N3" s="20"/>
    </row>
    <row r="4" spans="1:15" x14ac:dyDescent="0.25">
      <c r="A4" s="19"/>
      <c r="B4" s="19"/>
      <c r="C4" s="19"/>
      <c r="D4" s="19"/>
      <c r="E4" s="19"/>
      <c r="F4" s="20"/>
      <c r="G4" s="20"/>
      <c r="H4" s="20"/>
      <c r="I4" s="20"/>
      <c r="J4" s="20"/>
      <c r="K4" s="20"/>
      <c r="L4" s="20"/>
      <c r="M4" s="20"/>
    </row>
    <row r="5" spans="1:15" x14ac:dyDescent="0.25">
      <c r="A5" s="19"/>
      <c r="B5" s="19"/>
      <c r="C5" s="19"/>
      <c r="D5" s="19"/>
      <c r="E5" s="19"/>
      <c r="F5" s="20"/>
      <c r="G5" s="20"/>
      <c r="H5" s="20"/>
      <c r="I5" s="20"/>
      <c r="J5" s="20"/>
      <c r="K5" s="20"/>
      <c r="L5" s="20"/>
      <c r="M5" s="20"/>
    </row>
    <row r="6" spans="1:15" x14ac:dyDescent="0.25">
      <c r="A6" s="19"/>
      <c r="B6" s="19"/>
      <c r="C6" s="19"/>
      <c r="D6" s="19"/>
      <c r="E6" s="19"/>
      <c r="F6" s="20"/>
      <c r="G6" s="20"/>
      <c r="H6" s="20"/>
      <c r="I6" s="20"/>
      <c r="J6" s="20"/>
      <c r="K6" s="20"/>
      <c r="L6" s="20"/>
      <c r="M6" s="20"/>
    </row>
    <row r="7" spans="1:15" x14ac:dyDescent="0.25">
      <c r="A7" s="19"/>
      <c r="B7" s="19"/>
      <c r="C7" s="19"/>
      <c r="D7" s="24" t="s">
        <v>48</v>
      </c>
      <c r="E7" s="24"/>
      <c r="F7" s="25"/>
      <c r="G7" s="20"/>
      <c r="H7" s="24" t="s">
        <v>49</v>
      </c>
      <c r="I7" s="25"/>
      <c r="J7" s="25"/>
      <c r="K7" s="20"/>
      <c r="L7" s="24" t="s">
        <v>50</v>
      </c>
      <c r="M7" s="24"/>
      <c r="N7" s="25"/>
    </row>
    <row r="8" spans="1:15" x14ac:dyDescent="0.25">
      <c r="A8" s="19"/>
      <c r="B8" s="19"/>
      <c r="C8" s="19"/>
      <c r="D8" s="24"/>
      <c r="E8" s="24"/>
      <c r="F8" s="25"/>
      <c r="G8" s="20"/>
      <c r="H8" s="25"/>
      <c r="I8" s="25"/>
      <c r="J8" s="25"/>
      <c r="K8" s="20"/>
      <c r="L8" s="24"/>
      <c r="M8" s="24"/>
      <c r="N8" s="25"/>
    </row>
    <row r="9" spans="1:15" x14ac:dyDescent="0.25">
      <c r="A9" s="19"/>
      <c r="B9" s="19"/>
      <c r="C9" s="19"/>
      <c r="D9" s="24" t="s">
        <v>51</v>
      </c>
      <c r="E9" s="24" t="s">
        <v>52</v>
      </c>
      <c r="F9" s="25"/>
      <c r="G9" s="20"/>
      <c r="H9" s="24" t="s">
        <v>51</v>
      </c>
      <c r="I9" s="24" t="s">
        <v>52</v>
      </c>
      <c r="J9" s="25"/>
      <c r="K9" s="20"/>
      <c r="L9" s="24" t="s">
        <v>51</v>
      </c>
      <c r="M9" s="24" t="s">
        <v>52</v>
      </c>
      <c r="N9" s="25"/>
    </row>
    <row r="10" spans="1:15" x14ac:dyDescent="0.25">
      <c r="A10" s="19"/>
      <c r="B10" s="19"/>
      <c r="C10" s="19" t="s">
        <v>53</v>
      </c>
      <c r="D10" s="24" t="s">
        <v>54</v>
      </c>
      <c r="E10" s="24" t="s">
        <v>55</v>
      </c>
      <c r="F10" s="25">
        <f t="array" ref="F10">AxTable1[Цена реализации, руб. вкл. НДС]</f>
        <v>5801</v>
      </c>
      <c r="G10" s="20"/>
      <c r="H10" s="24" t="s">
        <v>54</v>
      </c>
      <c r="I10" s="24" t="s">
        <v>55</v>
      </c>
      <c r="J10" s="25">
        <f t="array" ref="J10">AxTable1[Цена реализации, руб. вкл. НДС]</f>
        <v>5801</v>
      </c>
      <c r="K10" s="20"/>
      <c r="L10" s="24" t="s">
        <v>54</v>
      </c>
      <c r="M10" s="24" t="s">
        <v>55</v>
      </c>
      <c r="N10" s="25">
        <f t="array" ref="N10">AxTable1[Цена реализации, руб. вкл. НДС]</f>
        <v>5801</v>
      </c>
    </row>
    <row r="11" spans="1:15" x14ac:dyDescent="0.25">
      <c r="A11" s="19"/>
      <c r="B11" s="19"/>
      <c r="C11" s="19" t="s">
        <v>56</v>
      </c>
      <c r="D11" s="24" t="s">
        <v>55</v>
      </c>
      <c r="E11" s="24" t="s">
        <v>57</v>
      </c>
      <c r="F11" s="25">
        <f t="array" ref="F11">AxTable1[Согласованная цена]*AxTable1[Процент]</f>
        <v>2446.5</v>
      </c>
      <c r="G11" s="26"/>
      <c r="H11" s="24" t="s">
        <v>55</v>
      </c>
      <c r="I11" s="24" t="s">
        <v>57</v>
      </c>
      <c r="J11" s="25">
        <f t="array" ref="J11">AxTable1[Цена реализации, руб. вкл. НДС]*AxTable1[Процент]</f>
        <v>2030.35</v>
      </c>
      <c r="K11" s="20"/>
      <c r="L11" s="24" t="s">
        <v>55</v>
      </c>
      <c r="M11" s="24" t="s">
        <v>57</v>
      </c>
      <c r="N11" s="25">
        <f t="array" ref="N11">AxTable1[Цена реализации, руб. вкл. НДС]*AxTable1[Процент]</f>
        <v>2030.35</v>
      </c>
    </row>
    <row r="12" spans="1:15" x14ac:dyDescent="0.25">
      <c r="A12" s="19"/>
      <c r="B12" s="19"/>
      <c r="C12" s="19" t="s">
        <v>58</v>
      </c>
      <c r="D12" s="24" t="s">
        <v>59</v>
      </c>
      <c r="E12" s="24" t="s">
        <v>55</v>
      </c>
      <c r="F12" s="25">
        <f t="array" ref="F12">-AxTable1[Согласованная цена]+AxTable1[Цена реализации, руб. вкл. НДС]</f>
        <v>-1189</v>
      </c>
      <c r="G12" s="20"/>
      <c r="H12" s="24" t="s">
        <v>55</v>
      </c>
      <c r="I12" s="24" t="s">
        <v>57</v>
      </c>
      <c r="J12" s="25">
        <f t="array" ref="J12">-(AxTable1[Согласованная цена]-AxTable1[Цена реализации, руб. вкл. НДС])*(1-AxTable1[Процент])</f>
        <v>-772.85</v>
      </c>
      <c r="K12" s="20"/>
      <c r="L12" s="24" t="s">
        <v>55</v>
      </c>
      <c r="M12" s="24" t="s">
        <v>57</v>
      </c>
      <c r="N12" s="25">
        <f t="array" ref="N12">-(AxTable1[Согласованная цена]-AxTable1[Цена реализации, руб. вкл. НДС])*(1-AxTable1[Процент])*1.15</f>
        <v>-888.77749999999992</v>
      </c>
    </row>
    <row r="13" spans="1:15" x14ac:dyDescent="0.25">
      <c r="A13" s="19"/>
      <c r="B13" s="19"/>
      <c r="C13" s="19" t="s">
        <v>60</v>
      </c>
      <c r="D13" s="24" t="s">
        <v>61</v>
      </c>
      <c r="E13" s="24" t="s">
        <v>55</v>
      </c>
      <c r="F13" s="25">
        <f>F10-F11-F12</f>
        <v>4543.5</v>
      </c>
      <c r="G13" s="20"/>
      <c r="H13" s="24" t="s">
        <v>61</v>
      </c>
      <c r="I13" s="24" t="s">
        <v>55</v>
      </c>
      <c r="J13" s="25">
        <f>J10-J11-J12</f>
        <v>4543.5</v>
      </c>
      <c r="K13" s="20"/>
      <c r="L13" s="24" t="s">
        <v>61</v>
      </c>
      <c r="M13" s="24" t="s">
        <v>55</v>
      </c>
      <c r="N13" s="27">
        <f>N10-N11-N12</f>
        <v>4659.4274999999998</v>
      </c>
    </row>
    <row r="14" spans="1:15" x14ac:dyDescent="0.25">
      <c r="A14" s="19"/>
      <c r="B14" s="19"/>
      <c r="C14" s="19"/>
      <c r="D14" s="19"/>
      <c r="E14" s="19"/>
      <c r="F14" s="20"/>
      <c r="G14" s="20"/>
      <c r="H14" s="20"/>
      <c r="I14" s="20"/>
      <c r="J14" s="20"/>
      <c r="K14" s="20"/>
      <c r="L14" s="20"/>
      <c r="M14" s="20"/>
    </row>
    <row r="15" spans="1:15" x14ac:dyDescent="0.25">
      <c r="A15" s="19"/>
      <c r="B15" s="19"/>
      <c r="C15" s="19"/>
      <c r="D15" s="19"/>
      <c r="E15" s="19"/>
      <c r="F15" s="20"/>
      <c r="G15" s="20"/>
      <c r="H15" s="20"/>
      <c r="I15" s="20"/>
      <c r="J15" s="20"/>
      <c r="K15" s="20"/>
      <c r="L15" s="20"/>
      <c r="M15" s="20"/>
    </row>
    <row r="16" spans="1:15" x14ac:dyDescent="0.25">
      <c r="A16" s="28"/>
      <c r="B16" s="28"/>
      <c r="C16" s="28"/>
      <c r="D16" s="28" t="s">
        <v>62</v>
      </c>
      <c r="E16" s="28"/>
      <c r="F16" s="29"/>
      <c r="G16" s="29"/>
      <c r="H16" s="29"/>
      <c r="I16" s="29"/>
      <c r="J16" s="29"/>
      <c r="K16" s="29"/>
      <c r="L16" s="29"/>
      <c r="M16" s="29"/>
      <c r="N16" s="30"/>
      <c r="O16" s="30"/>
    </row>
    <row r="17" spans="1:19" x14ac:dyDescent="0.25">
      <c r="A17" s="19"/>
      <c r="B17" s="19"/>
      <c r="C17" s="19"/>
      <c r="D17" s="19"/>
      <c r="E17" s="19"/>
      <c r="F17" s="20"/>
      <c r="G17" s="20"/>
      <c r="H17" s="20"/>
      <c r="I17" s="20"/>
      <c r="J17" s="20"/>
      <c r="K17" s="20"/>
      <c r="L17" s="20"/>
      <c r="M17" s="20"/>
    </row>
    <row r="18" spans="1:19" x14ac:dyDescent="0.25">
      <c r="A18" t="s">
        <v>30</v>
      </c>
      <c r="B18" t="s">
        <v>31</v>
      </c>
      <c r="C18" t="s">
        <v>32</v>
      </c>
      <c r="D18" t="s">
        <v>33</v>
      </c>
      <c r="E18" t="s">
        <v>34</v>
      </c>
      <c r="F18" s="31" t="s">
        <v>35</v>
      </c>
      <c r="G18" t="s">
        <v>36</v>
      </c>
      <c r="H18" t="s">
        <v>63</v>
      </c>
      <c r="I18" t="s">
        <v>38</v>
      </c>
      <c r="J18" t="s">
        <v>39</v>
      </c>
      <c r="K18" t="s">
        <v>40</v>
      </c>
      <c r="L18" t="s">
        <v>41</v>
      </c>
      <c r="M18" t="s">
        <v>42</v>
      </c>
      <c r="N18" s="32" t="s">
        <v>64</v>
      </c>
      <c r="O18" s="32" t="s">
        <v>65</v>
      </c>
    </row>
    <row r="19" spans="1:19" x14ac:dyDescent="0.25">
      <c r="A19" s="19" t="s">
        <v>44</v>
      </c>
      <c r="B19" s="19" t="s">
        <v>44</v>
      </c>
      <c r="C19" s="19" t="s">
        <v>45</v>
      </c>
      <c r="D19" s="19"/>
      <c r="E19" s="19" t="s">
        <v>66</v>
      </c>
      <c r="F19" s="20" t="s">
        <v>47</v>
      </c>
      <c r="G19" s="20">
        <v>1</v>
      </c>
      <c r="H19" s="20">
        <v>5801</v>
      </c>
      <c r="I19" s="20">
        <v>6990</v>
      </c>
      <c r="J19" s="20">
        <v>0.35</v>
      </c>
      <c r="K19" s="20">
        <f>AxTable134[[#This Row],[Чистая сумма]]-AxTable134[[#This Row],[Сумма комиссии]]+AxTable134[[#This Row],[Скидка по комиссии]]</f>
        <v>4659.4274999999998</v>
      </c>
      <c r="L19" s="20">
        <f>AxTable134[[#This Row],[Чистая сумма]]*AxTable134[[#This Row],[Процент]]</f>
        <v>2030.35</v>
      </c>
      <c r="M19">
        <v>0</v>
      </c>
      <c r="N19" s="31">
        <f>(AxTable134[[#This Row],[Согласованная цена]]-AxTable134[[#This Row],[Чистая сумма]])*(1-AxTable134[[#This Row],[Процент]])*1.15</f>
        <v>888.77749999999992</v>
      </c>
      <c r="O19" s="33">
        <v>0.1</v>
      </c>
    </row>
    <row r="21" spans="1:19" x14ac:dyDescent="0.25">
      <c r="A21" s="28" t="s">
        <v>67</v>
      </c>
      <c r="B21" s="28"/>
      <c r="C21" s="28"/>
      <c r="D21" s="28"/>
      <c r="E21" s="28"/>
      <c r="F21" s="29"/>
      <c r="G21" s="29"/>
      <c r="H21" s="29"/>
      <c r="I21" s="29"/>
      <c r="J21" s="29"/>
      <c r="K21" s="29"/>
      <c r="L21" s="29"/>
      <c r="M21" s="29"/>
      <c r="N21" s="30"/>
      <c r="O21" s="30"/>
      <c r="P21" s="30"/>
      <c r="Q21" s="30"/>
      <c r="R21" s="30"/>
      <c r="S21" s="30"/>
    </row>
    <row r="22" spans="1:19" x14ac:dyDescent="0.25">
      <c r="A22" s="19"/>
      <c r="B22" s="19"/>
      <c r="C22" s="19"/>
      <c r="D22" s="19"/>
      <c r="E22" s="19"/>
      <c r="F22" s="20"/>
      <c r="G22" s="20"/>
      <c r="H22" s="20"/>
      <c r="I22" s="20"/>
      <c r="J22" s="20"/>
      <c r="K22" s="20"/>
      <c r="L22" s="20"/>
      <c r="M22" s="20"/>
    </row>
    <row r="23" spans="1:19" x14ac:dyDescent="0.25">
      <c r="A23" s="3" t="s">
        <v>68</v>
      </c>
    </row>
    <row r="24" spans="1:19" x14ac:dyDescent="0.25">
      <c r="A24" t="s">
        <v>69</v>
      </c>
      <c r="B24" t="s">
        <v>70</v>
      </c>
    </row>
    <row r="25" spans="1:19" x14ac:dyDescent="0.25">
      <c r="A25" s="34" t="s">
        <v>71</v>
      </c>
      <c r="B25" t="s">
        <v>72</v>
      </c>
    </row>
    <row r="26" spans="1:19" x14ac:dyDescent="0.25">
      <c r="A26" t="s">
        <v>73</v>
      </c>
    </row>
    <row r="27" spans="1:19" x14ac:dyDescent="0.25">
      <c r="A27" t="s">
        <v>74</v>
      </c>
    </row>
    <row r="29" spans="1:19" ht="135" x14ac:dyDescent="0.25">
      <c r="A29" s="35" t="s">
        <v>75</v>
      </c>
      <c r="B29" s="35" t="s">
        <v>76</v>
      </c>
      <c r="C29" s="35" t="s">
        <v>77</v>
      </c>
      <c r="D29" s="35" t="s">
        <v>78</v>
      </c>
      <c r="E29" s="35" t="s">
        <v>79</v>
      </c>
      <c r="F29" s="35" t="s">
        <v>80</v>
      </c>
      <c r="G29" s="35" t="s">
        <v>81</v>
      </c>
      <c r="H29" s="35" t="s">
        <v>36</v>
      </c>
      <c r="I29" s="35" t="s">
        <v>37</v>
      </c>
      <c r="J29" s="35" t="s">
        <v>82</v>
      </c>
      <c r="K29" s="35" t="s">
        <v>83</v>
      </c>
      <c r="L29" s="35" t="s">
        <v>84</v>
      </c>
      <c r="M29" s="35" t="s">
        <v>85</v>
      </c>
      <c r="N29" s="35" t="s">
        <v>86</v>
      </c>
      <c r="O29" s="36" t="s">
        <v>87</v>
      </c>
      <c r="P29" s="35" t="s">
        <v>88</v>
      </c>
      <c r="Q29" s="35" t="s">
        <v>89</v>
      </c>
      <c r="R29" s="35" t="s">
        <v>90</v>
      </c>
    </row>
    <row r="30" spans="1:19" ht="60" x14ac:dyDescent="0.25">
      <c r="A30" s="37" t="s">
        <v>91</v>
      </c>
      <c r="B30" s="35" t="s">
        <v>92</v>
      </c>
      <c r="C30" s="35" t="s">
        <v>92</v>
      </c>
      <c r="D30" s="35" t="s">
        <v>92</v>
      </c>
      <c r="E30" s="35" t="s">
        <v>92</v>
      </c>
      <c r="F30" s="35" t="s">
        <v>92</v>
      </c>
      <c r="G30" s="35" t="s">
        <v>92</v>
      </c>
      <c r="H30" s="35" t="s">
        <v>92</v>
      </c>
      <c r="I30" s="38">
        <f>SUM(I31:I32)</f>
        <v>11602</v>
      </c>
      <c r="J30" s="38">
        <f>SUM(J31:J32)</f>
        <v>13980</v>
      </c>
      <c r="K30" s="38">
        <f>SUM(K31:K32)</f>
        <v>9202.9274999999998</v>
      </c>
      <c r="L30" s="38" t="s">
        <v>92</v>
      </c>
      <c r="M30" s="38">
        <f>SUM(M31:M32)</f>
        <v>4060.7</v>
      </c>
      <c r="N30" s="38">
        <f>SUM(N31:N32)</f>
        <v>0</v>
      </c>
      <c r="O30" s="35"/>
      <c r="P30" s="35"/>
      <c r="Q30" s="35"/>
      <c r="R30" s="35"/>
      <c r="S30" s="6"/>
    </row>
    <row r="31" spans="1:19" x14ac:dyDescent="0.25">
      <c r="A31" s="39" t="s">
        <v>93</v>
      </c>
      <c r="B31" s="39" t="s">
        <v>94</v>
      </c>
      <c r="C31" s="39" t="s">
        <v>95</v>
      </c>
      <c r="D31" s="39" t="s">
        <v>96</v>
      </c>
      <c r="E31" s="39" t="s">
        <v>97</v>
      </c>
      <c r="F31" s="39" t="s">
        <v>46</v>
      </c>
      <c r="G31" s="39" t="s">
        <v>98</v>
      </c>
      <c r="H31" s="39">
        <v>1</v>
      </c>
      <c r="I31" s="40">
        <f t="array" ref="I31">[1]!AxTable13[Чистая сумма]</f>
        <v>5801</v>
      </c>
      <c r="J31" s="40">
        <f t="array" ref="J31">[1]!AxTable13[Согласованная цена]</f>
        <v>6990</v>
      </c>
      <c r="K31" s="40">
        <f t="array" ref="K31">[1]!AxTable13[Сумма к перечислению]</f>
        <v>4543.5</v>
      </c>
      <c r="L31" s="39">
        <v>35</v>
      </c>
      <c r="M31" s="39">
        <f>I31*L31/100</f>
        <v>2030.35</v>
      </c>
      <c r="N31" s="39">
        <v>0</v>
      </c>
      <c r="O31" s="41">
        <v>20</v>
      </c>
      <c r="P31" s="39" t="s">
        <v>99</v>
      </c>
      <c r="Q31" s="39" t="s">
        <v>100</v>
      </c>
      <c r="R31" s="39" t="s">
        <v>100</v>
      </c>
    </row>
    <row r="32" spans="1:19" x14ac:dyDescent="0.25">
      <c r="A32" s="39" t="s">
        <v>93</v>
      </c>
      <c r="B32" s="39" t="s">
        <v>94</v>
      </c>
      <c r="C32" s="39" t="s">
        <v>95</v>
      </c>
      <c r="D32" s="39" t="s">
        <v>96</v>
      </c>
      <c r="E32" s="39" t="s">
        <v>97</v>
      </c>
      <c r="F32" s="39" t="s">
        <v>66</v>
      </c>
      <c r="G32" s="39" t="s">
        <v>98</v>
      </c>
      <c r="H32" s="39">
        <v>1</v>
      </c>
      <c r="I32" s="40">
        <f t="array" ref="I32">[1]!AxTable13[Чистая сумма]</f>
        <v>5801</v>
      </c>
      <c r="J32" s="40">
        <f t="array" ref="J32">[1]!AxTable134[Согласованная цена]</f>
        <v>6990</v>
      </c>
      <c r="K32" s="40">
        <f t="array" ref="K32">[1]!AxTable134[Сумма к перечислению]</f>
        <v>4659.4274999999998</v>
      </c>
      <c r="L32" s="39">
        <v>35</v>
      </c>
      <c r="M32" s="39">
        <f>I32*L32/100</f>
        <v>2030.35</v>
      </c>
      <c r="N32" s="39">
        <v>0</v>
      </c>
      <c r="O32" s="41">
        <v>10</v>
      </c>
      <c r="P32" s="39" t="s">
        <v>99</v>
      </c>
      <c r="Q32" s="39" t="s">
        <v>100</v>
      </c>
      <c r="R32" s="39" t="s">
        <v>100</v>
      </c>
    </row>
    <row r="33" spans="1:19" x14ac:dyDescent="0.25">
      <c r="A33" s="19"/>
      <c r="B33" s="19"/>
      <c r="C33" s="19"/>
      <c r="D33" s="19"/>
      <c r="E33" s="19"/>
      <c r="F33" s="20"/>
      <c r="G33" s="20"/>
      <c r="H33" s="20"/>
      <c r="I33" s="20"/>
      <c r="J33" s="20"/>
      <c r="K33" s="20"/>
      <c r="L33" s="20"/>
      <c r="M33" s="20"/>
    </row>
    <row r="34" spans="1:19" ht="105" x14ac:dyDescent="0.25">
      <c r="A34" s="35" t="s">
        <v>101</v>
      </c>
      <c r="B34" s="25">
        <f>M30</f>
        <v>4060.7</v>
      </c>
      <c r="C34" s="19"/>
      <c r="D34" s="19"/>
      <c r="E34" s="19"/>
      <c r="F34" s="20"/>
      <c r="G34" s="20"/>
      <c r="H34" s="20"/>
      <c r="I34" s="20"/>
      <c r="J34" s="20"/>
      <c r="K34" s="20"/>
      <c r="L34" s="20"/>
      <c r="M34" s="20"/>
    </row>
    <row r="35" spans="1:19" ht="90" x14ac:dyDescent="0.25">
      <c r="A35" s="37" t="s">
        <v>102</v>
      </c>
      <c r="B35" s="25">
        <f t="array" ref="B35">[1]!AxTable13[Скидка по комиссии]+[1]!AxTable134[Скидка по комиссии]</f>
        <v>1661.6275000000001</v>
      </c>
      <c r="C35" s="19"/>
      <c r="D35" s="19"/>
      <c r="E35" s="19"/>
      <c r="F35" s="20"/>
      <c r="G35" s="20"/>
      <c r="H35" s="20"/>
      <c r="I35" s="20"/>
      <c r="J35" s="20"/>
      <c r="K35" s="20"/>
      <c r="L35" s="20"/>
      <c r="M35" s="20"/>
    </row>
    <row r="36" spans="1:19" ht="90" x14ac:dyDescent="0.25">
      <c r="A36" s="37" t="s">
        <v>103</v>
      </c>
      <c r="B36" s="25">
        <f>B34-B35</f>
        <v>2399.0724999999998</v>
      </c>
      <c r="C36" s="19"/>
      <c r="D36" s="19"/>
      <c r="E36" s="19"/>
      <c r="F36" s="20"/>
      <c r="G36" s="20"/>
      <c r="H36" s="20"/>
      <c r="I36" s="20"/>
      <c r="J36" s="20"/>
      <c r="K36" s="20"/>
      <c r="L36" s="20"/>
      <c r="M36" s="20"/>
    </row>
    <row r="37" spans="1:19" x14ac:dyDescent="0.25">
      <c r="A37" s="19"/>
      <c r="B37" s="19"/>
      <c r="C37" s="19"/>
      <c r="D37" s="19"/>
      <c r="E37" s="19"/>
      <c r="F37" s="20"/>
      <c r="G37" s="20"/>
      <c r="H37" s="20"/>
      <c r="I37" s="20"/>
      <c r="J37" s="20"/>
      <c r="K37" s="20"/>
      <c r="L37" s="20"/>
      <c r="M37" s="20"/>
    </row>
    <row r="38" spans="1:19" x14ac:dyDescent="0.25">
      <c r="A38" s="19"/>
      <c r="B38" s="19"/>
      <c r="C38" s="19"/>
      <c r="D38" s="19"/>
      <c r="E38" s="19"/>
      <c r="F38" s="20"/>
      <c r="G38" s="20"/>
      <c r="H38" s="20"/>
      <c r="I38" s="20"/>
      <c r="J38" s="20"/>
      <c r="K38" s="20"/>
      <c r="L38" s="20"/>
      <c r="M38" s="20"/>
    </row>
    <row r="39" spans="1:19" x14ac:dyDescent="0.25">
      <c r="A39" s="19"/>
      <c r="B39" s="19"/>
      <c r="C39" s="19"/>
      <c r="D39" s="19"/>
      <c r="E39" s="19"/>
      <c r="F39" s="20"/>
      <c r="G39" s="20"/>
      <c r="H39" s="20"/>
      <c r="I39" s="20"/>
      <c r="J39" s="20"/>
      <c r="K39" s="20"/>
      <c r="L39" s="20"/>
      <c r="M39" s="20"/>
    </row>
    <row r="40" spans="1:19" x14ac:dyDescent="0.25">
      <c r="A40" s="19"/>
      <c r="B40" s="19"/>
      <c r="C40" s="19"/>
      <c r="D40" s="19"/>
      <c r="E40" s="19"/>
      <c r="F40" s="20"/>
      <c r="G40" s="20"/>
      <c r="H40" s="20"/>
      <c r="I40" s="20"/>
      <c r="J40" s="20"/>
      <c r="K40" s="20"/>
      <c r="L40" s="20"/>
      <c r="M40" s="20"/>
    </row>
    <row r="41" spans="1:19" x14ac:dyDescent="0.25">
      <c r="A41" s="28" t="s">
        <v>104</v>
      </c>
      <c r="B41" s="28"/>
      <c r="C41" s="28"/>
      <c r="D41" s="28"/>
      <c r="E41" s="28"/>
      <c r="F41" s="29"/>
      <c r="G41" s="29"/>
      <c r="H41" s="29"/>
      <c r="I41" s="29"/>
      <c r="J41" s="29"/>
      <c r="K41" s="29"/>
      <c r="L41" s="29"/>
      <c r="M41" s="29"/>
      <c r="N41" s="30"/>
      <c r="O41" s="30"/>
      <c r="P41" s="30"/>
      <c r="Q41" s="30"/>
      <c r="R41" s="30"/>
      <c r="S41" s="30"/>
    </row>
    <row r="42" spans="1:19" ht="15.75" thickBot="1" x14ac:dyDescent="0.3"/>
    <row r="43" spans="1:19" ht="15.75" x14ac:dyDescent="0.25">
      <c r="A43" s="42" t="s">
        <v>105</v>
      </c>
      <c r="B43" s="85" t="s">
        <v>106</v>
      </c>
      <c r="C43" s="86"/>
      <c r="D43" s="43">
        <v>-1</v>
      </c>
      <c r="E43" s="44"/>
      <c r="F43" s="44"/>
      <c r="G43" s="44"/>
      <c r="H43" s="44"/>
      <c r="I43" s="44"/>
      <c r="J43" s="44"/>
      <c r="K43" s="44"/>
      <c r="L43" s="44"/>
      <c r="M43" s="44"/>
      <c r="N43" s="45"/>
    </row>
    <row r="44" spans="1:19" x14ac:dyDescent="0.25">
      <c r="A44" s="46" t="s">
        <v>107</v>
      </c>
      <c r="B44" s="87" t="s">
        <v>108</v>
      </c>
      <c r="C44" s="88"/>
      <c r="D44" s="47" t="s">
        <v>109</v>
      </c>
      <c r="N44" s="48"/>
    </row>
    <row r="45" spans="1:19" ht="90" x14ac:dyDescent="0.25">
      <c r="A45" s="46" t="s">
        <v>110</v>
      </c>
      <c r="B45" s="49" t="s">
        <v>111</v>
      </c>
      <c r="C45" s="50" t="s">
        <v>112</v>
      </c>
      <c r="D45" s="47">
        <v>-2</v>
      </c>
      <c r="N45" s="48"/>
    </row>
    <row r="46" spans="1:19" ht="60" x14ac:dyDescent="0.25">
      <c r="A46" s="51"/>
      <c r="B46" s="49" t="s">
        <v>113</v>
      </c>
      <c r="C46" s="50" t="s">
        <v>114</v>
      </c>
      <c r="D46" s="47" t="s">
        <v>115</v>
      </c>
      <c r="N46" s="48"/>
    </row>
    <row r="47" spans="1:19" ht="30" x14ac:dyDescent="0.25">
      <c r="A47" s="51"/>
      <c r="B47" s="49" t="s">
        <v>116</v>
      </c>
      <c r="C47" s="50" t="s">
        <v>117</v>
      </c>
      <c r="D47" s="47" t="s">
        <v>118</v>
      </c>
      <c r="N47" s="48"/>
    </row>
    <row r="48" spans="1:19" ht="165" x14ac:dyDescent="0.25">
      <c r="A48" s="51"/>
      <c r="B48" s="49" t="s">
        <v>119</v>
      </c>
      <c r="C48" s="50" t="s">
        <v>120</v>
      </c>
      <c r="D48" s="47"/>
      <c r="N48" s="48"/>
    </row>
    <row r="49" spans="1:16" ht="45" x14ac:dyDescent="0.25">
      <c r="A49" s="51"/>
      <c r="B49" s="49" t="s">
        <v>121</v>
      </c>
      <c r="C49" s="50" t="s">
        <v>122</v>
      </c>
      <c r="D49" s="47"/>
      <c r="N49" s="48"/>
    </row>
    <row r="50" spans="1:16" ht="45" x14ac:dyDescent="0.25">
      <c r="A50" s="51"/>
      <c r="B50" s="49" t="s">
        <v>123</v>
      </c>
      <c r="C50" s="50" t="s">
        <v>124</v>
      </c>
      <c r="D50" s="47">
        <v>-3</v>
      </c>
      <c r="N50" s="48"/>
    </row>
    <row r="51" spans="1:16" ht="45" x14ac:dyDescent="0.25">
      <c r="A51" s="51"/>
      <c r="B51" s="49" t="s">
        <v>125</v>
      </c>
      <c r="C51" s="50" t="s">
        <v>124</v>
      </c>
      <c r="D51" s="47">
        <v>-4</v>
      </c>
      <c r="N51" s="48"/>
    </row>
    <row r="52" spans="1:16" ht="45" x14ac:dyDescent="0.25">
      <c r="A52" s="51"/>
      <c r="B52" s="49" t="s">
        <v>126</v>
      </c>
      <c r="C52" s="50" t="s">
        <v>124</v>
      </c>
      <c r="D52" s="47">
        <v>-5</v>
      </c>
      <c r="N52" s="48"/>
    </row>
    <row r="53" spans="1:16" ht="60" x14ac:dyDescent="0.25">
      <c r="A53" s="51"/>
      <c r="B53" s="49" t="s">
        <v>127</v>
      </c>
      <c r="C53" s="47" t="s">
        <v>128</v>
      </c>
      <c r="D53" s="47" t="s">
        <v>129</v>
      </c>
      <c r="N53" s="48"/>
    </row>
    <row r="54" spans="1:16" ht="30" x14ac:dyDescent="0.25">
      <c r="A54" s="51"/>
      <c r="B54" s="49" t="s">
        <v>130</v>
      </c>
      <c r="C54" s="50" t="s">
        <v>131</v>
      </c>
      <c r="D54" s="47">
        <v>-6</v>
      </c>
      <c r="N54" s="48"/>
    </row>
    <row r="55" spans="1:16" ht="120" x14ac:dyDescent="0.25">
      <c r="A55" s="51"/>
      <c r="B55" s="49" t="s">
        <v>113</v>
      </c>
      <c r="C55" s="50" t="s">
        <v>132</v>
      </c>
      <c r="D55" s="47" t="s">
        <v>133</v>
      </c>
      <c r="N55" s="48"/>
    </row>
    <row r="56" spans="1:16" ht="30" x14ac:dyDescent="0.25">
      <c r="A56" s="51"/>
      <c r="B56" s="49" t="s">
        <v>116</v>
      </c>
      <c r="C56" s="50" t="s">
        <v>134</v>
      </c>
      <c r="D56" s="47" t="s">
        <v>135</v>
      </c>
      <c r="N56" s="48"/>
    </row>
    <row r="57" spans="1:16" ht="45" x14ac:dyDescent="0.25">
      <c r="A57" s="51"/>
      <c r="B57" s="49" t="s">
        <v>136</v>
      </c>
      <c r="C57" s="50" t="s">
        <v>137</v>
      </c>
      <c r="D57" s="47">
        <v>-7</v>
      </c>
      <c r="N57" s="48"/>
    </row>
    <row r="58" spans="1:16" ht="150.75" thickBot="1" x14ac:dyDescent="0.3">
      <c r="A58" s="52"/>
      <c r="B58" s="53" t="s">
        <v>138</v>
      </c>
      <c r="C58" s="54"/>
      <c r="D58" s="55">
        <v>-8</v>
      </c>
      <c r="E58" s="56"/>
      <c r="F58" s="56"/>
      <c r="G58" s="56"/>
      <c r="H58" s="56"/>
      <c r="I58" s="56"/>
      <c r="J58" s="56"/>
      <c r="K58" s="56"/>
      <c r="L58" s="56"/>
      <c r="M58" s="56"/>
      <c r="N58" s="57"/>
    </row>
    <row r="59" spans="1:16" ht="33.75" x14ac:dyDescent="0.25">
      <c r="A59" s="58" t="s">
        <v>139</v>
      </c>
      <c r="B59" s="76" t="s">
        <v>140</v>
      </c>
      <c r="C59" s="58" t="s">
        <v>141</v>
      </c>
      <c r="D59" s="58" t="s">
        <v>139</v>
      </c>
      <c r="E59" s="79" t="s">
        <v>142</v>
      </c>
      <c r="F59" s="80"/>
      <c r="G59" s="76" t="s">
        <v>143</v>
      </c>
      <c r="H59" s="76" t="s">
        <v>144</v>
      </c>
      <c r="I59" s="58" t="s">
        <v>145</v>
      </c>
      <c r="J59" s="76" t="s">
        <v>146</v>
      </c>
      <c r="K59" s="76" t="s">
        <v>147</v>
      </c>
      <c r="L59" s="58" t="s">
        <v>148</v>
      </c>
      <c r="M59" s="58" t="s">
        <v>145</v>
      </c>
      <c r="N59" s="79" t="s">
        <v>149</v>
      </c>
      <c r="O59" s="80"/>
      <c r="P59" s="76" t="s">
        <v>150</v>
      </c>
    </row>
    <row r="60" spans="1:16" ht="22.5" x14ac:dyDescent="0.25">
      <c r="A60" s="59" t="s">
        <v>151</v>
      </c>
      <c r="B60" s="77"/>
      <c r="C60" s="59" t="s">
        <v>152</v>
      </c>
      <c r="D60" s="59" t="s">
        <v>153</v>
      </c>
      <c r="E60" s="81" t="s">
        <v>154</v>
      </c>
      <c r="F60" s="82"/>
      <c r="G60" s="77"/>
      <c r="H60" s="77"/>
      <c r="I60" s="59" t="s">
        <v>155</v>
      </c>
      <c r="J60" s="77"/>
      <c r="K60" s="77"/>
      <c r="L60" s="59" t="s">
        <v>156</v>
      </c>
      <c r="M60" s="59" t="s">
        <v>155</v>
      </c>
      <c r="N60" s="81"/>
      <c r="O60" s="82"/>
      <c r="P60" s="77"/>
    </row>
    <row r="61" spans="1:16" ht="57" thickBot="1" x14ac:dyDescent="0.3">
      <c r="A61" s="59" t="s">
        <v>157</v>
      </c>
      <c r="B61" s="77"/>
      <c r="C61" s="59" t="s">
        <v>158</v>
      </c>
      <c r="D61" s="59" t="s">
        <v>159</v>
      </c>
      <c r="E61" s="83"/>
      <c r="F61" s="84"/>
      <c r="G61" s="77"/>
      <c r="H61" s="77"/>
      <c r="I61" s="59" t="s">
        <v>160</v>
      </c>
      <c r="J61" s="77"/>
      <c r="K61" s="77"/>
      <c r="L61" s="59"/>
      <c r="M61" s="59" t="s">
        <v>161</v>
      </c>
      <c r="N61" s="83"/>
      <c r="O61" s="84"/>
      <c r="P61" s="77"/>
    </row>
    <row r="62" spans="1:16" ht="34.5" thickBot="1" x14ac:dyDescent="0.3">
      <c r="A62" s="60" t="s">
        <v>162</v>
      </c>
      <c r="B62" s="78"/>
      <c r="C62" s="60" t="s">
        <v>163</v>
      </c>
      <c r="D62" s="60"/>
      <c r="E62" s="61" t="s">
        <v>139</v>
      </c>
      <c r="F62" s="61" t="s">
        <v>164</v>
      </c>
      <c r="G62" s="78"/>
      <c r="H62" s="78"/>
      <c r="I62" s="60"/>
      <c r="J62" s="78"/>
      <c r="K62" s="78"/>
      <c r="L62" s="60"/>
      <c r="M62" s="60"/>
      <c r="N62" s="61" t="s">
        <v>165</v>
      </c>
      <c r="O62" s="61" t="s">
        <v>166</v>
      </c>
      <c r="P62" s="78"/>
    </row>
    <row r="63" spans="1:16" ht="15.75" thickBot="1" x14ac:dyDescent="0.3">
      <c r="A63" s="61" t="s">
        <v>167</v>
      </c>
      <c r="B63" s="61">
        <v>1</v>
      </c>
      <c r="C63" s="61" t="s">
        <v>168</v>
      </c>
      <c r="D63" s="61" t="s">
        <v>169</v>
      </c>
      <c r="E63" s="61">
        <v>2</v>
      </c>
      <c r="F63" s="61" t="s">
        <v>170</v>
      </c>
      <c r="G63" s="61">
        <v>3</v>
      </c>
      <c r="H63" s="61">
        <v>4</v>
      </c>
      <c r="I63" s="61">
        <v>5</v>
      </c>
      <c r="J63" s="61">
        <v>6</v>
      </c>
      <c r="K63" s="61">
        <v>7</v>
      </c>
      <c r="L63" s="61">
        <v>8</v>
      </c>
      <c r="M63" s="61">
        <v>9</v>
      </c>
      <c r="N63" s="61">
        <v>10</v>
      </c>
      <c r="O63" s="61" t="s">
        <v>171</v>
      </c>
      <c r="P63" s="61">
        <v>11</v>
      </c>
    </row>
    <row r="64" spans="1:16" ht="79.5" thickBot="1" x14ac:dyDescent="0.3">
      <c r="A64" s="62" t="s">
        <v>172</v>
      </c>
      <c r="B64" s="63">
        <v>1</v>
      </c>
      <c r="C64" s="64" t="s">
        <v>173</v>
      </c>
      <c r="D64" s="62" t="s">
        <v>124</v>
      </c>
      <c r="E64" s="62">
        <v>796</v>
      </c>
      <c r="F64" s="63" t="s">
        <v>174</v>
      </c>
      <c r="G64" s="65">
        <v>1</v>
      </c>
      <c r="H64" s="66">
        <f>I64</f>
        <v>1999.2270833333332</v>
      </c>
      <c r="I64" s="66">
        <f>M64-L64</f>
        <v>1999.2270833333332</v>
      </c>
      <c r="J64" s="65" t="s">
        <v>175</v>
      </c>
      <c r="K64" s="67">
        <v>0.2</v>
      </c>
      <c r="L64" s="66">
        <f>M64/1.2*0.2</f>
        <v>399.84541666666667</v>
      </c>
      <c r="M64" s="66">
        <f>B36</f>
        <v>2399.0724999999998</v>
      </c>
      <c r="N64" s="62" t="s">
        <v>124</v>
      </c>
      <c r="O64" s="63" t="s">
        <v>124</v>
      </c>
      <c r="P64" s="63" t="s">
        <v>124</v>
      </c>
    </row>
    <row r="65" spans="1:13" ht="15.75" thickBot="1" x14ac:dyDescent="0.3">
      <c r="A65" s="68"/>
      <c r="B65" s="73" t="s">
        <v>176</v>
      </c>
      <c r="C65" s="74"/>
      <c r="D65" s="74"/>
      <c r="E65" s="74"/>
      <c r="F65" s="74"/>
      <c r="G65" s="74"/>
      <c r="H65" s="75"/>
      <c r="I65" s="69">
        <f>SUM(I64)</f>
        <v>1999.2270833333332</v>
      </c>
      <c r="J65" s="70" t="s">
        <v>177</v>
      </c>
      <c r="K65" s="70" t="s">
        <v>177</v>
      </c>
      <c r="L65" s="69">
        <f>SUM(L64)</f>
        <v>399.84541666666667</v>
      </c>
      <c r="M65" s="69">
        <f>SUM(M64)</f>
        <v>2399.0724999999998</v>
      </c>
    </row>
    <row r="66" spans="1:13" x14ac:dyDescent="0.25">
      <c r="A66" s="19"/>
      <c r="B66" s="19"/>
      <c r="C66" s="19"/>
      <c r="D66" s="19"/>
      <c r="E66" s="19"/>
      <c r="F66" s="20"/>
      <c r="G66" s="20"/>
      <c r="H66" s="20"/>
      <c r="I66" s="20"/>
      <c r="J66" s="20"/>
      <c r="K66" s="20"/>
      <c r="L66" s="20"/>
      <c r="M66" s="20"/>
    </row>
    <row r="67" spans="1:13" x14ac:dyDescent="0.25">
      <c r="A67" s="19"/>
      <c r="B67" s="19"/>
      <c r="C67" s="19"/>
      <c r="D67" s="19"/>
      <c r="E67" s="19"/>
      <c r="F67" s="20"/>
      <c r="G67" s="20"/>
      <c r="H67" s="20"/>
      <c r="I67" s="20"/>
      <c r="J67" s="20"/>
      <c r="K67" s="20"/>
      <c r="L67" s="20"/>
      <c r="M67" s="20"/>
    </row>
    <row r="68" spans="1:13" x14ac:dyDescent="0.25">
      <c r="A68" s="19"/>
      <c r="B68" s="19"/>
      <c r="C68" s="19"/>
      <c r="D68" s="19"/>
      <c r="E68" s="19"/>
      <c r="F68" s="20"/>
      <c r="G68" s="20"/>
      <c r="H68" s="20"/>
      <c r="I68" s="20"/>
      <c r="J68" s="20"/>
      <c r="K68" s="20"/>
      <c r="L68" s="20"/>
      <c r="M68" s="20"/>
    </row>
    <row r="69" spans="1:13" x14ac:dyDescent="0.25">
      <c r="A69" s="19"/>
      <c r="B69" s="19"/>
      <c r="C69" s="19"/>
      <c r="D69" s="19"/>
      <c r="E69" s="19"/>
      <c r="F69" s="20"/>
      <c r="G69" s="20"/>
      <c r="H69" s="20"/>
      <c r="I69" s="20"/>
      <c r="J69" s="20"/>
      <c r="K69" s="20"/>
      <c r="L69" s="20"/>
      <c r="M69" s="20"/>
    </row>
    <row r="70" spans="1:13" x14ac:dyDescent="0.25">
      <c r="A70" s="19"/>
      <c r="B70" s="19"/>
      <c r="C70" s="19"/>
      <c r="D70" s="19"/>
      <c r="E70" s="19"/>
      <c r="F70" s="20"/>
      <c r="G70" s="20"/>
      <c r="H70" s="20"/>
      <c r="I70" s="20"/>
      <c r="J70" s="20"/>
      <c r="K70" s="20"/>
      <c r="L70" s="20"/>
      <c r="M70" s="20"/>
    </row>
    <row r="71" spans="1:13" x14ac:dyDescent="0.25">
      <c r="A71" s="19"/>
      <c r="B71" s="19"/>
      <c r="C71" s="19"/>
      <c r="D71" s="19"/>
      <c r="E71" s="19"/>
      <c r="F71" s="20"/>
      <c r="G71" s="20"/>
      <c r="H71" s="20"/>
      <c r="I71" s="20"/>
      <c r="J71" s="20"/>
      <c r="K71" s="20"/>
      <c r="L71" s="20"/>
      <c r="M71" s="20"/>
    </row>
    <row r="72" spans="1:13" x14ac:dyDescent="0.25">
      <c r="A72" s="19"/>
      <c r="B72" s="19"/>
      <c r="C72" s="19"/>
      <c r="D72" s="19"/>
      <c r="E72" s="19"/>
      <c r="F72" s="20"/>
      <c r="G72" s="20"/>
      <c r="H72" s="20"/>
      <c r="I72" s="20"/>
      <c r="J72" s="20"/>
      <c r="K72" s="20"/>
      <c r="L72" s="20"/>
      <c r="M72" s="20"/>
    </row>
    <row r="73" spans="1:13" x14ac:dyDescent="0.25">
      <c r="A73" s="19"/>
      <c r="B73" s="19"/>
      <c r="C73" s="19"/>
      <c r="D73" s="19"/>
      <c r="E73" s="19"/>
      <c r="F73" s="20"/>
      <c r="G73" s="20"/>
      <c r="H73" s="20"/>
      <c r="I73" s="20"/>
      <c r="J73" s="20"/>
      <c r="K73" s="20"/>
      <c r="L73" s="20"/>
      <c r="M73" s="20"/>
    </row>
    <row r="74" spans="1:13" x14ac:dyDescent="0.25">
      <c r="A74" s="19"/>
      <c r="B74" s="19"/>
      <c r="C74" s="19"/>
      <c r="D74" s="19"/>
      <c r="E74" s="19"/>
      <c r="F74" s="20"/>
      <c r="G74" s="20"/>
      <c r="H74" s="20"/>
      <c r="I74" s="20"/>
      <c r="J74" s="20"/>
      <c r="K74" s="20"/>
      <c r="L74" s="20"/>
      <c r="M74" s="20"/>
    </row>
    <row r="75" spans="1:13" x14ac:dyDescent="0.25">
      <c r="A75" s="19"/>
      <c r="B75" s="19"/>
      <c r="C75" s="19"/>
      <c r="D75" s="19"/>
      <c r="E75" s="19"/>
      <c r="F75" s="20"/>
      <c r="G75" s="20"/>
      <c r="H75" s="20"/>
      <c r="I75" s="20"/>
      <c r="J75" s="20"/>
      <c r="K75" s="20"/>
      <c r="L75" s="20"/>
      <c r="M75" s="20"/>
    </row>
    <row r="76" spans="1:13" x14ac:dyDescent="0.25">
      <c r="A76" s="19"/>
      <c r="B76" s="19"/>
      <c r="C76" s="19"/>
      <c r="D76" s="19"/>
      <c r="E76" s="19"/>
      <c r="F76" s="20"/>
      <c r="G76" s="20"/>
      <c r="H76" s="20"/>
      <c r="I76" s="20"/>
      <c r="J76" s="20"/>
      <c r="K76" s="20"/>
      <c r="L76" s="20"/>
      <c r="M76" s="20"/>
    </row>
    <row r="77" spans="1:13" x14ac:dyDescent="0.25">
      <c r="A77" s="19"/>
      <c r="B77" s="19"/>
      <c r="C77" s="19"/>
      <c r="D77" s="19"/>
      <c r="E77" s="19"/>
      <c r="F77" s="20"/>
      <c r="G77" s="20"/>
      <c r="H77" s="20"/>
      <c r="I77" s="20"/>
      <c r="J77" s="20"/>
      <c r="K77" s="20"/>
      <c r="L77" s="20"/>
      <c r="M77" s="20"/>
    </row>
    <row r="78" spans="1:13" x14ac:dyDescent="0.25">
      <c r="A78" s="19"/>
      <c r="B78" s="19"/>
      <c r="C78" s="19"/>
      <c r="D78" s="19"/>
      <c r="E78" s="19"/>
      <c r="F78" s="20"/>
      <c r="G78" s="20"/>
      <c r="H78" s="20"/>
      <c r="I78" s="20"/>
      <c r="J78" s="20"/>
      <c r="K78" s="20"/>
      <c r="L78" s="20"/>
      <c r="M78" s="20"/>
    </row>
    <row r="79" spans="1:13" x14ac:dyDescent="0.25">
      <c r="A79" s="19"/>
      <c r="B79" s="19"/>
      <c r="C79" s="19"/>
      <c r="D79" s="19"/>
      <c r="E79" s="19"/>
      <c r="F79" s="20"/>
      <c r="G79" s="20"/>
      <c r="H79" s="20"/>
      <c r="I79" s="20"/>
      <c r="J79" s="20"/>
      <c r="K79" s="20"/>
      <c r="L79" s="20"/>
      <c r="M79" s="20"/>
    </row>
    <row r="80" spans="1:13" x14ac:dyDescent="0.25">
      <c r="A80" s="19"/>
      <c r="B80" s="19"/>
      <c r="C80" s="19"/>
      <c r="D80" s="19"/>
      <c r="E80" s="19"/>
      <c r="F80" s="20"/>
      <c r="G80" s="20"/>
      <c r="H80" s="20"/>
      <c r="I80" s="20"/>
      <c r="J80" s="20"/>
      <c r="K80" s="20"/>
      <c r="L80" s="20"/>
      <c r="M80" s="20"/>
    </row>
    <row r="81" spans="1:13" x14ac:dyDescent="0.25">
      <c r="A81" s="19"/>
      <c r="B81" s="19"/>
      <c r="C81" s="19"/>
      <c r="D81" s="19"/>
      <c r="E81" s="19"/>
      <c r="F81" s="20"/>
      <c r="G81" s="20"/>
      <c r="H81" s="20"/>
      <c r="I81" s="20"/>
      <c r="J81" s="20"/>
      <c r="K81" s="20"/>
      <c r="L81" s="20"/>
      <c r="M81" s="20"/>
    </row>
    <row r="82" spans="1:13" x14ac:dyDescent="0.25">
      <c r="A82" s="19"/>
      <c r="B82" s="19"/>
      <c r="C82" s="19"/>
      <c r="D82" s="19"/>
      <c r="E82" s="19"/>
      <c r="F82" s="20"/>
      <c r="G82" s="20"/>
      <c r="H82" s="20"/>
      <c r="I82" s="20"/>
      <c r="J82" s="20"/>
      <c r="K82" s="20"/>
      <c r="L82" s="20"/>
      <c r="M82" s="20"/>
    </row>
    <row r="83" spans="1:13" x14ac:dyDescent="0.25">
      <c r="A83" s="19"/>
      <c r="B83" s="19"/>
      <c r="C83" s="19"/>
      <c r="D83" s="19"/>
      <c r="E83" s="19"/>
      <c r="F83" s="20"/>
      <c r="G83" s="20"/>
      <c r="H83" s="20"/>
      <c r="I83" s="20"/>
      <c r="J83" s="20"/>
      <c r="K83" s="20"/>
      <c r="L83" s="20"/>
      <c r="M83" s="20"/>
    </row>
    <row r="84" spans="1:13" x14ac:dyDescent="0.25">
      <c r="A84" s="19"/>
      <c r="B84" s="19"/>
      <c r="C84" s="19"/>
      <c r="D84" s="19"/>
      <c r="E84" s="19"/>
      <c r="F84" s="20"/>
      <c r="G84" s="20"/>
      <c r="H84" s="20"/>
      <c r="I84" s="20"/>
      <c r="J84" s="20"/>
      <c r="K84" s="20"/>
      <c r="L84" s="20"/>
      <c r="M84" s="20"/>
    </row>
    <row r="85" spans="1:13" x14ac:dyDescent="0.25">
      <c r="A85" s="19"/>
      <c r="B85" s="19"/>
      <c r="C85" s="19"/>
      <c r="D85" s="19"/>
      <c r="E85" s="19"/>
      <c r="F85" s="20"/>
      <c r="G85" s="20"/>
      <c r="H85" s="20"/>
      <c r="I85" s="20"/>
      <c r="J85" s="20"/>
      <c r="K85" s="20"/>
      <c r="L85" s="20"/>
      <c r="M85" s="20"/>
    </row>
  </sheetData>
  <mergeCells count="13">
    <mergeCell ref="B43:C43"/>
    <mergeCell ref="B44:C44"/>
    <mergeCell ref="B59:B62"/>
    <mergeCell ref="E59:F59"/>
    <mergeCell ref="G59:G62"/>
    <mergeCell ref="B65:H65"/>
    <mergeCell ref="J59:J62"/>
    <mergeCell ref="K59:K62"/>
    <mergeCell ref="N59:O61"/>
    <mergeCell ref="P59:P62"/>
    <mergeCell ref="E60:F60"/>
    <mergeCell ref="E61:F61"/>
    <mergeCell ref="H59:H62"/>
  </mergeCells>
  <pageMargins left="0.7" right="0.7" top="0.75" bottom="0.75" header="0.3" footer="0.3"/>
  <legacyDrawing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Партнер на НДС (товары 10%) (2)</vt:lpstr>
      <vt:lpstr>Отчет комиссионера с формулами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Tatyana Lobtsova</dc:creator>
  <cp:lastModifiedBy>Tatyana Lobtsova</cp:lastModifiedBy>
  <dcterms:created xsi:type="dcterms:W3CDTF">2024-10-24T07:58:05Z</dcterms:created>
  <dcterms:modified xsi:type="dcterms:W3CDTF">2024-10-24T09:15:44Z</dcterms:modified>
</cp:coreProperties>
</file>