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.minaeva\Downloads\"/>
    </mc:Choice>
  </mc:AlternateContent>
  <xr:revisionPtr revIDLastSave="0" documentId="13_ncr:1_{370D0F46-082F-4563-81A3-F4BB1F32F4BC}" xr6:coauthVersionLast="36" xr6:coauthVersionMax="36" xr10:uidLastSave="{00000000-0000-0000-0000-000000000000}"/>
  <bookViews>
    <workbookView xWindow="0" yWindow="0" windowWidth="28800" windowHeight="10185" xr2:uid="{6BBFBB2F-43B6-4309-B0E3-7820552D72DC}"/>
  </bookViews>
  <sheets>
    <sheet name="Партнер на НДС (товары 20%)" sheetId="2" r:id="rId1"/>
    <sheet name="Отчет комиссионера с формулами" sheetId="3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3" l="1" a="1"/>
  <c r="B34" i="3" s="1"/>
  <c r="K31" i="3" a="1"/>
  <c r="K31" i="3" s="1"/>
  <c r="J31" i="3" a="1"/>
  <c r="J31" i="3" s="1"/>
  <c r="I31" i="3" a="1"/>
  <c r="I31" i="3" s="1"/>
  <c r="M31" i="3" s="1"/>
  <c r="K30" i="3" a="1"/>
  <c r="K30" i="3" s="1"/>
  <c r="K29" i="3" s="1"/>
  <c r="J30" i="3"/>
  <c r="J29" i="3" s="1"/>
  <c r="J30" i="3" a="1"/>
  <c r="I30" i="3" a="1"/>
  <c r="I30" i="3" s="1"/>
  <c r="N29" i="3"/>
  <c r="M30" i="3" l="1"/>
  <c r="M29" i="3" s="1"/>
  <c r="B33" i="3" s="1"/>
  <c r="B35" i="3" s="1"/>
  <c r="M63" i="3" s="1"/>
  <c r="I29" i="3"/>
  <c r="N18" i="3"/>
  <c r="L18" i="3"/>
  <c r="K18" i="3" s="1"/>
  <c r="N12" i="3" a="1"/>
  <c r="N12" i="3" s="1"/>
  <c r="J12" i="3" a="1"/>
  <c r="J12" i="3" s="1"/>
  <c r="F12" i="3" a="1"/>
  <c r="F12" i="3" s="1"/>
  <c r="N11" i="3" a="1"/>
  <c r="N11" i="3" s="1"/>
  <c r="J11" i="3" a="1"/>
  <c r="J11" i="3" s="1"/>
  <c r="F11" i="3" a="1"/>
  <c r="F11" i="3" s="1"/>
  <c r="N10" i="3"/>
  <c r="N13" i="3" s="1"/>
  <c r="N10" i="3" a="1"/>
  <c r="J10" i="3" a="1"/>
  <c r="J10" i="3" s="1"/>
  <c r="F10" i="3" a="1"/>
  <c r="F10" i="3" s="1"/>
  <c r="C25" i="2"/>
  <c r="C20" i="2"/>
  <c r="C19" i="2"/>
  <c r="C13" i="2"/>
  <c r="C22" i="2" s="1"/>
  <c r="C26" i="2" s="1"/>
  <c r="G12" i="2"/>
  <c r="C11" i="2"/>
  <c r="C7" i="2"/>
  <c r="C6" i="2"/>
  <c r="C16" i="2" s="1"/>
  <c r="G5" i="2"/>
  <c r="G6" i="2" s="1"/>
  <c r="L63" i="3" l="1"/>
  <c r="L64" i="3" s="1"/>
  <c r="M64" i="3"/>
  <c r="F13" i="3"/>
  <c r="J13" i="3"/>
  <c r="C24" i="2"/>
  <c r="G8" i="2"/>
  <c r="G14" i="2" s="1"/>
  <c r="G7" i="2"/>
  <c r="C27" i="2"/>
  <c r="I63" i="3" l="1"/>
  <c r="G13" i="2"/>
  <c r="G15" i="2" s="1"/>
  <c r="G22" i="2" s="1"/>
  <c r="G26" i="2" s="1"/>
  <c r="G20" i="2"/>
  <c r="G11" i="2"/>
  <c r="C28" i="2"/>
  <c r="C30" i="2" s="1"/>
  <c r="I64" i="3" l="1"/>
  <c r="H63" i="3"/>
  <c r="G24" i="2"/>
  <c r="G25" i="2"/>
  <c r="G27" i="2" s="1"/>
  <c r="G19" i="2"/>
  <c r="G28" i="2" l="1"/>
  <c r="G30" i="2" s="1"/>
  <c r="G3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tc={BE5565C9-B27B-47CA-A259-ABF6008F7DCE}</author>
  </authors>
  <commentList>
    <comment ref="A29" authorId="0" shapeId="0" xr:uid="{890169F5-C616-4AF3-A3A6-C4FF81CD47B2}">
      <text>
        <r>
          <rPr>
            <sz val="11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Перенести итого в верхнюю часть таблицы</t>
        </r>
      </text>
    </comment>
  </commentList>
</comments>
</file>

<file path=xl/sharedStrings.xml><?xml version="1.0" encoding="utf-8"?>
<sst xmlns="http://schemas.openxmlformats.org/spreadsheetml/2006/main" count="273" uniqueCount="178">
  <si>
    <t>Текущая модель</t>
  </si>
  <si>
    <t>Скидочная модель</t>
  </si>
  <si>
    <t>Если премия учитывается в расходах по НнП</t>
  </si>
  <si>
    <t>Цена продажи Партнера</t>
  </si>
  <si>
    <t>с учетом НДС</t>
  </si>
  <si>
    <t>Средний процент скидки Покупателю</t>
  </si>
  <si>
    <t>Сумма скидки Покупателю</t>
  </si>
  <si>
    <t>В отчете комиссионера доход Партнера</t>
  </si>
  <si>
    <t>Скидка Партнёру на комиссию</t>
  </si>
  <si>
    <t>КШ</t>
  </si>
  <si>
    <t>Получено денег от Покупателя</t>
  </si>
  <si>
    <t>Размер комиссии</t>
  </si>
  <si>
    <t>Комиссия КШ, с учётом НДС</t>
  </si>
  <si>
    <t>Комиссия КШ, с учётом НДС, без скидки</t>
  </si>
  <si>
    <t>Скидка на комиссию</t>
  </si>
  <si>
    <t>Комиссия КШ, с учётом НДС, с учётом скидки</t>
  </si>
  <si>
    <t>Расходы</t>
  </si>
  <si>
    <t>Партнер</t>
  </si>
  <si>
    <t>Получено денег от КШ</t>
  </si>
  <si>
    <t>Выручка</t>
  </si>
  <si>
    <t>Премия</t>
  </si>
  <si>
    <t>Расход</t>
  </si>
  <si>
    <t>Налог на прибыль</t>
  </si>
  <si>
    <t>НДС к исчислению</t>
  </si>
  <si>
    <t>НДС к вычету</t>
  </si>
  <si>
    <t>НДС к уплате</t>
  </si>
  <si>
    <t>Итого налоги</t>
  </si>
  <si>
    <t>Итого доход в деньгах</t>
  </si>
  <si>
    <t>Дополнительный доход</t>
  </si>
  <si>
    <t>Было строки отчета комиссионера</t>
  </si>
  <si>
    <t>Номер внешнего заказа клиента</t>
  </si>
  <si>
    <t>Заказ на продажу</t>
  </si>
  <si>
    <t>Номенклатура</t>
  </si>
  <si>
    <t>Размер</t>
  </si>
  <si>
    <t>Серийный номер</t>
  </si>
  <si>
    <t>Конфигурация</t>
  </si>
  <si>
    <t>Количество</t>
  </si>
  <si>
    <t>Цена реализации, руб. вкл. НДС</t>
  </si>
  <si>
    <t>Согласованная цена</t>
  </si>
  <si>
    <t>Процент</t>
  </si>
  <si>
    <t>Сумма к перечислению</t>
  </si>
  <si>
    <t>Сумма комиссии</t>
  </si>
  <si>
    <t>Сумма отклонения</t>
  </si>
  <si>
    <t>Столбец1</t>
  </si>
  <si>
    <t>RU240129-634198</t>
  </si>
  <si>
    <t>MP002XM0VGSUINS</t>
  </si>
  <si>
    <t>BLM39337724</t>
  </si>
  <si>
    <t>01</t>
  </si>
  <si>
    <t>Было - проводки</t>
  </si>
  <si>
    <t>20%</t>
  </si>
  <si>
    <t>10%</t>
  </si>
  <si>
    <t>ДТ</t>
  </si>
  <si>
    <t>КТ</t>
  </si>
  <si>
    <t>Продажа товара</t>
  </si>
  <si>
    <t>62</t>
  </si>
  <si>
    <t>76 Партнер</t>
  </si>
  <si>
    <t>Начисление комиссии</t>
  </si>
  <si>
    <t>90</t>
  </si>
  <si>
    <t>Расходы по прог лояльн</t>
  </si>
  <si>
    <t>91.02</t>
  </si>
  <si>
    <t>Оплата</t>
  </si>
  <si>
    <t>51</t>
  </si>
  <si>
    <t>Стало строки товара с 20% (строки отчета комиссионера D365)</t>
  </si>
  <si>
    <t>Чистая сумма</t>
  </si>
  <si>
    <t>Скидка по комиссии</t>
  </si>
  <si>
    <t>Ставка НДС</t>
  </si>
  <si>
    <t>Стало - печ форма (все отчеты комиссионера) D365 +направляемая в ЭДО</t>
  </si>
  <si>
    <t>Отчет комиссионера № CR000106377 от 29.02.2024 по договору комиссии от 16.10.2017</t>
  </si>
  <si>
    <t>Период:</t>
  </si>
  <si>
    <t>С 01.02.2024 по 29.02.2024</t>
  </si>
  <si>
    <t>Комиссионер:</t>
  </si>
  <si>
    <t>Общество с ограниченной ответственностью "Купишуз", ИНН 7705935687, КПП 773101001</t>
  </si>
  <si>
    <t>Комитент:</t>
  </si>
  <si>
    <t>Договор:</t>
  </si>
  <si>
    <t>Заказ</t>
  </si>
  <si>
    <t>Дата заказа</t>
  </si>
  <si>
    <t>Артикул</t>
  </si>
  <si>
    <t>SellerSKU</t>
  </si>
  <si>
    <t>Штрих-код партнера (EAN)</t>
  </si>
  <si>
    <t>Штрих-код</t>
  </si>
  <si>
    <t>Метод доставки</t>
  </si>
  <si>
    <t>Согласованная с комитентом цена, руб. вкл. НДС</t>
  </si>
  <si>
    <t>К перечислению комитенту, 
руб. вкл. НДС</t>
  </si>
  <si>
    <t>Комиссионное вознаграждение, %</t>
  </si>
  <si>
    <t>Комиссионное вознаграждение от цены реализации, без учета скидки
 руб. вкл. НДС</t>
  </si>
  <si>
    <t>НДС с ин. компаний, руб</t>
  </si>
  <si>
    <t>Ставка НДС при продаже товара, %</t>
  </si>
  <si>
    <t>Дата продажи</t>
  </si>
  <si>
    <t>Номер заказа в учете комитента</t>
  </si>
  <si>
    <t>Uit</t>
  </si>
  <si>
    <t>Итого по отчету комиссионера:</t>
  </si>
  <si>
    <t>-</t>
  </si>
  <si>
    <t>RU240211-782680</t>
  </si>
  <si>
    <t>11.02.2024</t>
  </si>
  <si>
    <t>MP002XB006SJCM056</t>
  </si>
  <si>
    <t>535К-361г-56</t>
  </si>
  <si>
    <t>4601008135303</t>
  </si>
  <si>
    <t>XDC</t>
  </si>
  <si>
    <t>16.02.2024</t>
  </si>
  <si>
    <t/>
  </si>
  <si>
    <t>BLM39337725</t>
  </si>
  <si>
    <t>Комиссионное вознаграждение, без учета скидки
 руб. вкл. НДС</t>
  </si>
  <si>
    <t>Скидка на комиссионное вознаграждение, руб. вкл. НДС</t>
  </si>
  <si>
    <t>Комиссионное вознаграждение с учетом скидки, руб. вкл. НДС</t>
  </si>
  <si>
    <t>Стало - УПД на комиссию</t>
  </si>
  <si>
    <t>УПД</t>
  </si>
  <si>
    <t>Счет-фактура №F00000082218 от 01.03.2024</t>
  </si>
  <si>
    <t>Статус:</t>
  </si>
  <si>
    <t>Исправление № — от —</t>
  </si>
  <si>
    <t>(1а)</t>
  </si>
  <si>
    <t>Счет-фактура и передаточный документ — 1</t>
  </si>
  <si>
    <t>Продавец</t>
  </si>
  <si>
    <t>Общество с ограниченной ответственностью "Купишуз"</t>
  </si>
  <si>
    <t>Адрес</t>
  </si>
  <si>
    <t>121614, г. Москва, Крылатская, 15</t>
  </si>
  <si>
    <t>(2а)</t>
  </si>
  <si>
    <t>ИНН/КПП</t>
  </si>
  <si>
    <t>7705935687 / 773101001</t>
  </si>
  <si>
    <t>(2б)</t>
  </si>
  <si>
    <t>Банковские реквизиты</t>
  </si>
  <si>
    <t>Р/с 40702810200001432667, АО "РАЙФФАЙЗЕНБАНК", БИК 044525700, к/с 30101810200000000700</t>
  </si>
  <si>
    <t>Контактные данные</t>
  </si>
  <si>
    <t>Тел.: +7 (499) 500-49-70,</t>
  </si>
  <si>
    <t>Грузоотправитель и его адрес</t>
  </si>
  <si>
    <t>—</t>
  </si>
  <si>
    <t>Грузополучатель и его адрес</t>
  </si>
  <si>
    <t>К платежно-расчетному документу</t>
  </si>
  <si>
    <t>Документ об отгрузке</t>
  </si>
  <si>
    <r>
      <t>№</t>
    </r>
    <r>
      <rPr>
        <sz val="11"/>
        <color theme="1"/>
        <rFont val="Calibri"/>
        <family val="2"/>
        <charset val="204"/>
        <scheme val="minor"/>
      </rPr>
      <t>п/п 1 №F00000082218 от 01.03.2024</t>
    </r>
  </si>
  <si>
    <t>(5а)</t>
  </si>
  <si>
    <t>Покупатель</t>
  </si>
  <si>
    <t>ООО "Машук"</t>
  </si>
  <si>
    <t>357528, Ставропольский край, Пятигорск г, Февральская, д. 54, литер Г1, пом. 217</t>
  </si>
  <si>
    <t>(6а)</t>
  </si>
  <si>
    <t>2632800220 / 263201001</t>
  </si>
  <si>
    <t>(6б)</t>
  </si>
  <si>
    <t>Валюта: наименование, код</t>
  </si>
  <si>
    <t>Российский рубль, 643</t>
  </si>
  <si>
    <t>Идентификатор государственного контракта, договора (соглашения) (при наличии):</t>
  </si>
  <si>
    <t>Код</t>
  </si>
  <si>
    <t>№ п/п</t>
  </si>
  <si>
    <t>Наименование товара</t>
  </si>
  <si>
    <t>Единица</t>
  </si>
  <si>
    <t>Количест­во (объем)</t>
  </si>
  <si>
    <t>Цена (тариф) за единицу измерения</t>
  </si>
  <si>
    <t>Стоимость</t>
  </si>
  <si>
    <t>В том числе сумма акциза</t>
  </si>
  <si>
    <t>Налоговая ставка</t>
  </si>
  <si>
    <t>Сумма налога, предъявляе­мая</t>
  </si>
  <si>
    <t>Страна происхождения товара</t>
  </si>
  <si>
    <t>Регистрационный номер декларации на товары или реги­страцион­ный номер партии товара, подлежаще­го просле­живаемости</t>
  </si>
  <si>
    <t>товара /</t>
  </si>
  <si>
    <t>(описание выполненных</t>
  </si>
  <si>
    <t>вида</t>
  </si>
  <si>
    <t>измерения</t>
  </si>
  <si>
    <t>товаров (работ,</t>
  </si>
  <si>
    <t>покупа­телю</t>
  </si>
  <si>
    <t>работ,</t>
  </si>
  <si>
    <t>работ, оказанных услуг),</t>
  </si>
  <si>
    <t>товара</t>
  </si>
  <si>
    <t>услуг), иму­щественных прав без налога - всего</t>
  </si>
  <si>
    <t>услуг), иму­щественных прав с налогом - всего</t>
  </si>
  <si>
    <t>услуг</t>
  </si>
  <si>
    <t>имущественного права</t>
  </si>
  <si>
    <t>Условное обозначе­ние (наци­ональное)</t>
  </si>
  <si>
    <t>Циф­ро­вой код</t>
  </si>
  <si>
    <t>Краткое наимено­вание</t>
  </si>
  <si>
    <t>А</t>
  </si>
  <si>
    <t>1а</t>
  </si>
  <si>
    <t>1б</t>
  </si>
  <si>
    <t>2а</t>
  </si>
  <si>
    <t>10а</t>
  </si>
  <si>
    <t>90_Комиссия</t>
  </si>
  <si>
    <r>
      <rPr>
        <sz val="8"/>
        <color rgb="FFFF0000"/>
        <rFont val="Arial"/>
        <family val="2"/>
        <charset val="204"/>
      </rPr>
      <t>Вознаграждение за исполнение комиссионного поручения</t>
    </r>
    <r>
      <rPr>
        <sz val="8"/>
        <color rgb="FF000000"/>
        <rFont val="Arial"/>
        <family val="2"/>
        <charset val="204"/>
      </rPr>
      <t xml:space="preserve"> по отчету CR000106377 </t>
    </r>
    <r>
      <rPr>
        <sz val="8"/>
        <color rgb="FFFF0000"/>
        <rFont val="Arial"/>
        <family val="2"/>
        <charset val="204"/>
      </rPr>
      <t>от дата</t>
    </r>
    <r>
      <rPr>
        <sz val="8"/>
        <color rgb="FF000000"/>
        <rFont val="Arial"/>
        <family val="2"/>
        <charset val="204"/>
      </rPr>
      <t>, ,</t>
    </r>
  </si>
  <si>
    <t>шт</t>
  </si>
  <si>
    <t>без акциза</t>
  </si>
  <si>
    <t>Всего к оплате (9)</t>
  </si>
  <si>
    <t>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</si>
</sst>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  <charset val="204"/>
    </font>
    <font>
      <b/>
      <sz val="12"/>
      <color theme="1"/>
      <name val="Calibri"/>
      <family val="2"/>
      <scheme val="minor"/>
    </font>
    <font>
      <sz val="11"/>
      <color rgb="FF777777"/>
      <name val="Calibri"/>
      <family val="2"/>
      <scheme val="minor"/>
    </font>
    <font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8"/>
      <color rgb="FFFF0000"/>
      <name val="Arial"/>
      <family val="2"/>
      <charset val="204"/>
    </font>
    <font>
      <b/>
      <sz val="8"/>
      <color rgb="FF000000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808080"/>
      </right>
      <top style="medium">
        <color rgb="FFFFFFFF"/>
      </top>
      <bottom/>
      <diagonal/>
    </border>
    <border>
      <left style="medium">
        <color rgb="FF808080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808080"/>
      </right>
      <top/>
      <bottom/>
      <diagonal/>
    </border>
    <border>
      <left style="medium">
        <color rgb="FF808080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rgb="FFFFFFFF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/>
      <top style="medium">
        <color rgb="FF808080"/>
      </top>
      <bottom/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/>
      <right style="medium">
        <color rgb="FF808080"/>
      </right>
      <top/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FFFFFF"/>
      </left>
      <right style="medium">
        <color rgb="FF808080"/>
      </right>
      <top style="medium">
        <color rgb="FF808080"/>
      </top>
      <bottom style="medium">
        <color rgb="FFFFFFFF"/>
      </bottom>
      <diagonal/>
    </border>
    <border>
      <left style="medium">
        <color rgb="FF808080"/>
      </left>
      <right/>
      <top style="medium">
        <color rgb="FF808080"/>
      </top>
      <bottom style="medium">
        <color rgb="FFFFFFFF"/>
      </bottom>
      <diagonal/>
    </border>
    <border>
      <left/>
      <right/>
      <top style="medium">
        <color rgb="FF808080"/>
      </top>
      <bottom style="medium">
        <color rgb="FFFFFFFF"/>
      </bottom>
      <diagonal/>
    </border>
    <border>
      <left/>
      <right style="medium">
        <color rgb="FF808080"/>
      </right>
      <top style="medium">
        <color rgb="FF808080"/>
      </top>
      <bottom style="medium">
        <color rgb="FFFFFFFF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/>
  </cellStyleXfs>
  <cellXfs count="92">
    <xf numFmtId="0" fontId="0" fillId="0" borderId="0" xfId="0"/>
    <xf numFmtId="164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/>
    <xf numFmtId="164" fontId="4" fillId="0" borderId="0" xfId="0" applyNumberFormat="1" applyFont="1"/>
    <xf numFmtId="10" fontId="0" fillId="0" borderId="0" xfId="1" applyNumberFormat="1" applyFont="1"/>
    <xf numFmtId="2" fontId="0" fillId="0" borderId="0" xfId="0" applyNumberFormat="1"/>
    <xf numFmtId="2" fontId="0" fillId="0" borderId="0" xfId="0" applyNumberFormat="1" applyFill="1"/>
    <xf numFmtId="165" fontId="0" fillId="0" borderId="0" xfId="0" applyNumberFormat="1"/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2" fontId="0" fillId="3" borderId="0" xfId="0" applyNumberFormat="1" applyFill="1"/>
    <xf numFmtId="164" fontId="0" fillId="0" borderId="0" xfId="0" applyNumberFormat="1" applyFill="1"/>
    <xf numFmtId="0" fontId="3" fillId="4" borderId="0" xfId="0" applyFont="1" applyFill="1"/>
    <xf numFmtId="164" fontId="2" fillId="0" borderId="0" xfId="0" applyNumberFormat="1" applyFont="1"/>
    <xf numFmtId="0" fontId="0" fillId="3" borderId="0" xfId="0" applyFill="1"/>
    <xf numFmtId="164" fontId="3" fillId="0" borderId="0" xfId="0" applyNumberFormat="1" applyFont="1"/>
    <xf numFmtId="0" fontId="3" fillId="0" borderId="1" xfId="0" applyFont="1" applyFill="1" applyBorder="1"/>
    <xf numFmtId="164" fontId="3" fillId="0" borderId="1" xfId="0" applyNumberFormat="1" applyFont="1" applyFill="1" applyBorder="1"/>
    <xf numFmtId="0" fontId="3" fillId="0" borderId="0" xfId="0" applyFont="1" applyFill="1" applyBorder="1"/>
    <xf numFmtId="10" fontId="3" fillId="2" borderId="0" xfId="1" applyNumberFormat="1" applyFont="1" applyFill="1"/>
    <xf numFmtId="0" fontId="0" fillId="0" borderId="0" xfId="0" applyFill="1"/>
    <xf numFmtId="49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4" fontId="0" fillId="0" borderId="0" xfId="0" applyNumberFormat="1" applyAlignment="1">
      <alignment wrapText="1"/>
    </xf>
    <xf numFmtId="0" fontId="5" fillId="5" borderId="0" xfId="0" applyFont="1" applyFill="1" applyAlignment="1">
      <alignment wrapText="1"/>
    </xf>
    <xf numFmtId="4" fontId="0" fillId="5" borderId="0" xfId="0" applyNumberFormat="1" applyFill="1" applyAlignment="1">
      <alignment horizontal="left"/>
    </xf>
    <xf numFmtId="49" fontId="0" fillId="0" borderId="2" xfId="0" applyNumberFormat="1" applyBorder="1" applyAlignment="1">
      <alignment horizontal="left"/>
    </xf>
    <xf numFmtId="4" fontId="0" fillId="0" borderId="2" xfId="0" applyNumberFormat="1" applyBorder="1" applyAlignment="1">
      <alignment horizontal="left"/>
    </xf>
    <xf numFmtId="4" fontId="6" fillId="0" borderId="0" xfId="0" applyNumberFormat="1" applyFont="1" applyAlignment="1">
      <alignment horizontal="left"/>
    </xf>
    <xf numFmtId="4" fontId="7" fillId="0" borderId="2" xfId="0" applyNumberFormat="1" applyFont="1" applyBorder="1"/>
    <xf numFmtId="49" fontId="0" fillId="6" borderId="0" xfId="0" applyNumberFormat="1" applyFill="1" applyAlignment="1">
      <alignment horizontal="left"/>
    </xf>
    <xf numFmtId="4" fontId="0" fillId="6" borderId="0" xfId="0" applyNumberFormat="1" applyFill="1" applyAlignment="1">
      <alignment horizontal="left"/>
    </xf>
    <xf numFmtId="0" fontId="0" fillId="6" borderId="0" xfId="0" applyFill="1"/>
    <xf numFmtId="4" fontId="0" fillId="0" borderId="0" xfId="0" applyNumberFormat="1"/>
    <xf numFmtId="0" fontId="0" fillId="7" borderId="0" xfId="0" applyFill="1"/>
    <xf numFmtId="9" fontId="0" fillId="0" borderId="0" xfId="0" applyNumberFormat="1"/>
    <xf numFmtId="0" fontId="8" fillId="0" borderId="0" xfId="2"/>
    <xf numFmtId="0" fontId="3" fillId="0" borderId="2" xfId="0" applyFont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right" wrapText="1"/>
    </xf>
    <xf numFmtId="4" fontId="3" fillId="0" borderId="2" xfId="0" applyNumberFormat="1" applyFont="1" applyBorder="1" applyAlignment="1">
      <alignment horizontal="center" vertical="center" wrapText="1"/>
    </xf>
    <xf numFmtId="0" fontId="0" fillId="0" borderId="2" xfId="0" applyBorder="1"/>
    <xf numFmtId="4" fontId="0" fillId="0" borderId="2" xfId="0" applyNumberFormat="1" applyBorder="1"/>
    <xf numFmtId="0" fontId="0" fillId="8" borderId="2" xfId="0" applyFill="1" applyBorder="1"/>
    <xf numFmtId="0" fontId="9" fillId="0" borderId="3" xfId="0" applyFont="1" applyBorder="1" applyAlignment="1">
      <alignment vertical="center" wrapText="1"/>
    </xf>
    <xf numFmtId="0" fontId="11" fillId="0" borderId="5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12" fillId="0" borderId="7" xfId="0" applyFont="1" applyBorder="1" applyAlignment="1">
      <alignment vertical="center" wrapText="1"/>
    </xf>
    <xf numFmtId="0" fontId="11" fillId="0" borderId="0" xfId="0" applyFont="1" applyAlignment="1">
      <alignment vertical="top" wrapText="1" indent="1"/>
    </xf>
    <xf numFmtId="0" fontId="0" fillId="0" borderId="9" xfId="0" applyBorder="1"/>
    <xf numFmtId="0" fontId="11" fillId="0" borderId="8" xfId="0" applyFont="1" applyBorder="1" applyAlignment="1">
      <alignment vertical="top" wrapText="1" indent="1"/>
    </xf>
    <xf numFmtId="0" fontId="0" fillId="0" borderId="0" xfId="0" applyAlignment="1">
      <alignment vertical="top" wrapText="1" indent="1"/>
    </xf>
    <xf numFmtId="0" fontId="0" fillId="0" borderId="7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11" fillId="0" borderId="11" xfId="0" applyFont="1" applyBorder="1" applyAlignment="1">
      <alignment vertical="top" wrapText="1" indent="1"/>
    </xf>
    <xf numFmtId="0" fontId="0" fillId="0" borderId="12" xfId="0" applyBorder="1" applyAlignment="1">
      <alignment vertical="top" wrapText="1" indent="1"/>
    </xf>
    <xf numFmtId="0" fontId="11" fillId="0" borderId="12" xfId="0" applyFont="1" applyBorder="1" applyAlignment="1">
      <alignment vertical="top" wrapText="1" indent="1"/>
    </xf>
    <xf numFmtId="0" fontId="0" fillId="0" borderId="12" xfId="0" applyBorder="1"/>
    <xf numFmtId="0" fontId="0" fillId="0" borderId="13" xfId="0" applyBorder="1"/>
    <xf numFmtId="0" fontId="12" fillId="0" borderId="14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top" wrapText="1"/>
    </xf>
    <xf numFmtId="0" fontId="12" fillId="0" borderId="21" xfId="0" applyFont="1" applyBorder="1" applyAlignment="1">
      <alignment horizontal="left" vertical="top" wrapText="1"/>
    </xf>
    <xf numFmtId="0" fontId="12" fillId="0" borderId="21" xfId="0" applyFont="1" applyBorder="1" applyAlignment="1">
      <alignment horizontal="left" vertical="center" wrapText="1"/>
    </xf>
    <xf numFmtId="0" fontId="12" fillId="0" borderId="21" xfId="0" applyFont="1" applyBorder="1" applyAlignment="1">
      <alignment horizontal="right" vertical="top" wrapText="1"/>
    </xf>
    <xf numFmtId="4" fontId="12" fillId="0" borderId="21" xfId="0" applyNumberFormat="1" applyFont="1" applyBorder="1" applyAlignment="1">
      <alignment horizontal="right" vertical="top" wrapText="1"/>
    </xf>
    <xf numFmtId="9" fontId="12" fillId="0" borderId="21" xfId="0" applyNumberFormat="1" applyFont="1" applyBorder="1" applyAlignment="1">
      <alignment horizontal="center" vertical="top" wrapText="1"/>
    </xf>
    <xf numFmtId="0" fontId="12" fillId="0" borderId="22" xfId="0" applyFont="1" applyBorder="1" applyAlignment="1">
      <alignment vertical="top" wrapText="1"/>
    </xf>
    <xf numFmtId="4" fontId="15" fillId="0" borderId="21" xfId="0" applyNumberFormat="1" applyFont="1" applyBorder="1" applyAlignment="1">
      <alignment horizontal="right" vertical="top" wrapText="1"/>
    </xf>
    <xf numFmtId="0" fontId="15" fillId="0" borderId="21" xfId="0" applyFont="1" applyBorder="1" applyAlignment="1">
      <alignment horizontal="center" vertical="top" wrapText="1"/>
    </xf>
    <xf numFmtId="0" fontId="3" fillId="2" borderId="0" xfId="0" applyFont="1" applyFill="1" applyAlignment="1">
      <alignment horizontal="center"/>
    </xf>
    <xf numFmtId="0" fontId="4" fillId="0" borderId="0" xfId="0" applyFont="1" applyFill="1" applyAlignment="1">
      <alignment wrapText="1"/>
    </xf>
    <xf numFmtId="0" fontId="15" fillId="0" borderId="23" xfId="0" applyFont="1" applyBorder="1" applyAlignment="1">
      <alignment horizontal="right" vertical="top" wrapText="1"/>
    </xf>
    <xf numFmtId="0" fontId="15" fillId="0" borderId="24" xfId="0" applyFont="1" applyBorder="1" applyAlignment="1">
      <alignment horizontal="right" vertical="top" wrapText="1"/>
    </xf>
    <xf numFmtId="0" fontId="15" fillId="0" borderId="25" xfId="0" applyFont="1" applyBorder="1" applyAlignment="1">
      <alignment horizontal="right" vertical="top" wrapText="1"/>
    </xf>
    <xf numFmtId="0" fontId="12" fillId="0" borderId="14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3" fillId="0" borderId="8" xfId="0" applyFont="1" applyBorder="1" applyAlignment="1">
      <alignment horizontal="left" vertical="center" wrapText="1" indent="1"/>
    </xf>
    <xf numFmtId="0" fontId="13" fillId="0" borderId="0" xfId="0" applyFont="1" applyAlignment="1">
      <alignment horizontal="left" vertical="center" wrapText="1" indent="1"/>
    </xf>
  </cellXfs>
  <cellStyles count="3">
    <cellStyle name="Обычный" xfId="0" builtinId="0"/>
    <cellStyle name="Обычный 2" xfId="2" xr:uid="{B08C3A79-4088-4722-A49C-A77F53206CB3}"/>
    <cellStyle name="Процентный" xfId="1" builtinId="5"/>
  </cellStyles>
  <dxfs count="10">
    <dxf>
      <fill>
        <patternFill patternType="solid">
          <fgColor indexed="64"/>
          <bgColor theme="5" tint="0.59999389629810485"/>
        </patternFill>
      </fill>
    </dxf>
    <dxf>
      <fill>
        <patternFill patternType="solid">
          <fgColor indexed="64"/>
          <bgColor theme="5" tint="0.59999389629810485"/>
        </patternFill>
      </fill>
    </dxf>
    <dxf>
      <fill>
        <patternFill patternType="none">
          <fgColor indexed="64"/>
          <bgColor auto="1"/>
        </patternFill>
      </fill>
    </dxf>
    <dxf>
      <numFmt numFmtId="4" formatCode="#,##0.00"/>
    </dxf>
    <dxf>
      <numFmt numFmtId="4" formatCode="#,##0.00"/>
      <fill>
        <patternFill patternType="solid">
          <fgColor indexed="64"/>
          <bgColor theme="5" tint="0.59999389629810485"/>
        </patternFill>
      </fill>
      <alignment horizontal="left" vertical="bottom" textRotation="0" wrapText="0" indent="0" justifyLastLine="0" shrinkToFit="0" readingOrder="0"/>
    </dxf>
    <dxf>
      <numFmt numFmtId="4" formatCode="#,##0.00"/>
      <fill>
        <patternFill patternType="solid">
          <fgColor indexed="64"/>
          <bgColor theme="5" tint="0.59999389629810485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</dxf>
    <dxf>
      <numFmt numFmtId="4" formatCode="#,##0.0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83;&#1103;%20&#1088;&#1072;&#1089;&#1089;&#1099;&#1083;&#1082;&#1080;%20&#1082;&#1086;&#1084;&#1080;&#1090;&#1077;&#1085;&#1090;&#1072;&#1084;,%20&#1092;&#1086;&#1088;&#1084;&#1091;&#1083;&#1072;%20&#1089;%20&#1094;&#1080;&#1092;&#1088;&#1072;&#1084;&#1080;%20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спомогательные таблицы"/>
      <sheetName val="Для рассылки комитентам, формул"/>
    </sheet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6CE85B-BA2A-4D9A-83F5-59FF1E7B6B22}" name="AxTable1" displayName="AxTable1" ref="A2:N3" totalsRowShown="0" headerRowDxfId="9">
  <autoFilter ref="A2:N3" xr:uid="{51168EBC-C5EB-4017-92A5-477C49CA2D6B}"/>
  <tableColumns count="14">
    <tableColumn id="1" xr3:uid="{2E4D2468-7F95-4AD9-8930-1046954935D1}" name="Номер внешнего заказа клиента"/>
    <tableColumn id="2" xr3:uid="{93D07053-3531-434A-83E9-E8B087636647}" name="Заказ на продажу"/>
    <tableColumn id="3" xr3:uid="{C10F385E-953C-49DC-8CD9-D0582D4A41F8}" name="Номенклатура"/>
    <tableColumn id="4" xr3:uid="{43E10598-3675-41B3-AF55-F80FF669CADF}" name="Размер"/>
    <tableColumn id="5" xr3:uid="{E97686A6-0283-47C2-B299-1E619AA72E24}" name="Серийный номер"/>
    <tableColumn id="6" xr3:uid="{415D478D-5C52-4C49-884F-04DA2B370BAB}" name="Конфигурация" dataDxfId="8"/>
    <tableColumn id="7" xr3:uid="{6BB6D3A4-1CB6-4144-A817-D8CA93FA03D9}" name="Количество"/>
    <tableColumn id="8" xr3:uid="{89972C4D-EA37-496F-8785-13084C05D540}" name="Цена реализации, руб. вкл. НДС" dataDxfId="7"/>
    <tableColumn id="9" xr3:uid="{421253A4-CC77-4CE2-96C6-43BD47405301}" name="Согласованная цена" dataDxfId="6"/>
    <tableColumn id="10" xr3:uid="{A4516260-8BE5-4A9C-BADB-BD6E2D70DAF2}" name="Процент"/>
    <tableColumn id="11" xr3:uid="{F7D44C06-45C9-40EC-9F8B-DFC525C55BBB}" name="Сумма к перечислению"/>
    <tableColumn id="12" xr3:uid="{10662AC3-FC22-4124-AF42-6C97E72E6D5A}" name="Сумма комиссии"/>
    <tableColumn id="13" xr3:uid="{BBE77A6D-EC50-4DE5-B377-678F4F35AEA2}" name="Сумма отклонения" dataDxfId="5"/>
    <tableColumn id="14" xr3:uid="{2061737B-8FB1-4E60-AB58-B54FD9C01F19}" name="Столбец1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EEEF9B-32A4-4751-B8AB-5354100B91FD}" name="AxTable13" displayName="AxTable13" ref="A17:O18" totalsRowShown="0">
  <autoFilter ref="A17:O18" xr:uid="{A63873D2-AB4D-4C87-94E0-058B0875E204}"/>
  <tableColumns count="15">
    <tableColumn id="1" xr3:uid="{FBD1CE4D-00A8-4511-9800-E593E2D5D974}" name="Номер внешнего заказа клиента"/>
    <tableColumn id="2" xr3:uid="{7BD9EB9B-ADB8-4FB5-8745-71E4CE8B0E71}" name="Заказ на продажу"/>
    <tableColumn id="3" xr3:uid="{D8030B66-0F15-4C6C-A024-FD545C8FB424}" name="Номенклатура"/>
    <tableColumn id="4" xr3:uid="{7F61EE8D-682C-4218-BB1A-899C04AFCD18}" name="Размер"/>
    <tableColumn id="5" xr3:uid="{B3A8C972-CCBE-416A-82C2-05849240C9AF}" name="Серийный номер"/>
    <tableColumn id="6" xr3:uid="{BC0C0E6A-3827-4101-8BC1-B35DDC5D335A}" name="Конфигурация" dataDxfId="3"/>
    <tableColumn id="7" xr3:uid="{CB2BF162-A90B-4513-ABF9-305DE6B29B74}" name="Количество"/>
    <tableColumn id="8" xr3:uid="{9644255C-E767-4188-9C09-53A82EDE5BC5}" name="Чистая сумма"/>
    <tableColumn id="9" xr3:uid="{5DF75B02-BFB0-4CBF-917E-B13CB2AEE97F}" name="Согласованная цена" dataDxfId="2"/>
    <tableColumn id="10" xr3:uid="{0DCEDB4C-7316-4C7D-905F-2DD1EF2E3DC0}" name="Процент"/>
    <tableColumn id="11" xr3:uid="{E816135E-726D-4410-9511-C5E451178E80}" name="Сумма к перечислению">
      <calculatedColumnFormula>AxTable13[[#This Row],[Чистая сумма]]-AxTable13[[#This Row],[Сумма комиссии]]+AxTable13[[#This Row],[Скидка по комиссии]]</calculatedColumnFormula>
    </tableColumn>
    <tableColumn id="12" xr3:uid="{70B1AEF1-9D65-46CB-BBE4-80F71E7243F3}" name="Сумма комиссии">
      <calculatedColumnFormula>AxTable13[[#This Row],[Чистая сумма]]*AxTable13[[#This Row],[Процент]]</calculatedColumnFormula>
    </tableColumn>
    <tableColumn id="13" xr3:uid="{B6942F42-F1BE-44C2-AC85-323C6AF2AED9}" name="Сумма отклонения" dataDxfId="1"/>
    <tableColumn id="14" xr3:uid="{79A638DA-C581-4F24-8634-DD0CD6F23AEA}" name="Скидка по комиссии" dataDxfId="0">
      <calculatedColumnFormula>(AxTable13[[#This Row],[Согласованная цена]]-AxTable13[[#This Row],[Чистая сумма]])*(1-AxTable13[[#This Row],[Процент]])</calculatedColumnFormula>
    </tableColumn>
    <tableColumn id="15" xr3:uid="{5F9C3FD3-8DBA-4BB3-8845-B2DE50207231}" name="Ставка НДС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BD3A-F266-4E74-8763-6D55F47B82FD}">
  <dimension ref="B1:H36"/>
  <sheetViews>
    <sheetView tabSelected="1" workbookViewId="0">
      <selection activeCell="D8" sqref="D8"/>
    </sheetView>
  </sheetViews>
  <sheetFormatPr defaultColWidth="20.28515625" defaultRowHeight="15" x14ac:dyDescent="0.25"/>
  <sheetData>
    <row r="1" spans="2:8" x14ac:dyDescent="0.25">
      <c r="C1" s="1"/>
      <c r="D1" s="1"/>
    </row>
    <row r="2" spans="2:8" x14ac:dyDescent="0.25">
      <c r="B2" s="74" t="s">
        <v>0</v>
      </c>
      <c r="C2" s="74"/>
      <c r="D2" s="2"/>
      <c r="F2" s="74" t="s">
        <v>1</v>
      </c>
      <c r="G2" s="74"/>
    </row>
    <row r="3" spans="2:8" x14ac:dyDescent="0.25">
      <c r="B3" s="3"/>
      <c r="C3" s="1"/>
      <c r="D3" s="1"/>
      <c r="F3" s="75" t="s">
        <v>2</v>
      </c>
      <c r="G3" s="75"/>
    </row>
    <row r="4" spans="2:8" x14ac:dyDescent="0.25">
      <c r="B4" t="s">
        <v>3</v>
      </c>
      <c r="C4" s="1">
        <v>120</v>
      </c>
      <c r="D4" s="4" t="s">
        <v>4</v>
      </c>
      <c r="F4" t="s">
        <v>3</v>
      </c>
      <c r="G4" s="1">
        <v>120</v>
      </c>
      <c r="H4" s="4" t="s">
        <v>4</v>
      </c>
    </row>
    <row r="5" spans="2:8" x14ac:dyDescent="0.25">
      <c r="B5" t="s">
        <v>5</v>
      </c>
      <c r="C5" s="5">
        <v>7.3571985948634552E-2</v>
      </c>
      <c r="D5" s="4"/>
      <c r="F5" t="s">
        <v>5</v>
      </c>
      <c r="G5" s="5">
        <f>C5</f>
        <v>7.3571985948634552E-2</v>
      </c>
      <c r="H5" s="4"/>
    </row>
    <row r="6" spans="2:8" x14ac:dyDescent="0.25">
      <c r="B6" t="s">
        <v>6</v>
      </c>
      <c r="C6" s="6">
        <f>C4*C5</f>
        <v>8.8286383138361462</v>
      </c>
      <c r="D6" s="1"/>
      <c r="F6" t="s">
        <v>6</v>
      </c>
      <c r="G6" s="7">
        <f>G4*G5</f>
        <v>8.8286383138361462</v>
      </c>
      <c r="H6" s="8"/>
    </row>
    <row r="7" spans="2:8" ht="45" x14ac:dyDescent="0.25">
      <c r="B7" s="9" t="s">
        <v>7</v>
      </c>
      <c r="C7" s="1">
        <f>C4</f>
        <v>120</v>
      </c>
      <c r="D7" s="4" t="s">
        <v>4</v>
      </c>
      <c r="F7" s="9" t="s">
        <v>7</v>
      </c>
      <c r="G7" s="6">
        <f>G4-G6</f>
        <v>111.17136168616385</v>
      </c>
      <c r="H7" s="4" t="s">
        <v>4</v>
      </c>
    </row>
    <row r="8" spans="2:8" ht="30" x14ac:dyDescent="0.25">
      <c r="B8" s="9"/>
      <c r="C8" s="1"/>
      <c r="D8" s="1"/>
      <c r="F8" s="10" t="s">
        <v>8</v>
      </c>
      <c r="G8" s="11">
        <f>G6*(1-G12)</f>
        <v>5.6607413459161764</v>
      </c>
      <c r="H8" s="12"/>
    </row>
    <row r="9" spans="2:8" x14ac:dyDescent="0.25">
      <c r="C9" s="1"/>
      <c r="D9" s="1"/>
      <c r="G9" s="1"/>
    </row>
    <row r="10" spans="2:8" x14ac:dyDescent="0.25">
      <c r="B10" s="13" t="s">
        <v>9</v>
      </c>
      <c r="C10" s="1"/>
      <c r="D10" s="1"/>
      <c r="F10" s="13" t="s">
        <v>9</v>
      </c>
      <c r="G10" s="1"/>
    </row>
    <row r="11" spans="2:8" x14ac:dyDescent="0.25">
      <c r="B11" t="s">
        <v>10</v>
      </c>
      <c r="C11" s="1">
        <f>C4-C6</f>
        <v>111.17136168616385</v>
      </c>
      <c r="D11" s="1"/>
      <c r="F11" t="s">
        <v>10</v>
      </c>
      <c r="G11" s="1">
        <f>G7</f>
        <v>111.17136168616385</v>
      </c>
    </row>
    <row r="12" spans="2:8" x14ac:dyDescent="0.25">
      <c r="B12" t="s">
        <v>11</v>
      </c>
      <c r="C12" s="5">
        <v>0.35882056273109247</v>
      </c>
      <c r="D12" s="14"/>
      <c r="F12" t="s">
        <v>11</v>
      </c>
      <c r="G12" s="5">
        <f>C12</f>
        <v>0.35882056273109247</v>
      </c>
    </row>
    <row r="13" spans="2:8" x14ac:dyDescent="0.25">
      <c r="B13" t="s">
        <v>12</v>
      </c>
      <c r="C13" s="6">
        <f>C7*C12</f>
        <v>43.058467527731096</v>
      </c>
      <c r="D13" s="1"/>
      <c r="F13" s="15" t="s">
        <v>13</v>
      </c>
      <c r="G13" s="11">
        <f>G7*G12</f>
        <v>39.890570559811124</v>
      </c>
      <c r="H13" s="1"/>
    </row>
    <row r="14" spans="2:8" x14ac:dyDescent="0.25">
      <c r="C14" s="1"/>
      <c r="D14" s="1"/>
      <c r="F14" s="15" t="s">
        <v>14</v>
      </c>
      <c r="G14" s="11">
        <f>G8</f>
        <v>5.6607413459161764</v>
      </c>
      <c r="H14" s="1"/>
    </row>
    <row r="15" spans="2:8" x14ac:dyDescent="0.25">
      <c r="C15" s="1"/>
      <c r="D15" s="1"/>
      <c r="F15" s="15" t="s">
        <v>15</v>
      </c>
      <c r="G15" s="11">
        <f>G13-G14</f>
        <v>34.229829213894945</v>
      </c>
      <c r="H15" s="6"/>
    </row>
    <row r="16" spans="2:8" x14ac:dyDescent="0.25">
      <c r="B16" t="s">
        <v>16</v>
      </c>
      <c r="C16" s="6">
        <f>-C6</f>
        <v>-8.8286383138361462</v>
      </c>
      <c r="D16" s="1"/>
      <c r="F16" t="s">
        <v>16</v>
      </c>
      <c r="G16" s="1">
        <v>0</v>
      </c>
      <c r="H16" s="6"/>
    </row>
    <row r="17" spans="2:8" x14ac:dyDescent="0.25">
      <c r="C17" s="1"/>
      <c r="D17" s="1"/>
      <c r="G17" s="1"/>
      <c r="H17" s="6"/>
    </row>
    <row r="18" spans="2:8" x14ac:dyDescent="0.25">
      <c r="B18" s="13" t="s">
        <v>17</v>
      </c>
      <c r="C18" s="1"/>
      <c r="D18" s="1"/>
      <c r="F18" s="13" t="s">
        <v>17</v>
      </c>
      <c r="G18" s="1"/>
    </row>
    <row r="19" spans="2:8" x14ac:dyDescent="0.25">
      <c r="B19" t="s">
        <v>18</v>
      </c>
      <c r="C19" s="1">
        <f>C4-C13</f>
        <v>76.941532472268904</v>
      </c>
      <c r="D19" s="1"/>
      <c r="F19" t="s">
        <v>18</v>
      </c>
      <c r="G19" s="1">
        <f>G7-G15</f>
        <v>76.941532472268904</v>
      </c>
      <c r="H19" s="1"/>
    </row>
    <row r="20" spans="2:8" x14ac:dyDescent="0.25">
      <c r="B20" t="s">
        <v>19</v>
      </c>
      <c r="C20" s="1">
        <f>C7/1.2</f>
        <v>100</v>
      </c>
      <c r="D20" s="1"/>
      <c r="F20" t="s">
        <v>19</v>
      </c>
      <c r="G20" s="1">
        <f>G7/1.2</f>
        <v>92.642801405136538</v>
      </c>
    </row>
    <row r="21" spans="2:8" x14ac:dyDescent="0.25">
      <c r="C21" s="1"/>
      <c r="D21" s="1"/>
      <c r="F21" t="s">
        <v>20</v>
      </c>
      <c r="G21" s="1">
        <v>0</v>
      </c>
    </row>
    <row r="22" spans="2:8" x14ac:dyDescent="0.25">
      <c r="B22" t="s">
        <v>21</v>
      </c>
      <c r="C22" s="1">
        <f>-C13/1.2</f>
        <v>-35.882056273109249</v>
      </c>
      <c r="D22" s="1"/>
      <c r="F22" t="s">
        <v>21</v>
      </c>
      <c r="G22" s="1">
        <f>-G15/1.2</f>
        <v>-28.524857678245787</v>
      </c>
    </row>
    <row r="23" spans="2:8" x14ac:dyDescent="0.25">
      <c r="C23" s="1"/>
      <c r="D23" s="1"/>
      <c r="G23" s="1"/>
    </row>
    <row r="24" spans="2:8" x14ac:dyDescent="0.25">
      <c r="B24" s="3" t="s">
        <v>22</v>
      </c>
      <c r="C24" s="16">
        <f>-(C20+C22)*20%</f>
        <v>-12.823588745378153</v>
      </c>
      <c r="D24" s="16"/>
      <c r="F24" s="3" t="s">
        <v>22</v>
      </c>
      <c r="G24" s="16">
        <f>-(G20+G21+G22)*20%</f>
        <v>-12.823588745378153</v>
      </c>
    </row>
    <row r="25" spans="2:8" x14ac:dyDescent="0.25">
      <c r="B25" t="s">
        <v>23</v>
      </c>
      <c r="C25" s="1">
        <f>-C20*20%</f>
        <v>-20</v>
      </c>
      <c r="D25" s="1"/>
      <c r="F25" t="s">
        <v>23</v>
      </c>
      <c r="G25" s="1">
        <f>-G20*20%</f>
        <v>-18.528560281027307</v>
      </c>
    </row>
    <row r="26" spans="2:8" x14ac:dyDescent="0.25">
      <c r="B26" t="s">
        <v>24</v>
      </c>
      <c r="C26" s="1">
        <f>-C22*20%</f>
        <v>7.1764112546218506</v>
      </c>
      <c r="D26" s="1"/>
      <c r="F26" t="s">
        <v>24</v>
      </c>
      <c r="G26" s="1">
        <f>-G22*20%</f>
        <v>5.7049715356491575</v>
      </c>
    </row>
    <row r="27" spans="2:8" x14ac:dyDescent="0.25">
      <c r="B27" s="3" t="s">
        <v>25</v>
      </c>
      <c r="C27" s="16">
        <f>C25+C26</f>
        <v>-12.823588745378149</v>
      </c>
      <c r="D27" s="16"/>
      <c r="F27" s="3" t="s">
        <v>25</v>
      </c>
      <c r="G27" s="16">
        <f>G25+G26</f>
        <v>-12.823588745378149</v>
      </c>
    </row>
    <row r="28" spans="2:8" ht="15.75" thickBot="1" x14ac:dyDescent="0.3">
      <c r="B28" s="17" t="s">
        <v>26</v>
      </c>
      <c r="C28" s="18">
        <f>C24+C27</f>
        <v>-25.647177490756302</v>
      </c>
      <c r="D28" s="16"/>
      <c r="F28" s="17" t="s">
        <v>26</v>
      </c>
      <c r="G28" s="18">
        <f>G24+G27</f>
        <v>-25.647177490756302</v>
      </c>
    </row>
    <row r="29" spans="2:8" ht="15.75" thickTop="1" x14ac:dyDescent="0.25">
      <c r="C29" s="1"/>
      <c r="D29" s="1"/>
    </row>
    <row r="30" spans="2:8" ht="15.75" thickBot="1" x14ac:dyDescent="0.3">
      <c r="B30" s="17" t="s">
        <v>27</v>
      </c>
      <c r="C30" s="18">
        <f>C19+C28</f>
        <v>51.294354981512598</v>
      </c>
      <c r="D30" s="1"/>
      <c r="F30" s="17" t="s">
        <v>27</v>
      </c>
      <c r="G30" s="18">
        <f>G19+G28</f>
        <v>51.294354981512598</v>
      </c>
    </row>
    <row r="31" spans="2:8" ht="15.75" thickTop="1" x14ac:dyDescent="0.25">
      <c r="C31" s="1"/>
      <c r="D31" s="1"/>
      <c r="F31" s="19" t="s">
        <v>28</v>
      </c>
      <c r="G31" s="20">
        <f>G30/C30-1</f>
        <v>0</v>
      </c>
      <c r="H31" s="21"/>
    </row>
    <row r="32" spans="2:8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  <row r="35" spans="3:4" x14ac:dyDescent="0.25">
      <c r="C35" s="1"/>
      <c r="D35" s="1"/>
    </row>
    <row r="36" spans="3:4" x14ac:dyDescent="0.25">
      <c r="C36" s="1"/>
      <c r="D36" s="1"/>
    </row>
  </sheetData>
  <mergeCells count="3">
    <mergeCell ref="B2:C2"/>
    <mergeCell ref="F2:G2"/>
    <mergeCell ref="F3:G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694A6-7EAE-43A7-9D41-FD539B187096}">
  <dimension ref="A1:S84"/>
  <sheetViews>
    <sheetView workbookViewId="0">
      <selection activeCell="F74" sqref="F74"/>
    </sheetView>
  </sheetViews>
  <sheetFormatPr defaultColWidth="15.140625" defaultRowHeight="15" x14ac:dyDescent="0.25"/>
  <sheetData>
    <row r="1" spans="1:15" x14ac:dyDescent="0.25">
      <c r="A1" s="22"/>
      <c r="B1" s="22"/>
      <c r="C1" s="22"/>
      <c r="D1" s="31" t="s">
        <v>29</v>
      </c>
      <c r="E1" s="31"/>
      <c r="F1" s="31"/>
      <c r="G1" s="31"/>
      <c r="H1" s="23"/>
      <c r="I1" s="23"/>
      <c r="J1" s="23"/>
      <c r="K1" s="23"/>
      <c r="L1" s="23"/>
      <c r="M1" s="23"/>
    </row>
    <row r="2" spans="1:15" ht="45" x14ac:dyDescent="0.25">
      <c r="A2" s="9" t="s">
        <v>30</v>
      </c>
      <c r="B2" s="9" t="s">
        <v>31</v>
      </c>
      <c r="C2" s="9" t="s">
        <v>32</v>
      </c>
      <c r="D2" s="9" t="s">
        <v>33</v>
      </c>
      <c r="E2" s="9" t="s">
        <v>34</v>
      </c>
      <c r="F2" s="24" t="s">
        <v>35</v>
      </c>
      <c r="G2" s="9" t="s">
        <v>36</v>
      </c>
      <c r="H2" s="25" t="s">
        <v>37</v>
      </c>
      <c r="I2" s="25" t="s">
        <v>38</v>
      </c>
      <c r="J2" s="9" t="s">
        <v>39</v>
      </c>
      <c r="K2" s="9" t="s">
        <v>40</v>
      </c>
      <c r="L2" s="9" t="s">
        <v>41</v>
      </c>
      <c r="M2" s="9" t="s">
        <v>42</v>
      </c>
      <c r="N2" s="9" t="s">
        <v>43</v>
      </c>
    </row>
    <row r="3" spans="1:15" x14ac:dyDescent="0.25">
      <c r="A3" s="22" t="s">
        <v>44</v>
      </c>
      <c r="B3" s="22" t="s">
        <v>44</v>
      </c>
      <c r="C3" s="22" t="s">
        <v>45</v>
      </c>
      <c r="D3" s="22"/>
      <c r="E3" s="22" t="s">
        <v>46</v>
      </c>
      <c r="F3" s="23" t="s">
        <v>47</v>
      </c>
      <c r="G3" s="23">
        <v>1</v>
      </c>
      <c r="H3" s="26">
        <v>5801</v>
      </c>
      <c r="I3" s="26">
        <v>6990</v>
      </c>
      <c r="J3" s="23">
        <v>0.35</v>
      </c>
      <c r="K3" s="23">
        <v>4543.5</v>
      </c>
      <c r="L3" s="23">
        <v>2446.5</v>
      </c>
      <c r="M3" s="23">
        <v>1189</v>
      </c>
      <c r="N3" s="23"/>
    </row>
    <row r="4" spans="1:15" x14ac:dyDescent="0.25">
      <c r="A4" s="22"/>
      <c r="B4" s="22"/>
      <c r="C4" s="22"/>
      <c r="D4" s="22"/>
      <c r="E4" s="22"/>
      <c r="F4" s="23"/>
      <c r="G4" s="23"/>
      <c r="H4" s="23"/>
      <c r="I4" s="23"/>
      <c r="J4" s="23"/>
      <c r="K4" s="23"/>
      <c r="L4" s="23"/>
      <c r="M4" s="23"/>
    </row>
    <row r="5" spans="1:15" x14ac:dyDescent="0.25">
      <c r="A5" s="22"/>
      <c r="B5" s="22"/>
      <c r="C5" s="22"/>
      <c r="D5" s="22"/>
      <c r="E5" s="22"/>
      <c r="F5" s="23"/>
      <c r="G5" s="23"/>
      <c r="H5" s="23"/>
      <c r="I5" s="23"/>
      <c r="J5" s="23"/>
      <c r="K5" s="23"/>
      <c r="L5" s="23"/>
      <c r="M5" s="23"/>
    </row>
    <row r="6" spans="1:15" x14ac:dyDescent="0.25">
      <c r="A6" s="22"/>
      <c r="B6" s="22"/>
      <c r="C6" s="22"/>
      <c r="D6" s="22"/>
      <c r="E6" s="22"/>
      <c r="F6" s="23"/>
      <c r="G6" s="23"/>
      <c r="H6" s="23"/>
      <c r="I6" s="23"/>
      <c r="J6" s="23"/>
      <c r="K6" s="23"/>
      <c r="L6" s="23"/>
      <c r="M6" s="23"/>
    </row>
    <row r="7" spans="1:15" x14ac:dyDescent="0.25">
      <c r="A7" s="22"/>
      <c r="B7" s="22"/>
      <c r="C7" s="22"/>
      <c r="D7" s="27" t="s">
        <v>48</v>
      </c>
      <c r="E7" s="27"/>
      <c r="F7" s="28"/>
      <c r="G7" s="23"/>
      <c r="H7" s="27" t="s">
        <v>49</v>
      </c>
      <c r="I7" s="28"/>
      <c r="J7" s="28"/>
      <c r="K7" s="23"/>
      <c r="L7" s="27" t="s">
        <v>50</v>
      </c>
      <c r="M7" s="27"/>
      <c r="N7" s="28"/>
    </row>
    <row r="8" spans="1:15" x14ac:dyDescent="0.25">
      <c r="A8" s="22"/>
      <c r="B8" s="22"/>
      <c r="C8" s="22"/>
      <c r="D8" s="27"/>
      <c r="E8" s="27"/>
      <c r="F8" s="28"/>
      <c r="G8" s="23"/>
      <c r="H8" s="28"/>
      <c r="I8" s="28"/>
      <c r="J8" s="28"/>
      <c r="K8" s="23"/>
      <c r="L8" s="27"/>
      <c r="M8" s="27"/>
      <c r="N8" s="28"/>
    </row>
    <row r="9" spans="1:15" x14ac:dyDescent="0.25">
      <c r="A9" s="22"/>
      <c r="B9" s="22"/>
      <c r="C9" s="22"/>
      <c r="D9" s="27" t="s">
        <v>51</v>
      </c>
      <c r="E9" s="27" t="s">
        <v>52</v>
      </c>
      <c r="F9" s="28"/>
      <c r="G9" s="23"/>
      <c r="H9" s="27" t="s">
        <v>51</v>
      </c>
      <c r="I9" s="27" t="s">
        <v>52</v>
      </c>
      <c r="J9" s="28"/>
      <c r="K9" s="23"/>
      <c r="L9" s="27" t="s">
        <v>51</v>
      </c>
      <c r="M9" s="27" t="s">
        <v>52</v>
      </c>
      <c r="N9" s="28"/>
    </row>
    <row r="10" spans="1:15" x14ac:dyDescent="0.25">
      <c r="A10" s="22"/>
      <c r="B10" s="22"/>
      <c r="C10" s="22" t="s">
        <v>53</v>
      </c>
      <c r="D10" s="27" t="s">
        <v>54</v>
      </c>
      <c r="E10" s="27" t="s">
        <v>55</v>
      </c>
      <c r="F10" s="28">
        <f t="array" ref="F10">AxTable1[Цена реализации, руб. вкл. НДС]</f>
        <v>5801</v>
      </c>
      <c r="G10" s="23"/>
      <c r="H10" s="27" t="s">
        <v>54</v>
      </c>
      <c r="I10" s="27" t="s">
        <v>55</v>
      </c>
      <c r="J10" s="28">
        <f t="array" ref="J10">AxTable1[Цена реализации, руб. вкл. НДС]</f>
        <v>5801</v>
      </c>
      <c r="K10" s="23"/>
      <c r="L10" s="27" t="s">
        <v>54</v>
      </c>
      <c r="M10" s="27" t="s">
        <v>55</v>
      </c>
      <c r="N10" s="28">
        <f t="array" ref="N10">AxTable1[Цена реализации, руб. вкл. НДС]</f>
        <v>5801</v>
      </c>
    </row>
    <row r="11" spans="1:15" x14ac:dyDescent="0.25">
      <c r="A11" s="22"/>
      <c r="B11" s="22"/>
      <c r="C11" s="22" t="s">
        <v>56</v>
      </c>
      <c r="D11" s="27" t="s">
        <v>55</v>
      </c>
      <c r="E11" s="27" t="s">
        <v>57</v>
      </c>
      <c r="F11" s="28">
        <f t="array" ref="F11">AxTable1[Согласованная цена]*AxTable1[Процент]</f>
        <v>2446.5</v>
      </c>
      <c r="G11" s="29"/>
      <c r="H11" s="27" t="s">
        <v>55</v>
      </c>
      <c r="I11" s="27" t="s">
        <v>57</v>
      </c>
      <c r="J11" s="28">
        <f t="array" ref="J11">AxTable1[Цена реализации, руб. вкл. НДС]*AxTable1[Процент]</f>
        <v>2030.35</v>
      </c>
      <c r="K11" s="23"/>
      <c r="L11" s="27" t="s">
        <v>55</v>
      </c>
      <c r="M11" s="27" t="s">
        <v>57</v>
      </c>
      <c r="N11" s="28">
        <f t="array" ref="N11">AxTable1[Цена реализации, руб. вкл. НДС]*AxTable1[Процент]</f>
        <v>2030.35</v>
      </c>
    </row>
    <row r="12" spans="1:15" x14ac:dyDescent="0.25">
      <c r="A12" s="22"/>
      <c r="B12" s="22"/>
      <c r="C12" s="22" t="s">
        <v>58</v>
      </c>
      <c r="D12" s="27" t="s">
        <v>59</v>
      </c>
      <c r="E12" s="27" t="s">
        <v>55</v>
      </c>
      <c r="F12" s="28">
        <f t="array" ref="F12">-AxTable1[Согласованная цена]+AxTable1[Цена реализации, руб. вкл. НДС]</f>
        <v>-1189</v>
      </c>
      <c r="G12" s="23"/>
      <c r="H12" s="27" t="s">
        <v>55</v>
      </c>
      <c r="I12" s="27" t="s">
        <v>57</v>
      </c>
      <c r="J12" s="28">
        <f t="array" ref="J12">-(AxTable1[Согласованная цена]-AxTable1[Цена реализации, руб. вкл. НДС])*(1-AxTable1[Процент])</f>
        <v>-772.85</v>
      </c>
      <c r="K12" s="23"/>
      <c r="L12" s="27" t="s">
        <v>55</v>
      </c>
      <c r="M12" s="27" t="s">
        <v>57</v>
      </c>
      <c r="N12" s="28">
        <f t="array" ref="N12">-(AxTable1[Согласованная цена]-AxTable1[Цена реализации, руб. вкл. НДС])*(1-AxTable1[Процент])*1.15</f>
        <v>-888.77749999999992</v>
      </c>
    </row>
    <row r="13" spans="1:15" x14ac:dyDescent="0.25">
      <c r="A13" s="22"/>
      <c r="B13" s="22"/>
      <c r="C13" s="22" t="s">
        <v>60</v>
      </c>
      <c r="D13" s="27" t="s">
        <v>61</v>
      </c>
      <c r="E13" s="27" t="s">
        <v>55</v>
      </c>
      <c r="F13" s="28">
        <f>F10-F11-F12</f>
        <v>4543.5</v>
      </c>
      <c r="G13" s="23"/>
      <c r="H13" s="27" t="s">
        <v>61</v>
      </c>
      <c r="I13" s="27" t="s">
        <v>55</v>
      </c>
      <c r="J13" s="28">
        <f>J10-J11-J12</f>
        <v>4543.5</v>
      </c>
      <c r="K13" s="23"/>
      <c r="L13" s="27" t="s">
        <v>61</v>
      </c>
      <c r="M13" s="27" t="s">
        <v>55</v>
      </c>
      <c r="N13" s="30">
        <f>N10-N11-N12</f>
        <v>4659.4274999999998</v>
      </c>
    </row>
    <row r="14" spans="1:15" x14ac:dyDescent="0.25">
      <c r="A14" s="22"/>
      <c r="B14" s="22"/>
      <c r="C14" s="22"/>
      <c r="D14" s="22"/>
      <c r="E14" s="22"/>
      <c r="F14" s="23"/>
      <c r="G14" s="23"/>
      <c r="H14" s="23"/>
      <c r="I14" s="23"/>
      <c r="J14" s="23"/>
      <c r="K14" s="23"/>
      <c r="L14" s="23"/>
      <c r="M14" s="23"/>
    </row>
    <row r="15" spans="1:15" x14ac:dyDescent="0.25">
      <c r="A15" s="31"/>
      <c r="B15" s="31"/>
      <c r="C15" s="31"/>
      <c r="D15" s="31" t="s">
        <v>62</v>
      </c>
      <c r="E15" s="31"/>
      <c r="F15" s="32"/>
      <c r="G15" s="32"/>
      <c r="H15" s="32"/>
      <c r="I15" s="32"/>
      <c r="J15" s="32"/>
      <c r="K15" s="32"/>
      <c r="L15" s="32"/>
      <c r="M15" s="32"/>
      <c r="N15" s="33"/>
      <c r="O15" s="33"/>
    </row>
    <row r="16" spans="1:15" x14ac:dyDescent="0.25">
      <c r="A16" s="22"/>
      <c r="B16" s="22"/>
      <c r="C16" s="22"/>
      <c r="D16" s="22"/>
      <c r="E16" s="22"/>
      <c r="F16" s="23"/>
      <c r="G16" s="23"/>
      <c r="H16" s="23"/>
      <c r="I16" s="23"/>
      <c r="J16" s="23"/>
      <c r="K16" s="23"/>
      <c r="L16" s="23"/>
      <c r="M16" s="23"/>
    </row>
    <row r="17" spans="1:19" x14ac:dyDescent="0.25">
      <c r="A17" t="s">
        <v>30</v>
      </c>
      <c r="B17" t="s">
        <v>31</v>
      </c>
      <c r="C17" t="s">
        <v>32</v>
      </c>
      <c r="D17" t="s">
        <v>33</v>
      </c>
      <c r="E17" t="s">
        <v>34</v>
      </c>
      <c r="F17" s="34" t="s">
        <v>35</v>
      </c>
      <c r="G17" t="s">
        <v>36</v>
      </c>
      <c r="H17" t="s">
        <v>63</v>
      </c>
      <c r="I17" t="s">
        <v>38</v>
      </c>
      <c r="J17" t="s">
        <v>39</v>
      </c>
      <c r="K17" t="s">
        <v>40</v>
      </c>
      <c r="L17" t="s">
        <v>41</v>
      </c>
      <c r="M17" t="s">
        <v>42</v>
      </c>
      <c r="N17" s="35" t="s">
        <v>64</v>
      </c>
      <c r="O17" s="35" t="s">
        <v>65</v>
      </c>
    </row>
    <row r="18" spans="1:19" x14ac:dyDescent="0.25">
      <c r="A18" s="22" t="s">
        <v>44</v>
      </c>
      <c r="B18" s="22" t="s">
        <v>44</v>
      </c>
      <c r="C18" s="22" t="s">
        <v>45</v>
      </c>
      <c r="D18" s="22"/>
      <c r="E18" s="22" t="s">
        <v>46</v>
      </c>
      <c r="F18" s="23" t="s">
        <v>47</v>
      </c>
      <c r="G18" s="23">
        <v>1</v>
      </c>
      <c r="H18" s="23">
        <v>5801</v>
      </c>
      <c r="I18" s="23">
        <v>6990</v>
      </c>
      <c r="J18" s="23">
        <v>0.35</v>
      </c>
      <c r="K18" s="23">
        <f>AxTable13[[#This Row],[Чистая сумма]]-AxTable13[[#This Row],[Сумма комиссии]]+AxTable13[[#This Row],[Скидка по комиссии]]</f>
        <v>4543.5</v>
      </c>
      <c r="L18" s="23">
        <f>AxTable13[[#This Row],[Чистая сумма]]*AxTable13[[#This Row],[Процент]]</f>
        <v>2030.35</v>
      </c>
      <c r="M18">
        <v>0</v>
      </c>
      <c r="N18">
        <f>(AxTable13[[#This Row],[Согласованная цена]]-AxTable13[[#This Row],[Чистая сумма]])*(1-AxTable13[[#This Row],[Процент]])</f>
        <v>772.85</v>
      </c>
      <c r="O18" s="36">
        <v>0.2</v>
      </c>
    </row>
    <row r="19" spans="1:19" x14ac:dyDescent="0.25">
      <c r="A19" s="22"/>
      <c r="B19" s="22"/>
      <c r="C19" s="22"/>
      <c r="D19" s="22"/>
      <c r="E19" s="22"/>
      <c r="F19" s="23"/>
      <c r="G19" s="23"/>
      <c r="H19" s="23"/>
      <c r="I19" s="23"/>
      <c r="J19" s="23"/>
      <c r="K19" s="23"/>
      <c r="L19" s="23"/>
      <c r="M19" s="23"/>
    </row>
    <row r="20" spans="1:19" x14ac:dyDescent="0.25">
      <c r="A20" s="31" t="s">
        <v>66</v>
      </c>
      <c r="B20" s="31"/>
      <c r="C20" s="31"/>
      <c r="D20" s="31"/>
      <c r="E20" s="31"/>
      <c r="F20" s="32"/>
      <c r="G20" s="32"/>
      <c r="H20" s="32"/>
      <c r="I20" s="32"/>
      <c r="J20" s="32"/>
      <c r="K20" s="32"/>
      <c r="L20" s="32"/>
      <c r="M20" s="32"/>
      <c r="N20" s="33"/>
      <c r="O20" s="33"/>
      <c r="P20" s="33"/>
      <c r="Q20" s="33"/>
      <c r="R20" s="33"/>
      <c r="S20" s="33"/>
    </row>
    <row r="21" spans="1:19" x14ac:dyDescent="0.25">
      <c r="A21" s="22"/>
      <c r="B21" s="22"/>
      <c r="C21" s="22"/>
      <c r="D21" s="22"/>
      <c r="E21" s="22"/>
      <c r="F21" s="23"/>
      <c r="G21" s="23"/>
      <c r="H21" s="23"/>
      <c r="I21" s="23"/>
      <c r="J21" s="23"/>
      <c r="K21" s="23"/>
      <c r="L21" s="23"/>
      <c r="M21" s="23"/>
    </row>
    <row r="22" spans="1:19" x14ac:dyDescent="0.25">
      <c r="A22" s="3" t="s">
        <v>67</v>
      </c>
    </row>
    <row r="23" spans="1:19" x14ac:dyDescent="0.25">
      <c r="A23" t="s">
        <v>68</v>
      </c>
      <c r="B23" t="s">
        <v>69</v>
      </c>
    </row>
    <row r="24" spans="1:19" x14ac:dyDescent="0.25">
      <c r="A24" s="37" t="s">
        <v>70</v>
      </c>
      <c r="B24" t="s">
        <v>71</v>
      </c>
    </row>
    <row r="25" spans="1:19" x14ac:dyDescent="0.25">
      <c r="A25" t="s">
        <v>72</v>
      </c>
    </row>
    <row r="26" spans="1:19" x14ac:dyDescent="0.25">
      <c r="A26" t="s">
        <v>73</v>
      </c>
    </row>
    <row r="28" spans="1:19" ht="105" x14ac:dyDescent="0.25">
      <c r="A28" s="38" t="s">
        <v>74</v>
      </c>
      <c r="B28" s="38" t="s">
        <v>75</v>
      </c>
      <c r="C28" s="38" t="s">
        <v>76</v>
      </c>
      <c r="D28" s="38" t="s">
        <v>77</v>
      </c>
      <c r="E28" s="38" t="s">
        <v>78</v>
      </c>
      <c r="F28" s="38" t="s">
        <v>79</v>
      </c>
      <c r="G28" s="38" t="s">
        <v>80</v>
      </c>
      <c r="H28" s="38" t="s">
        <v>36</v>
      </c>
      <c r="I28" s="38" t="s">
        <v>37</v>
      </c>
      <c r="J28" s="38" t="s">
        <v>81</v>
      </c>
      <c r="K28" s="38" t="s">
        <v>82</v>
      </c>
      <c r="L28" s="38" t="s">
        <v>83</v>
      </c>
      <c r="M28" s="38" t="s">
        <v>84</v>
      </c>
      <c r="N28" s="38" t="s">
        <v>85</v>
      </c>
      <c r="O28" s="39" t="s">
        <v>86</v>
      </c>
      <c r="P28" s="38" t="s">
        <v>87</v>
      </c>
      <c r="Q28" s="38" t="s">
        <v>88</v>
      </c>
      <c r="R28" s="38" t="s">
        <v>89</v>
      </c>
    </row>
    <row r="29" spans="1:19" ht="45" x14ac:dyDescent="0.25">
      <c r="A29" s="40" t="s">
        <v>90</v>
      </c>
      <c r="B29" s="38" t="s">
        <v>91</v>
      </c>
      <c r="C29" s="38" t="s">
        <v>91</v>
      </c>
      <c r="D29" s="38" t="s">
        <v>91</v>
      </c>
      <c r="E29" s="38" t="s">
        <v>91</v>
      </c>
      <c r="F29" s="38" t="s">
        <v>91</v>
      </c>
      <c r="G29" s="38" t="s">
        <v>91</v>
      </c>
      <c r="H29" s="38" t="s">
        <v>91</v>
      </c>
      <c r="I29" s="41">
        <f>SUM(I30:I31)</f>
        <v>11602</v>
      </c>
      <c r="J29" s="41">
        <f>SUM(J30:J31)</f>
        <v>13980</v>
      </c>
      <c r="K29" s="41">
        <f>SUM(K30:K31)</f>
        <v>9202.9274999999998</v>
      </c>
      <c r="L29" s="41" t="s">
        <v>91</v>
      </c>
      <c r="M29" s="41">
        <f>SUM(M30:M31)</f>
        <v>4060.7</v>
      </c>
      <c r="N29" s="41">
        <f>SUM(N30:N31)</f>
        <v>0</v>
      </c>
      <c r="O29" s="38"/>
      <c r="P29" s="38"/>
      <c r="Q29" s="38"/>
      <c r="R29" s="38"/>
      <c r="S29" s="9"/>
    </row>
    <row r="30" spans="1:19" x14ac:dyDescent="0.25">
      <c r="A30" s="42" t="s">
        <v>92</v>
      </c>
      <c r="B30" s="42" t="s">
        <v>93</v>
      </c>
      <c r="C30" s="42" t="s">
        <v>94</v>
      </c>
      <c r="D30" s="42" t="s">
        <v>95</v>
      </c>
      <c r="E30" s="42" t="s">
        <v>96</v>
      </c>
      <c r="F30" s="42" t="s">
        <v>46</v>
      </c>
      <c r="G30" s="42" t="s">
        <v>97</v>
      </c>
      <c r="H30" s="42">
        <v>1</v>
      </c>
      <c r="I30" s="43">
        <f t="array" ref="I30">[1]!AxTable13[Чистая сумма]</f>
        <v>5801</v>
      </c>
      <c r="J30" s="43">
        <f t="array" ref="J30">[1]!AxTable13[Согласованная цена]</f>
        <v>6990</v>
      </c>
      <c r="K30" s="43">
        <f t="array" ref="K30">[1]!AxTable13[Сумма к перечислению]</f>
        <v>4543.5</v>
      </c>
      <c r="L30" s="42">
        <v>35</v>
      </c>
      <c r="M30" s="42">
        <f>I30*L30/100</f>
        <v>2030.35</v>
      </c>
      <c r="N30" s="42">
        <v>0</v>
      </c>
      <c r="O30" s="44">
        <v>20</v>
      </c>
      <c r="P30" s="42" t="s">
        <v>98</v>
      </c>
      <c r="Q30" s="42" t="s">
        <v>99</v>
      </c>
      <c r="R30" s="42" t="s">
        <v>99</v>
      </c>
    </row>
    <row r="31" spans="1:19" x14ac:dyDescent="0.25">
      <c r="A31" s="42" t="s">
        <v>92</v>
      </c>
      <c r="B31" s="42" t="s">
        <v>93</v>
      </c>
      <c r="C31" s="42" t="s">
        <v>94</v>
      </c>
      <c r="D31" s="42" t="s">
        <v>95</v>
      </c>
      <c r="E31" s="42" t="s">
        <v>96</v>
      </c>
      <c r="F31" s="42" t="s">
        <v>100</v>
      </c>
      <c r="G31" s="42" t="s">
        <v>97</v>
      </c>
      <c r="H31" s="42">
        <v>1</v>
      </c>
      <c r="I31" s="43">
        <f t="array" ref="I31">[1]!AxTable13[Чистая сумма]</f>
        <v>5801</v>
      </c>
      <c r="J31" s="43">
        <f t="array" ref="J31">[1]!AxTable134[Согласованная цена]</f>
        <v>6990</v>
      </c>
      <c r="K31" s="43">
        <f t="array" ref="K31">[1]!AxTable134[Сумма к перечислению]</f>
        <v>4659.4274999999998</v>
      </c>
      <c r="L31" s="42">
        <v>35</v>
      </c>
      <c r="M31" s="42">
        <f>I31*L31/100</f>
        <v>2030.35</v>
      </c>
      <c r="N31" s="42">
        <v>0</v>
      </c>
      <c r="O31" s="44">
        <v>10</v>
      </c>
      <c r="P31" s="42" t="s">
        <v>98</v>
      </c>
      <c r="Q31" s="42" t="s">
        <v>99</v>
      </c>
      <c r="R31" s="42" t="s">
        <v>99</v>
      </c>
    </row>
    <row r="32" spans="1:19" x14ac:dyDescent="0.25">
      <c r="A32" s="22"/>
      <c r="B32" s="22"/>
      <c r="C32" s="22"/>
      <c r="D32" s="22"/>
      <c r="E32" s="22"/>
      <c r="F32" s="23"/>
      <c r="G32" s="23"/>
      <c r="H32" s="23"/>
      <c r="I32" s="23"/>
      <c r="J32" s="23"/>
      <c r="K32" s="23"/>
      <c r="L32" s="23"/>
      <c r="M32" s="23"/>
    </row>
    <row r="33" spans="1:19" ht="75" x14ac:dyDescent="0.25">
      <c r="A33" s="38" t="s">
        <v>101</v>
      </c>
      <c r="B33" s="28">
        <f>M29</f>
        <v>4060.7</v>
      </c>
      <c r="C33" s="22"/>
      <c r="D33" s="22"/>
      <c r="E33" s="22"/>
      <c r="F33" s="23"/>
      <c r="G33" s="23"/>
      <c r="H33" s="23"/>
      <c r="I33" s="23"/>
      <c r="J33" s="23"/>
      <c r="K33" s="23"/>
      <c r="L33" s="23"/>
      <c r="M33" s="23"/>
    </row>
    <row r="34" spans="1:19" ht="75" x14ac:dyDescent="0.25">
      <c r="A34" s="40" t="s">
        <v>102</v>
      </c>
      <c r="B34" s="28">
        <f t="array" ref="B34">[1]!AxTable13[Скидка по комиссии]+[1]!AxTable134[Скидка по комиссии]</f>
        <v>1661.6275000000001</v>
      </c>
      <c r="C34" s="22"/>
      <c r="D34" s="22"/>
      <c r="E34" s="22"/>
      <c r="F34" s="23"/>
      <c r="G34" s="23"/>
      <c r="H34" s="23"/>
      <c r="I34" s="23"/>
      <c r="J34" s="23"/>
      <c r="K34" s="23"/>
      <c r="L34" s="23"/>
      <c r="M34" s="23"/>
    </row>
    <row r="35" spans="1:19" ht="75" x14ac:dyDescent="0.25">
      <c r="A35" s="40" t="s">
        <v>103</v>
      </c>
      <c r="B35" s="28">
        <f>B33-B34</f>
        <v>2399.0724999999998</v>
      </c>
      <c r="C35" s="22"/>
      <c r="D35" s="22"/>
      <c r="E35" s="22"/>
      <c r="F35" s="23"/>
      <c r="G35" s="23"/>
      <c r="H35" s="23"/>
      <c r="I35" s="23"/>
      <c r="J35" s="23"/>
      <c r="K35" s="23"/>
      <c r="L35" s="23"/>
      <c r="M35" s="23"/>
    </row>
    <row r="36" spans="1:19" x14ac:dyDescent="0.25">
      <c r="A36" s="22"/>
      <c r="B36" s="22"/>
      <c r="C36" s="22"/>
      <c r="D36" s="22"/>
      <c r="E36" s="22"/>
      <c r="F36" s="23"/>
      <c r="G36" s="23"/>
      <c r="H36" s="23"/>
      <c r="I36" s="23"/>
      <c r="J36" s="23"/>
      <c r="K36" s="23"/>
      <c r="L36" s="23"/>
      <c r="M36" s="23"/>
    </row>
    <row r="37" spans="1:19" x14ac:dyDescent="0.25">
      <c r="A37" s="22"/>
      <c r="B37" s="22"/>
      <c r="C37" s="22"/>
      <c r="D37" s="22"/>
      <c r="E37" s="22"/>
      <c r="F37" s="23"/>
      <c r="G37" s="23"/>
      <c r="H37" s="23"/>
      <c r="I37" s="23"/>
      <c r="J37" s="23"/>
      <c r="K37" s="23"/>
      <c r="L37" s="23"/>
      <c r="M37" s="23"/>
    </row>
    <row r="38" spans="1:19" x14ac:dyDescent="0.25">
      <c r="A38" s="22"/>
      <c r="B38" s="22"/>
      <c r="C38" s="22"/>
      <c r="D38" s="22"/>
      <c r="E38" s="22"/>
      <c r="F38" s="23"/>
      <c r="G38" s="23"/>
      <c r="H38" s="23"/>
      <c r="I38" s="23"/>
      <c r="J38" s="23"/>
      <c r="K38" s="23"/>
      <c r="L38" s="23"/>
      <c r="M38" s="23"/>
    </row>
    <row r="39" spans="1:19" x14ac:dyDescent="0.25">
      <c r="A39" s="22"/>
      <c r="B39" s="22"/>
      <c r="C39" s="22"/>
      <c r="D39" s="22"/>
      <c r="E39" s="22"/>
      <c r="F39" s="23"/>
      <c r="G39" s="23"/>
      <c r="H39" s="23"/>
      <c r="I39" s="23"/>
      <c r="J39" s="23"/>
      <c r="K39" s="23"/>
      <c r="L39" s="23"/>
      <c r="M39" s="23"/>
    </row>
    <row r="40" spans="1:19" x14ac:dyDescent="0.25">
      <c r="A40" s="31" t="s">
        <v>104</v>
      </c>
      <c r="B40" s="31"/>
      <c r="C40" s="31"/>
      <c r="D40" s="31"/>
      <c r="E40" s="31"/>
      <c r="F40" s="32"/>
      <c r="G40" s="32"/>
      <c r="H40" s="32"/>
      <c r="I40" s="32"/>
      <c r="J40" s="32"/>
      <c r="K40" s="32"/>
      <c r="L40" s="32"/>
      <c r="M40" s="32"/>
      <c r="N40" s="33"/>
      <c r="O40" s="33"/>
      <c r="P40" s="33"/>
      <c r="Q40" s="33"/>
      <c r="R40" s="33"/>
      <c r="S40" s="33"/>
    </row>
    <row r="41" spans="1:19" ht="15.75" thickBot="1" x14ac:dyDescent="0.3"/>
    <row r="42" spans="1:19" ht="15.75" x14ac:dyDescent="0.25">
      <c r="A42" s="45" t="s">
        <v>105</v>
      </c>
      <c r="B42" s="88" t="s">
        <v>106</v>
      </c>
      <c r="C42" s="89"/>
      <c r="D42" s="46">
        <v>-1</v>
      </c>
      <c r="E42" s="47"/>
      <c r="F42" s="47"/>
      <c r="G42" s="47"/>
      <c r="H42" s="47"/>
      <c r="I42" s="47"/>
      <c r="J42" s="47"/>
      <c r="K42" s="47"/>
      <c r="L42" s="47"/>
      <c r="M42" s="47"/>
      <c r="N42" s="48"/>
    </row>
    <row r="43" spans="1:19" x14ac:dyDescent="0.25">
      <c r="A43" s="49" t="s">
        <v>107</v>
      </c>
      <c r="B43" s="90" t="s">
        <v>108</v>
      </c>
      <c r="C43" s="91"/>
      <c r="D43" s="50" t="s">
        <v>109</v>
      </c>
      <c r="N43" s="51"/>
    </row>
    <row r="44" spans="1:19" ht="90" x14ac:dyDescent="0.25">
      <c r="A44" s="49" t="s">
        <v>110</v>
      </c>
      <c r="B44" s="52" t="s">
        <v>111</v>
      </c>
      <c r="C44" s="53" t="s">
        <v>112</v>
      </c>
      <c r="D44" s="50">
        <v>-2</v>
      </c>
      <c r="N44" s="51"/>
    </row>
    <row r="45" spans="1:19" ht="60" x14ac:dyDescent="0.25">
      <c r="A45" s="54"/>
      <c r="B45" s="52" t="s">
        <v>113</v>
      </c>
      <c r="C45" s="53" t="s">
        <v>114</v>
      </c>
      <c r="D45" s="50" t="s">
        <v>115</v>
      </c>
      <c r="N45" s="51"/>
    </row>
    <row r="46" spans="1:19" ht="30" x14ac:dyDescent="0.25">
      <c r="A46" s="54"/>
      <c r="B46" s="52" t="s">
        <v>116</v>
      </c>
      <c r="C46" s="53" t="s">
        <v>117</v>
      </c>
      <c r="D46" s="50" t="s">
        <v>118</v>
      </c>
      <c r="N46" s="51"/>
    </row>
    <row r="47" spans="1:19" ht="120" x14ac:dyDescent="0.25">
      <c r="A47" s="54"/>
      <c r="B47" s="52" t="s">
        <v>119</v>
      </c>
      <c r="C47" s="53" t="s">
        <v>120</v>
      </c>
      <c r="D47" s="50"/>
      <c r="N47" s="51"/>
    </row>
    <row r="48" spans="1:19" ht="30" x14ac:dyDescent="0.25">
      <c r="A48" s="54"/>
      <c r="B48" s="52" t="s">
        <v>121</v>
      </c>
      <c r="C48" s="53" t="s">
        <v>122</v>
      </c>
      <c r="D48" s="50"/>
      <c r="N48" s="51"/>
    </row>
    <row r="49" spans="1:16" ht="45" x14ac:dyDescent="0.25">
      <c r="A49" s="54"/>
      <c r="B49" s="52" t="s">
        <v>123</v>
      </c>
      <c r="C49" s="53" t="s">
        <v>124</v>
      </c>
      <c r="D49" s="50">
        <v>-3</v>
      </c>
      <c r="N49" s="51"/>
    </row>
    <row r="50" spans="1:16" ht="45" x14ac:dyDescent="0.25">
      <c r="A50" s="54"/>
      <c r="B50" s="52" t="s">
        <v>125</v>
      </c>
      <c r="C50" s="53" t="s">
        <v>124</v>
      </c>
      <c r="D50" s="50">
        <v>-4</v>
      </c>
      <c r="N50" s="51"/>
    </row>
    <row r="51" spans="1:16" ht="45" x14ac:dyDescent="0.25">
      <c r="A51" s="54"/>
      <c r="B51" s="52" t="s">
        <v>126</v>
      </c>
      <c r="C51" s="53" t="s">
        <v>124</v>
      </c>
      <c r="D51" s="50">
        <v>-5</v>
      </c>
      <c r="N51" s="51"/>
    </row>
    <row r="52" spans="1:16" ht="60" x14ac:dyDescent="0.25">
      <c r="A52" s="54"/>
      <c r="B52" s="52" t="s">
        <v>127</v>
      </c>
      <c r="C52" s="50" t="s">
        <v>128</v>
      </c>
      <c r="D52" s="50" t="s">
        <v>129</v>
      </c>
      <c r="N52" s="51"/>
    </row>
    <row r="53" spans="1:16" x14ac:dyDescent="0.25">
      <c r="A53" s="54"/>
      <c r="B53" s="52" t="s">
        <v>130</v>
      </c>
      <c r="C53" s="53" t="s">
        <v>131</v>
      </c>
      <c r="D53" s="50">
        <v>-6</v>
      </c>
      <c r="N53" s="51"/>
    </row>
    <row r="54" spans="1:16" ht="105" x14ac:dyDescent="0.25">
      <c r="A54" s="54"/>
      <c r="B54" s="52" t="s">
        <v>113</v>
      </c>
      <c r="C54" s="53" t="s">
        <v>132</v>
      </c>
      <c r="D54" s="50" t="s">
        <v>133</v>
      </c>
      <c r="N54" s="51"/>
    </row>
    <row r="55" spans="1:16" ht="30" x14ac:dyDescent="0.25">
      <c r="A55" s="54"/>
      <c r="B55" s="52" t="s">
        <v>116</v>
      </c>
      <c r="C55" s="53" t="s">
        <v>134</v>
      </c>
      <c r="D55" s="50" t="s">
        <v>135</v>
      </c>
      <c r="N55" s="51"/>
    </row>
    <row r="56" spans="1:16" ht="45" x14ac:dyDescent="0.25">
      <c r="A56" s="54"/>
      <c r="B56" s="52" t="s">
        <v>136</v>
      </c>
      <c r="C56" s="53" t="s">
        <v>137</v>
      </c>
      <c r="D56" s="50">
        <v>-7</v>
      </c>
      <c r="N56" s="51"/>
    </row>
    <row r="57" spans="1:16" ht="135.75" thickBot="1" x14ac:dyDescent="0.3">
      <c r="A57" s="55"/>
      <c r="B57" s="56" t="s">
        <v>138</v>
      </c>
      <c r="C57" s="57"/>
      <c r="D57" s="58">
        <v>-8</v>
      </c>
      <c r="E57" s="59"/>
      <c r="F57" s="59"/>
      <c r="G57" s="59"/>
      <c r="H57" s="59"/>
      <c r="I57" s="59"/>
      <c r="J57" s="59"/>
      <c r="K57" s="59"/>
      <c r="L57" s="59"/>
      <c r="M57" s="59"/>
      <c r="N57" s="60"/>
    </row>
    <row r="58" spans="1:16" ht="22.5" x14ac:dyDescent="0.25">
      <c r="A58" s="61" t="s">
        <v>139</v>
      </c>
      <c r="B58" s="79" t="s">
        <v>140</v>
      </c>
      <c r="C58" s="61" t="s">
        <v>141</v>
      </c>
      <c r="D58" s="61" t="s">
        <v>139</v>
      </c>
      <c r="E58" s="82" t="s">
        <v>142</v>
      </c>
      <c r="F58" s="83"/>
      <c r="G58" s="79" t="s">
        <v>143</v>
      </c>
      <c r="H58" s="79" t="s">
        <v>144</v>
      </c>
      <c r="I58" s="61" t="s">
        <v>145</v>
      </c>
      <c r="J58" s="79" t="s">
        <v>146</v>
      </c>
      <c r="K58" s="79" t="s">
        <v>147</v>
      </c>
      <c r="L58" s="61" t="s">
        <v>148</v>
      </c>
      <c r="M58" s="61" t="s">
        <v>145</v>
      </c>
      <c r="N58" s="82" t="s">
        <v>149</v>
      </c>
      <c r="O58" s="83"/>
      <c r="P58" s="79" t="s">
        <v>150</v>
      </c>
    </row>
    <row r="59" spans="1:16" ht="22.5" x14ac:dyDescent="0.25">
      <c r="A59" s="62" t="s">
        <v>151</v>
      </c>
      <c r="B59" s="80"/>
      <c r="C59" s="62" t="s">
        <v>152</v>
      </c>
      <c r="D59" s="62" t="s">
        <v>153</v>
      </c>
      <c r="E59" s="84" t="s">
        <v>154</v>
      </c>
      <c r="F59" s="85"/>
      <c r="G59" s="80"/>
      <c r="H59" s="80"/>
      <c r="I59" s="62" t="s">
        <v>155</v>
      </c>
      <c r="J59" s="80"/>
      <c r="K59" s="80"/>
      <c r="L59" s="62" t="s">
        <v>156</v>
      </c>
      <c r="M59" s="62" t="s">
        <v>155</v>
      </c>
      <c r="N59" s="84"/>
      <c r="O59" s="85"/>
      <c r="P59" s="80"/>
    </row>
    <row r="60" spans="1:16" ht="45.75" thickBot="1" x14ac:dyDescent="0.3">
      <c r="A60" s="62" t="s">
        <v>157</v>
      </c>
      <c r="B60" s="80"/>
      <c r="C60" s="62" t="s">
        <v>158</v>
      </c>
      <c r="D60" s="62" t="s">
        <v>159</v>
      </c>
      <c r="E60" s="86"/>
      <c r="F60" s="87"/>
      <c r="G60" s="80"/>
      <c r="H60" s="80"/>
      <c r="I60" s="62" t="s">
        <v>160</v>
      </c>
      <c r="J60" s="80"/>
      <c r="K60" s="80"/>
      <c r="L60" s="62"/>
      <c r="M60" s="62" t="s">
        <v>161</v>
      </c>
      <c r="N60" s="86"/>
      <c r="O60" s="87"/>
      <c r="P60" s="80"/>
    </row>
    <row r="61" spans="1:16" ht="34.5" thickBot="1" x14ac:dyDescent="0.3">
      <c r="A61" s="63" t="s">
        <v>162</v>
      </c>
      <c r="B61" s="81"/>
      <c r="C61" s="63" t="s">
        <v>163</v>
      </c>
      <c r="D61" s="63"/>
      <c r="E61" s="64" t="s">
        <v>139</v>
      </c>
      <c r="F61" s="64" t="s">
        <v>164</v>
      </c>
      <c r="G61" s="81"/>
      <c r="H61" s="81"/>
      <c r="I61" s="63"/>
      <c r="J61" s="81"/>
      <c r="K61" s="81"/>
      <c r="L61" s="63"/>
      <c r="M61" s="63"/>
      <c r="N61" s="64" t="s">
        <v>165</v>
      </c>
      <c r="O61" s="64" t="s">
        <v>166</v>
      </c>
      <c r="P61" s="81"/>
    </row>
    <row r="62" spans="1:16" ht="15.75" thickBot="1" x14ac:dyDescent="0.3">
      <c r="A62" s="64" t="s">
        <v>167</v>
      </c>
      <c r="B62" s="64">
        <v>1</v>
      </c>
      <c r="C62" s="64" t="s">
        <v>168</v>
      </c>
      <c r="D62" s="64" t="s">
        <v>169</v>
      </c>
      <c r="E62" s="64">
        <v>2</v>
      </c>
      <c r="F62" s="64" t="s">
        <v>170</v>
      </c>
      <c r="G62" s="64">
        <v>3</v>
      </c>
      <c r="H62" s="64">
        <v>4</v>
      </c>
      <c r="I62" s="64">
        <v>5</v>
      </c>
      <c r="J62" s="64">
        <v>6</v>
      </c>
      <c r="K62" s="64">
        <v>7</v>
      </c>
      <c r="L62" s="64">
        <v>8</v>
      </c>
      <c r="M62" s="64">
        <v>9</v>
      </c>
      <c r="N62" s="64">
        <v>10</v>
      </c>
      <c r="O62" s="64" t="s">
        <v>171</v>
      </c>
      <c r="P62" s="64">
        <v>11</v>
      </c>
    </row>
    <row r="63" spans="1:16" ht="79.5" thickBot="1" x14ac:dyDescent="0.3">
      <c r="A63" s="65" t="s">
        <v>172</v>
      </c>
      <c r="B63" s="66">
        <v>1</v>
      </c>
      <c r="C63" s="67" t="s">
        <v>173</v>
      </c>
      <c r="D63" s="65" t="s">
        <v>124</v>
      </c>
      <c r="E63" s="65">
        <v>796</v>
      </c>
      <c r="F63" s="66" t="s">
        <v>174</v>
      </c>
      <c r="G63" s="68">
        <v>1</v>
      </c>
      <c r="H63" s="69">
        <f>I63</f>
        <v>1999.2270833333332</v>
      </c>
      <c r="I63" s="69">
        <f>M63-L63</f>
        <v>1999.2270833333332</v>
      </c>
      <c r="J63" s="68" t="s">
        <v>175</v>
      </c>
      <c r="K63" s="70">
        <v>0.2</v>
      </c>
      <c r="L63" s="69">
        <f>M63/1.2*0.2</f>
        <v>399.84541666666667</v>
      </c>
      <c r="M63" s="69">
        <f>B35</f>
        <v>2399.0724999999998</v>
      </c>
      <c r="N63" s="65" t="s">
        <v>124</v>
      </c>
      <c r="O63" s="66" t="s">
        <v>124</v>
      </c>
      <c r="P63" s="66" t="s">
        <v>124</v>
      </c>
    </row>
    <row r="64" spans="1:16" ht="15.75" thickBot="1" x14ac:dyDescent="0.3">
      <c r="A64" s="71"/>
      <c r="B64" s="76" t="s">
        <v>176</v>
      </c>
      <c r="C64" s="77"/>
      <c r="D64" s="77"/>
      <c r="E64" s="77"/>
      <c r="F64" s="77"/>
      <c r="G64" s="77"/>
      <c r="H64" s="78"/>
      <c r="I64" s="72">
        <f>SUM(I63)</f>
        <v>1999.2270833333332</v>
      </c>
      <c r="J64" s="73" t="s">
        <v>177</v>
      </c>
      <c r="K64" s="73" t="s">
        <v>177</v>
      </c>
      <c r="L64" s="72">
        <f>SUM(L63)</f>
        <v>399.84541666666667</v>
      </c>
      <c r="M64" s="72">
        <f>SUM(M63)</f>
        <v>2399.0724999999998</v>
      </c>
    </row>
    <row r="65" spans="1:13" x14ac:dyDescent="0.25">
      <c r="A65" s="22"/>
      <c r="B65" s="22"/>
      <c r="C65" s="22"/>
      <c r="D65" s="22"/>
      <c r="E65" s="22"/>
      <c r="F65" s="23"/>
      <c r="G65" s="23"/>
      <c r="H65" s="23"/>
      <c r="I65" s="23"/>
      <c r="J65" s="23"/>
      <c r="K65" s="23"/>
      <c r="L65" s="23"/>
      <c r="M65" s="23"/>
    </row>
    <row r="66" spans="1:13" x14ac:dyDescent="0.25">
      <c r="A66" s="22"/>
      <c r="B66" s="22"/>
      <c r="C66" s="22"/>
      <c r="D66" s="22"/>
      <c r="E66" s="22"/>
      <c r="F66" s="23"/>
      <c r="G66" s="23"/>
      <c r="H66" s="23"/>
      <c r="I66" s="23"/>
      <c r="J66" s="23"/>
      <c r="K66" s="23"/>
      <c r="L66" s="23"/>
      <c r="M66" s="23"/>
    </row>
    <row r="67" spans="1:13" x14ac:dyDescent="0.25">
      <c r="A67" s="22"/>
      <c r="B67" s="22"/>
      <c r="C67" s="22"/>
      <c r="D67" s="22"/>
      <c r="E67" s="22"/>
      <c r="F67" s="23"/>
      <c r="G67" s="23"/>
      <c r="H67" s="23"/>
      <c r="I67" s="23"/>
      <c r="J67" s="23"/>
      <c r="K67" s="23"/>
      <c r="L67" s="23"/>
      <c r="M67" s="23"/>
    </row>
    <row r="68" spans="1:13" x14ac:dyDescent="0.25">
      <c r="A68" s="22"/>
      <c r="B68" s="22"/>
      <c r="C68" s="22"/>
      <c r="D68" s="22"/>
      <c r="E68" s="22"/>
      <c r="F68" s="23"/>
      <c r="G68" s="23"/>
      <c r="H68" s="23"/>
      <c r="I68" s="23"/>
      <c r="J68" s="23"/>
      <c r="K68" s="23"/>
      <c r="L68" s="23"/>
      <c r="M68" s="23"/>
    </row>
    <row r="69" spans="1:13" x14ac:dyDescent="0.25">
      <c r="A69" s="22"/>
      <c r="B69" s="22"/>
      <c r="C69" s="22"/>
      <c r="D69" s="22"/>
      <c r="E69" s="22"/>
      <c r="F69" s="23"/>
      <c r="G69" s="23"/>
      <c r="H69" s="23"/>
      <c r="I69" s="23"/>
      <c r="J69" s="23"/>
      <c r="K69" s="23"/>
      <c r="L69" s="23"/>
      <c r="M69" s="23"/>
    </row>
    <row r="70" spans="1:13" x14ac:dyDescent="0.25">
      <c r="A70" s="22"/>
      <c r="B70" s="22"/>
      <c r="C70" s="22"/>
      <c r="D70" s="22"/>
      <c r="E70" s="22"/>
      <c r="F70" s="23"/>
      <c r="G70" s="23"/>
      <c r="H70" s="23"/>
      <c r="I70" s="23"/>
      <c r="J70" s="23"/>
      <c r="K70" s="23"/>
      <c r="L70" s="23"/>
      <c r="M70" s="23"/>
    </row>
    <row r="71" spans="1:13" x14ac:dyDescent="0.25">
      <c r="A71" s="22"/>
      <c r="B71" s="22"/>
      <c r="C71" s="22"/>
      <c r="D71" s="22"/>
      <c r="E71" s="22"/>
      <c r="F71" s="23"/>
      <c r="G71" s="23"/>
      <c r="H71" s="23"/>
      <c r="I71" s="23"/>
      <c r="J71" s="23"/>
      <c r="K71" s="23"/>
      <c r="L71" s="23"/>
      <c r="M71" s="23"/>
    </row>
    <row r="72" spans="1:13" x14ac:dyDescent="0.25">
      <c r="A72" s="22"/>
      <c r="B72" s="22"/>
      <c r="C72" s="22"/>
      <c r="D72" s="22"/>
      <c r="E72" s="22"/>
      <c r="F72" s="23"/>
      <c r="G72" s="23"/>
      <c r="H72" s="23"/>
      <c r="I72" s="23"/>
      <c r="J72" s="23"/>
      <c r="K72" s="23"/>
      <c r="L72" s="23"/>
      <c r="M72" s="23"/>
    </row>
    <row r="73" spans="1:13" x14ac:dyDescent="0.25">
      <c r="A73" s="22"/>
      <c r="B73" s="22"/>
      <c r="C73" s="22"/>
      <c r="D73" s="22"/>
      <c r="E73" s="22"/>
      <c r="F73" s="23"/>
      <c r="G73" s="23"/>
      <c r="H73" s="23"/>
      <c r="I73" s="23"/>
      <c r="J73" s="23"/>
      <c r="K73" s="23"/>
      <c r="L73" s="23"/>
      <c r="M73" s="23"/>
    </row>
    <row r="74" spans="1:13" x14ac:dyDescent="0.25">
      <c r="A74" s="22"/>
      <c r="B74" s="22"/>
      <c r="C74" s="22"/>
      <c r="D74" s="22"/>
      <c r="E74" s="22"/>
      <c r="F74" s="23"/>
      <c r="G74" s="23"/>
      <c r="H74" s="23"/>
      <c r="I74" s="23"/>
      <c r="J74" s="23"/>
      <c r="K74" s="23"/>
      <c r="L74" s="23"/>
      <c r="M74" s="23"/>
    </row>
    <row r="75" spans="1:13" x14ac:dyDescent="0.25">
      <c r="A75" s="22"/>
      <c r="B75" s="22"/>
      <c r="C75" s="22"/>
      <c r="D75" s="22"/>
      <c r="E75" s="22"/>
      <c r="F75" s="23"/>
      <c r="G75" s="23"/>
      <c r="H75" s="23"/>
      <c r="I75" s="23"/>
      <c r="J75" s="23"/>
      <c r="K75" s="23"/>
      <c r="L75" s="23"/>
      <c r="M75" s="23"/>
    </row>
    <row r="76" spans="1:13" x14ac:dyDescent="0.25">
      <c r="A76" s="22"/>
      <c r="B76" s="22"/>
      <c r="C76" s="22"/>
      <c r="D76" s="22"/>
      <c r="E76" s="22"/>
      <c r="F76" s="23"/>
      <c r="G76" s="23"/>
      <c r="H76" s="23"/>
      <c r="I76" s="23"/>
      <c r="J76" s="23"/>
      <c r="K76" s="23"/>
      <c r="L76" s="23"/>
      <c r="M76" s="23"/>
    </row>
    <row r="77" spans="1:13" x14ac:dyDescent="0.25">
      <c r="A77" s="22"/>
      <c r="B77" s="22"/>
      <c r="C77" s="22"/>
      <c r="D77" s="22"/>
      <c r="E77" s="22"/>
      <c r="F77" s="23"/>
      <c r="G77" s="23"/>
      <c r="H77" s="23"/>
      <c r="I77" s="23"/>
      <c r="J77" s="23"/>
      <c r="K77" s="23"/>
      <c r="L77" s="23"/>
      <c r="M77" s="23"/>
    </row>
    <row r="78" spans="1:13" x14ac:dyDescent="0.25">
      <c r="A78" s="22"/>
      <c r="B78" s="22"/>
      <c r="C78" s="22"/>
      <c r="D78" s="22"/>
      <c r="E78" s="22"/>
      <c r="F78" s="23"/>
      <c r="G78" s="23"/>
      <c r="H78" s="23"/>
      <c r="I78" s="23"/>
      <c r="J78" s="23"/>
      <c r="K78" s="23"/>
      <c r="L78" s="23"/>
      <c r="M78" s="23"/>
    </row>
    <row r="79" spans="1:13" x14ac:dyDescent="0.25">
      <c r="A79" s="22"/>
      <c r="B79" s="22"/>
      <c r="C79" s="22"/>
      <c r="D79" s="22"/>
      <c r="E79" s="22"/>
      <c r="F79" s="23"/>
      <c r="G79" s="23"/>
      <c r="H79" s="23"/>
      <c r="I79" s="23"/>
      <c r="J79" s="23"/>
      <c r="K79" s="23"/>
      <c r="L79" s="23"/>
      <c r="M79" s="23"/>
    </row>
    <row r="80" spans="1:13" x14ac:dyDescent="0.25">
      <c r="A80" s="22"/>
      <c r="B80" s="22"/>
      <c r="C80" s="22"/>
      <c r="D80" s="22"/>
      <c r="E80" s="22"/>
      <c r="F80" s="23"/>
      <c r="G80" s="23"/>
      <c r="H80" s="23"/>
      <c r="I80" s="23"/>
      <c r="J80" s="23"/>
      <c r="K80" s="23"/>
      <c r="L80" s="23"/>
      <c r="M80" s="23"/>
    </row>
    <row r="81" spans="1:13" x14ac:dyDescent="0.25">
      <c r="A81" s="22"/>
      <c r="B81" s="22"/>
      <c r="C81" s="22"/>
      <c r="D81" s="22"/>
      <c r="E81" s="22"/>
      <c r="F81" s="23"/>
      <c r="G81" s="23"/>
      <c r="H81" s="23"/>
      <c r="I81" s="23"/>
      <c r="J81" s="23"/>
      <c r="K81" s="23"/>
      <c r="L81" s="23"/>
      <c r="M81" s="23"/>
    </row>
    <row r="82" spans="1:13" x14ac:dyDescent="0.25">
      <c r="A82" s="22"/>
      <c r="B82" s="22"/>
      <c r="C82" s="22"/>
      <c r="D82" s="22"/>
      <c r="E82" s="22"/>
      <c r="F82" s="23"/>
      <c r="G82" s="23"/>
      <c r="H82" s="23"/>
      <c r="I82" s="23"/>
      <c r="J82" s="23"/>
      <c r="K82" s="23"/>
      <c r="L82" s="23"/>
      <c r="M82" s="23"/>
    </row>
    <row r="83" spans="1:13" x14ac:dyDescent="0.25">
      <c r="A83" s="22"/>
      <c r="B83" s="22"/>
      <c r="C83" s="22"/>
      <c r="D83" s="22"/>
      <c r="E83" s="22"/>
      <c r="F83" s="23"/>
      <c r="G83" s="23"/>
      <c r="H83" s="23"/>
      <c r="I83" s="23"/>
      <c r="J83" s="23"/>
      <c r="K83" s="23"/>
      <c r="L83" s="23"/>
      <c r="M83" s="23"/>
    </row>
    <row r="84" spans="1:13" x14ac:dyDescent="0.25">
      <c r="A84" s="22"/>
      <c r="B84" s="22"/>
      <c r="C84" s="22"/>
      <c r="D84" s="22"/>
      <c r="E84" s="22"/>
      <c r="F84" s="23"/>
      <c r="G84" s="23"/>
      <c r="H84" s="23"/>
      <c r="I84" s="23"/>
      <c r="J84" s="23"/>
      <c r="K84" s="23"/>
      <c r="L84" s="23"/>
      <c r="M84" s="23"/>
    </row>
  </sheetData>
  <mergeCells count="13">
    <mergeCell ref="B42:C42"/>
    <mergeCell ref="B43:C43"/>
    <mergeCell ref="B58:B61"/>
    <mergeCell ref="E58:F58"/>
    <mergeCell ref="G58:G61"/>
    <mergeCell ref="B64:H64"/>
    <mergeCell ref="J58:J61"/>
    <mergeCell ref="K58:K61"/>
    <mergeCell ref="N58:O60"/>
    <mergeCell ref="P58:P61"/>
    <mergeCell ref="E59:F59"/>
    <mergeCell ref="E60:F60"/>
    <mergeCell ref="H58:H61"/>
  </mergeCells>
  <pageMargins left="0.7" right="0.7" top="0.75" bottom="0.75" header="0.3" footer="0.3"/>
  <legacy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Партнер на НДС (товары 20%)</vt:lpstr>
      <vt:lpstr>Отчет комиссионера с формулами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Tatyana Lobtsova</dc:creator>
  <cp:lastModifiedBy>Tatyana Lobtsova</cp:lastModifiedBy>
  <dcterms:created xsi:type="dcterms:W3CDTF">2024-10-24T08:22:40Z</dcterms:created>
  <dcterms:modified xsi:type="dcterms:W3CDTF">2024-10-24T09:15:20Z</dcterms:modified>
</cp:coreProperties>
</file>