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40" windowHeight="13770"/>
  </bookViews>
  <sheets>
    <sheet name="Членские взносы" sheetId="2" r:id="rId1"/>
    <sheet name="Целевые взносы" sheetId="4" r:id="rId2"/>
    <sheet name="Лист3" sheetId="5" r:id="rId3"/>
  </sheets>
  <definedNames>
    <definedName name="_xlnm._FilterDatabase" localSheetId="0" hidden="1">'Членские взносы'!$A$2:$D$42</definedName>
  </definedNames>
  <calcPr calcId="152511"/>
</workbook>
</file>

<file path=xl/calcChain.xml><?xml version="1.0" encoding="utf-8"?>
<calcChain xmlns="http://schemas.openxmlformats.org/spreadsheetml/2006/main">
  <c r="H9" i="2" l="1"/>
  <c r="D22" i="2" l="1"/>
  <c r="H22" i="2"/>
  <c r="H11" i="2"/>
  <c r="H10" i="4"/>
  <c r="H22" i="4"/>
  <c r="H17" i="2" l="1"/>
  <c r="H16" i="2"/>
  <c r="H6" i="4"/>
  <c r="H7" i="4" s="1"/>
  <c r="H3" i="4"/>
  <c r="H5" i="2"/>
  <c r="H6" i="2" s="1"/>
  <c r="G10" i="4" l="1"/>
  <c r="G30" i="2" l="1"/>
  <c r="G22" i="4"/>
  <c r="G7" i="4" l="1"/>
  <c r="G22" i="2"/>
  <c r="G11" i="2" s="1"/>
  <c r="G6" i="2"/>
  <c r="G9" i="2"/>
  <c r="G5" i="2"/>
  <c r="G6" i="4"/>
  <c r="G3" i="4"/>
  <c r="F7" i="4" l="1"/>
  <c r="D7" i="4"/>
  <c r="E7" i="4"/>
  <c r="F17" i="2" l="1"/>
  <c r="F16" i="2"/>
  <c r="F13" i="2"/>
  <c r="E6" i="2"/>
  <c r="F6" i="2"/>
  <c r="F10" i="4"/>
  <c r="F6" i="4"/>
  <c r="F3" i="4"/>
  <c r="F22" i="4" s="1"/>
  <c r="F22" i="2"/>
  <c r="F11" i="2" s="1"/>
  <c r="F9" i="2"/>
  <c r="F5" i="2"/>
  <c r="E10" i="4" l="1"/>
  <c r="E6" i="4"/>
  <c r="E3" i="4"/>
  <c r="E30" i="2"/>
  <c r="E22" i="2"/>
  <c r="E16" i="2"/>
  <c r="E12" i="2"/>
  <c r="E5" i="2"/>
  <c r="E22" i="4" l="1"/>
  <c r="E11" i="2"/>
  <c r="C10" i="4"/>
  <c r="C22" i="4" s="1"/>
  <c r="D3" i="4" s="1"/>
  <c r="C9" i="4"/>
  <c r="C9" i="2"/>
  <c r="D9" i="2" s="1"/>
  <c r="E9" i="2" s="1"/>
  <c r="C5" i="2"/>
  <c r="C6" i="2" s="1"/>
  <c r="C6" i="4" l="1"/>
  <c r="C7" i="4" s="1"/>
  <c r="D37" i="2"/>
  <c r="C30" i="2" l="1"/>
  <c r="C22" i="2" s="1"/>
  <c r="C16" i="2"/>
  <c r="D13" i="4"/>
  <c r="D30" i="2"/>
  <c r="D16" i="2"/>
  <c r="D13" i="2" l="1"/>
  <c r="D12" i="2"/>
  <c r="D28" i="2"/>
  <c r="D24" i="2"/>
  <c r="D11" i="2" l="1"/>
  <c r="D10" i="4"/>
  <c r="D22" i="4" s="1"/>
  <c r="D6" i="4"/>
  <c r="C17" i="2"/>
  <c r="C11" i="2" s="1"/>
  <c r="C40" i="2" s="1"/>
  <c r="D5" i="2"/>
  <c r="D6" i="2" s="1"/>
  <c r="D2" i="2" l="1"/>
  <c r="D40" i="2" s="1"/>
  <c r="E2" i="2" s="1"/>
  <c r="E40" i="2" s="1"/>
  <c r="F2" i="2" s="1"/>
  <c r="F40" i="2" s="1"/>
  <c r="G2" i="2" s="1"/>
  <c r="G40" i="2" s="1"/>
  <c r="H2" i="2" s="1"/>
  <c r="H40" i="2" s="1"/>
</calcChain>
</file>

<file path=xl/sharedStrings.xml><?xml version="1.0" encoding="utf-8"?>
<sst xmlns="http://schemas.openxmlformats.org/spreadsheetml/2006/main" count="74" uniqueCount="71">
  <si>
    <t>НАЧИСЛЕНО членских взносов (руб.)</t>
  </si>
  <si>
    <t>ОПЛАЧЕНО членских взносов (руб.)</t>
  </si>
  <si>
    <t>Мобильная связь</t>
  </si>
  <si>
    <t>Фактический остаток денежных средств на конец месяца (руб).</t>
  </si>
  <si>
    <t xml:space="preserve">Оплата аренды за автомобиль </t>
  </si>
  <si>
    <t>За устройство напорного коллектора очищенной сточной воды от перекач-го насоса</t>
  </si>
  <si>
    <t>Осуществление расчетов с оператором/региональным оператором  по вывозу ТБО (мусор)</t>
  </si>
  <si>
    <t>№ п/п</t>
  </si>
  <si>
    <t>Снабжение электрической энергией имущества общего пользования (ВЗУ, КНС, освещение)</t>
  </si>
  <si>
    <t>Арендные платежи за имущество общего пользования (трактор)</t>
  </si>
  <si>
    <t>Содержание имущества общего пользования: сервисное обслуживание шлагбаума</t>
  </si>
  <si>
    <t>Содержание имущества общего пользования: сервисное обслуживание очистных сооружений</t>
  </si>
  <si>
    <t>Содержание имущества общего пользования: возмещение затрат за техническое обслуживание газопровода</t>
  </si>
  <si>
    <t>Благоустройство земельных участков общего назначения: покупка ГСМ</t>
  </si>
  <si>
    <t>Арендные платежи за имущество общего пользования (автомобильные дороги)</t>
  </si>
  <si>
    <t>Налоги и сборы, связанные с деятельностью ТСН</t>
  </si>
  <si>
    <t>Сборы, связанные с деятельностью ТСН: комиссии банков</t>
  </si>
  <si>
    <t>Организация и проведение общих собраний членов ТСН,выполнение решений этих собраний, проведение  аудиторских проверок и т.п.</t>
  </si>
  <si>
    <t>Непредвиденные расходы, связанные с содержанием имущества общего пользования согласно ст.14  Федерального Закона 217-ФЗ от 29.07.2017</t>
  </si>
  <si>
    <t>Выпуск ключа электронной подписи</t>
  </si>
  <si>
    <t>Светильники и лампы</t>
  </si>
  <si>
    <t>Содержание имущества общего пользования: текущий ремонт, затраты по благоустройству, в т.ч.:</t>
  </si>
  <si>
    <t>РАСХОДЫ из членских взносов (руб.)</t>
  </si>
  <si>
    <t>Задолженность членов ТСН по оплате членских взносов за месяц (руб.)</t>
  </si>
  <si>
    <t>Общая задолженность членов ТСН по оплате членских взносов нарастающим итогом, включая прошлые периоды  (руб.)</t>
  </si>
  <si>
    <t>Справочно: просроченная кредиторская задолженность ТСН за период свыше 3х месяцев (руб.)</t>
  </si>
  <si>
    <t xml:space="preserve">Фактический остаток денежных средств на начало месяца (руб) </t>
  </si>
  <si>
    <t>Доступ к Яндекс на год</t>
  </si>
  <si>
    <t>ЧОП</t>
  </si>
  <si>
    <t>Работа трактора (аренда), экскаватор</t>
  </si>
  <si>
    <t>Запчасти/материалы</t>
  </si>
  <si>
    <t xml:space="preserve">1С Рарус/Инфокрафт программное обеспечение </t>
  </si>
  <si>
    <t>Госпошлина</t>
  </si>
  <si>
    <t>Истра.нет</t>
  </si>
  <si>
    <t>ЯНВАРЬ 2026</t>
  </si>
  <si>
    <t>ФЕВРАЛЬ 2026</t>
  </si>
  <si>
    <t>январь 2026</t>
  </si>
  <si>
    <t>февраль 2026</t>
  </si>
  <si>
    <t>НАЧИСЛЕНО целевых взносов (руб.)</t>
  </si>
  <si>
    <t>ОПЛАЧЕНО целевых взносов (руб.)</t>
  </si>
  <si>
    <t>Задолженность членов ТСН по оплате целевых взносов за месяц (руб.)</t>
  </si>
  <si>
    <t>Общая задолженность членов ТСН по оплате целевых взносов нарастающим итогом, включая прошлые периоды  (руб.)</t>
  </si>
  <si>
    <t>РАСХОДЫ из целевых взносов (руб.)</t>
  </si>
  <si>
    <t>Капитальный ремонт, создание или приобретение  необходимого для деятельности ТСН  имущества общего пользования:</t>
  </si>
  <si>
    <t>Приобретение земель общего пользования/дороги</t>
  </si>
  <si>
    <t>Оплата за подключение коммуникаций (руб)</t>
  </si>
  <si>
    <t>Доход от % по депозитам (руб)</t>
  </si>
  <si>
    <t>Остаток денежных средств на конец месяца (руб).</t>
  </si>
  <si>
    <t>Преобразователь частоты Instart</t>
  </si>
  <si>
    <t xml:space="preserve">Выплата заработной платы </t>
  </si>
  <si>
    <t>НАЧИСЛЕНО пени по  членским взносам (руб.)</t>
  </si>
  <si>
    <t>ОПЛАЧЕНО пени по членским взносам (руб.)</t>
  </si>
  <si>
    <t>Задолженность членов ТСН по оплате пени по  членским взносам  нарастающим итогом (руб.)</t>
  </si>
  <si>
    <t>март 2026</t>
  </si>
  <si>
    <t>Насос ЭЦВ 6-25-120</t>
  </si>
  <si>
    <t>Насос канализационный</t>
  </si>
  <si>
    <t>Трубы НКТ</t>
  </si>
  <si>
    <t>МАРТ 2026</t>
  </si>
  <si>
    <t>АПРЕЛЬ 2026</t>
  </si>
  <si>
    <t>апрель 2026</t>
  </si>
  <si>
    <t>Арендные платежи за имущество общего пользования (часть административного здания и часть ангара, зем. участок под детской площадкой)</t>
  </si>
  <si>
    <t>май 2026</t>
  </si>
  <si>
    <t>МАЙ 2026</t>
  </si>
  <si>
    <t>Аренда автовышки, илососной машины</t>
  </si>
  <si>
    <t>Генераторная установка</t>
  </si>
  <si>
    <t>Бетонный колодец для реконструкции КНС</t>
  </si>
  <si>
    <t>ИЮНЬ 2026</t>
  </si>
  <si>
    <t>июнь 2026</t>
  </si>
  <si>
    <t>Пляжная раздевалка</t>
  </si>
  <si>
    <t>Забор</t>
  </si>
  <si>
    <t>GSM контролер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</si>
</sst>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\-#,##0\ "/>
  </numFmts>
  <fonts count="17" x14ac:knownFonts="1">
    <font>
      <sz val="11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2"/>
      <color theme="3" tint="0.3999755851924192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rgb="FF0070C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sz val="8"/>
      <name val="Arial"/>
      <family val="2"/>
    </font>
    <font>
      <sz val="9"/>
      <name val="Arial"/>
      <family val="2"/>
      <charset val="204"/>
    </font>
    <font>
      <sz val="11"/>
      <color rgb="FF1F1F22"/>
      <name val="Arial"/>
      <family val="2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Calibri"/>
      <family val="2"/>
      <charset val="204"/>
    </font>
    <font>
      <i/>
      <sz val="12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8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/>
    <xf numFmtId="49" fontId="5" fillId="0" borderId="0" xfId="0" applyNumberFormat="1" applyFont="1"/>
    <xf numFmtId="0" fontId="6" fillId="5" borderId="2" xfId="0" applyFont="1" applyFill="1" applyBorder="1" applyAlignment="1">
      <alignment wrapText="1"/>
    </xf>
    <xf numFmtId="164" fontId="6" fillId="5" borderId="1" xfId="0" applyNumberFormat="1" applyFont="1" applyFill="1" applyBorder="1"/>
    <xf numFmtId="0" fontId="6" fillId="2" borderId="2" xfId="0" applyFont="1" applyFill="1" applyBorder="1"/>
    <xf numFmtId="164" fontId="4" fillId="2" borderId="1" xfId="0" applyNumberFormat="1" applyFont="1" applyFill="1" applyBorder="1"/>
    <xf numFmtId="0" fontId="6" fillId="2" borderId="2" xfId="0" applyFont="1" applyFill="1" applyBorder="1" applyAlignment="1">
      <alignment wrapText="1"/>
    </xf>
    <xf numFmtId="164" fontId="6" fillId="2" borderId="1" xfId="0" applyNumberFormat="1" applyFont="1" applyFill="1" applyBorder="1"/>
    <xf numFmtId="0" fontId="6" fillId="3" borderId="2" xfId="0" applyFont="1" applyFill="1" applyBorder="1" applyAlignment="1"/>
    <xf numFmtId="164" fontId="6" fillId="3" borderId="1" xfId="0" applyNumberFormat="1" applyFont="1" applyFill="1" applyBorder="1" applyAlignment="1"/>
    <xf numFmtId="0" fontId="4" fillId="4" borderId="2" xfId="0" applyFont="1" applyFill="1" applyBorder="1" applyAlignment="1">
      <alignment vertical="center" wrapText="1" shrinkToFit="1"/>
    </xf>
    <xf numFmtId="164" fontId="4" fillId="4" borderId="1" xfId="0" applyNumberFormat="1" applyFont="1" applyFill="1" applyBorder="1"/>
    <xf numFmtId="0" fontId="4" fillId="4" borderId="1" xfId="0" applyFont="1" applyFill="1" applyBorder="1" applyAlignment="1">
      <alignment wrapText="1"/>
    </xf>
    <xf numFmtId="164" fontId="4" fillId="4" borderId="1" xfId="0" applyNumberFormat="1" applyFont="1" applyFill="1" applyBorder="1" applyAlignment="1">
      <alignment wrapText="1"/>
    </xf>
    <xf numFmtId="0" fontId="3" fillId="0" borderId="3" xfId="0" applyFont="1" applyBorder="1" applyAlignment="1">
      <alignment horizontal="center"/>
    </xf>
    <xf numFmtId="0" fontId="7" fillId="4" borderId="2" xfId="0" applyFont="1" applyFill="1" applyBorder="1" applyAlignment="1">
      <alignment vertical="center" wrapText="1" shrinkToFit="1"/>
    </xf>
    <xf numFmtId="0" fontId="7" fillId="4" borderId="1" xfId="0" applyFont="1" applyFill="1" applyBorder="1" applyAlignment="1">
      <alignment wrapText="1"/>
    </xf>
    <xf numFmtId="164" fontId="7" fillId="4" borderId="1" xfId="0" applyNumberFormat="1" applyFont="1" applyFill="1" applyBorder="1"/>
    <xf numFmtId="0" fontId="7" fillId="4" borderId="2" xfId="0" applyFont="1" applyFill="1" applyBorder="1" applyAlignment="1">
      <alignment vertical="center" wrapText="1"/>
    </xf>
    <xf numFmtId="164" fontId="6" fillId="7" borderId="1" xfId="0" applyNumberFormat="1" applyFont="1" applyFill="1" applyBorder="1"/>
    <xf numFmtId="164" fontId="1" fillId="0" borderId="0" xfId="0" applyNumberFormat="1" applyFont="1"/>
    <xf numFmtId="4" fontId="9" fillId="0" borderId="4" xfId="1" applyNumberFormat="1" applyFont="1" applyBorder="1" applyAlignment="1">
      <alignment horizontal="right" vertical="top" wrapText="1"/>
    </xf>
    <xf numFmtId="4" fontId="1" fillId="0" borderId="0" xfId="0" applyNumberFormat="1" applyFont="1"/>
    <xf numFmtId="0" fontId="1" fillId="0" borderId="0" xfId="0" applyFont="1" applyAlignment="1">
      <alignment wrapText="1"/>
    </xf>
    <xf numFmtId="0" fontId="6" fillId="5" borderId="1" xfId="0" applyFont="1" applyFill="1" applyBorder="1" applyAlignment="1">
      <alignment wrapText="1"/>
    </xf>
    <xf numFmtId="0" fontId="6" fillId="7" borderId="1" xfId="0" applyFont="1" applyFill="1" applyBorder="1" applyAlignment="1">
      <alignment wrapText="1"/>
    </xf>
    <xf numFmtId="164" fontId="6" fillId="8" borderId="1" xfId="0" applyNumberFormat="1" applyFont="1" applyFill="1" applyBorder="1"/>
    <xf numFmtId="0" fontId="6" fillId="6" borderId="1" xfId="0" applyFont="1" applyFill="1" applyBorder="1" applyAlignment="1">
      <alignment wrapText="1"/>
    </xf>
    <xf numFmtId="164" fontId="6" fillId="6" borderId="1" xfId="0" applyNumberFormat="1" applyFont="1" applyFill="1" applyBorder="1"/>
    <xf numFmtId="0" fontId="10" fillId="0" borderId="0" xfId="0" applyFont="1" applyAlignment="1">
      <alignment vertical="center" wrapText="1"/>
    </xf>
    <xf numFmtId="164" fontId="11" fillId="5" borderId="1" xfId="0" applyNumberFormat="1" applyFont="1" applyFill="1" applyBorder="1" applyAlignment="1">
      <alignment wrapText="1"/>
    </xf>
    <xf numFmtId="0" fontId="6" fillId="2" borderId="1" xfId="0" applyFont="1" applyFill="1" applyBorder="1"/>
    <xf numFmtId="0" fontId="6" fillId="2" borderId="1" xfId="0" applyFont="1" applyFill="1" applyBorder="1" applyAlignment="1">
      <alignment wrapText="1"/>
    </xf>
    <xf numFmtId="0" fontId="6" fillId="3" borderId="1" xfId="0" applyFont="1" applyFill="1" applyBorder="1" applyAlignment="1"/>
    <xf numFmtId="0" fontId="12" fillId="4" borderId="1" xfId="0" applyFont="1" applyFill="1" applyBorder="1" applyAlignment="1">
      <alignment wrapText="1"/>
    </xf>
    <xf numFmtId="0" fontId="13" fillId="4" borderId="1" xfId="0" applyFont="1" applyFill="1" applyBorder="1" applyAlignment="1">
      <alignment wrapText="1"/>
    </xf>
    <xf numFmtId="164" fontId="4" fillId="9" borderId="1" xfId="0" applyNumberFormat="1" applyFont="1" applyFill="1" applyBorder="1"/>
    <xf numFmtId="164" fontId="4" fillId="9" borderId="2" xfId="0" applyNumberFormat="1" applyFont="1" applyFill="1" applyBorder="1"/>
    <xf numFmtId="0" fontId="6" fillId="5" borderId="2" xfId="0" applyFont="1" applyFill="1" applyBorder="1" applyAlignment="1">
      <alignment vertical="top" wrapText="1"/>
    </xf>
    <xf numFmtId="0" fontId="6" fillId="8" borderId="2" xfId="0" applyFont="1" applyFill="1" applyBorder="1"/>
    <xf numFmtId="0" fontId="6" fillId="8" borderId="2" xfId="0" applyFont="1" applyFill="1" applyBorder="1" applyAlignment="1">
      <alignment wrapText="1"/>
    </xf>
    <xf numFmtId="0" fontId="14" fillId="4" borderId="1" xfId="0" applyFont="1" applyFill="1" applyBorder="1" applyAlignment="1">
      <alignment wrapText="1"/>
    </xf>
    <xf numFmtId="164" fontId="15" fillId="4" borderId="1" xfId="0" applyNumberFormat="1" applyFont="1" applyFill="1" applyBorder="1"/>
    <xf numFmtId="0" fontId="16" fillId="4" borderId="1" xfId="0" applyFont="1" applyFill="1" applyBorder="1" applyAlignment="1">
      <alignment wrapText="1"/>
    </xf>
    <xf numFmtId="0" fontId="4" fillId="7" borderId="1" xfId="0" applyFont="1" applyFill="1" applyBorder="1" applyAlignment="1">
      <alignment wrapText="1"/>
    </xf>
    <xf numFmtId="164" fontId="4" fillId="7" borderId="1" xfId="0" applyNumberFormat="1" applyFont="1" applyFill="1" applyBorder="1"/>
    <xf numFmtId="0" fontId="14" fillId="4" borderId="2" xfId="0" applyFont="1" applyFill="1" applyBorder="1" applyAlignment="1">
      <alignment wrapText="1"/>
    </xf>
  </cellXfs>
  <cellStyles count="2">
    <cellStyle name="Обычный" xfId="0" builtinId="0"/>
    <cellStyle name="Обычный_Членские взносы" xfId="1"/>
  </cellStyles>
  <dxfs count="0"/>
  <tableStyles count="0" defaultTableStyle="TableStyleMedium9" defaultPivotStyle="PivotStyleLight16"/>
  <colors>
    <mruColors>
      <color rgb="FFFFFF99"/>
      <color rgb="FFFF99FF"/>
      <color rgb="FFFF3399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zoomScale="80" zoomScaleNormal="80" workbookViewId="0">
      <pane xSplit="2" ySplit="11" topLeftCell="C12" activePane="bottomRight" state="frozen"/>
      <selection pane="topRight" activeCell="C1" sqref="C1"/>
      <selection pane="bottomLeft" activeCell="A9" sqref="A9"/>
      <selection pane="bottomRight" activeCell="I5" sqref="I5"/>
    </sheetView>
  </sheetViews>
  <sheetFormatPr defaultColWidth="31.7109375" defaultRowHeight="21" x14ac:dyDescent="0.35"/>
  <cols>
    <col min="1" max="1" width="8" style="2" customWidth="1"/>
    <col min="2" max="2" width="56" style="1" customWidth="1"/>
    <col min="3" max="16384" width="31.7109375" style="1"/>
  </cols>
  <sheetData>
    <row r="1" spans="1:8" x14ac:dyDescent="0.35">
      <c r="A1" s="17"/>
      <c r="B1" s="3"/>
      <c r="C1" s="4" t="s">
        <v>34</v>
      </c>
      <c r="D1" s="4" t="s">
        <v>35</v>
      </c>
      <c r="E1" s="4" t="s">
        <v>57</v>
      </c>
      <c r="F1" s="4" t="s">
        <v>58</v>
      </c>
      <c r="G1" s="4" t="s">
        <v>62</v>
      </c>
      <c r="H1" s="4" t="s">
        <v>66</v>
      </c>
    </row>
    <row r="2" spans="1:8" ht="33" x14ac:dyDescent="0.35">
      <c r="A2" s="5" t="s">
        <v>7</v>
      </c>
      <c r="B2" s="5" t="s">
        <v>26</v>
      </c>
      <c r="C2" s="6">
        <v>3601611</v>
      </c>
      <c r="D2" s="6">
        <f t="shared" ref="D2:H2" si="0">C40</f>
        <v>3946592.6800000006</v>
      </c>
      <c r="E2" s="6">
        <f t="shared" si="0"/>
        <v>4024860.1000000006</v>
      </c>
      <c r="F2" s="6">
        <f t="shared" si="0"/>
        <v>3989866.25</v>
      </c>
      <c r="G2" s="6">
        <f t="shared" si="0"/>
        <v>4253940.4399999995</v>
      </c>
      <c r="H2" s="6">
        <f t="shared" si="0"/>
        <v>3912893.3399999994</v>
      </c>
    </row>
    <row r="3" spans="1:8" x14ac:dyDescent="0.35">
      <c r="A3" s="7"/>
      <c r="B3" s="7" t="s">
        <v>0</v>
      </c>
      <c r="C3" s="8">
        <v>2366000</v>
      </c>
      <c r="D3" s="8">
        <v>2359000</v>
      </c>
      <c r="E3" s="8">
        <v>2362500</v>
      </c>
      <c r="F3" s="8">
        <v>2366000</v>
      </c>
      <c r="G3" s="8">
        <v>2366000</v>
      </c>
      <c r="H3" s="8">
        <v>2352000</v>
      </c>
    </row>
    <row r="4" spans="1:8" x14ac:dyDescent="0.35">
      <c r="A4" s="7"/>
      <c r="B4" s="7" t="s">
        <v>1</v>
      </c>
      <c r="C4" s="8">
        <v>2103000</v>
      </c>
      <c r="D4" s="8">
        <v>2334689.87</v>
      </c>
      <c r="E4" s="8">
        <v>2536444.88</v>
      </c>
      <c r="F4" s="8">
        <v>2389887.4700000002</v>
      </c>
      <c r="G4" s="8">
        <v>2438275.31</v>
      </c>
      <c r="H4" s="8">
        <v>2237025.46</v>
      </c>
    </row>
    <row r="5" spans="1:8" ht="39" customHeight="1" x14ac:dyDescent="0.35">
      <c r="A5" s="7"/>
      <c r="B5" s="9" t="s">
        <v>23</v>
      </c>
      <c r="C5" s="10">
        <f t="shared" ref="C5:H5" si="1">C3-C4</f>
        <v>263000</v>
      </c>
      <c r="D5" s="10">
        <f t="shared" si="1"/>
        <v>24310.129999999888</v>
      </c>
      <c r="E5" s="10">
        <f t="shared" si="1"/>
        <v>-173944.87999999989</v>
      </c>
      <c r="F5" s="10">
        <f t="shared" si="1"/>
        <v>-23887.470000000205</v>
      </c>
      <c r="G5" s="10">
        <f t="shared" si="1"/>
        <v>-72275.310000000056</v>
      </c>
      <c r="H5" s="10">
        <f t="shared" si="1"/>
        <v>114974.54000000004</v>
      </c>
    </row>
    <row r="6" spans="1:8" ht="52.5" customHeight="1" x14ac:dyDescent="0.35">
      <c r="A6" s="7"/>
      <c r="B6" s="9" t="s">
        <v>24</v>
      </c>
      <c r="C6" s="8">
        <f>4854825.87+C5</f>
        <v>5117825.87</v>
      </c>
      <c r="D6" s="8">
        <f>C6+D5-14000</f>
        <v>5128136</v>
      </c>
      <c r="E6" s="8">
        <f>D6+E5+14000+7000</f>
        <v>4975191.12</v>
      </c>
      <c r="F6" s="8">
        <f>E6+F5+14000+7000</f>
        <v>4972303.6500000004</v>
      </c>
      <c r="G6" s="8">
        <f>F6+G5-3500</f>
        <v>4896528.34</v>
      </c>
      <c r="H6" s="8">
        <f>G6+H5-3500</f>
        <v>5008002.88</v>
      </c>
    </row>
    <row r="7" spans="1:8" ht="33.75" customHeight="1" x14ac:dyDescent="0.35">
      <c r="A7" s="43"/>
      <c r="B7" s="42" t="s">
        <v>50</v>
      </c>
      <c r="C7" s="29">
        <v>66437.53</v>
      </c>
      <c r="D7" s="29">
        <v>61379.55</v>
      </c>
      <c r="E7" s="29">
        <v>66306.23</v>
      </c>
      <c r="F7" s="29">
        <v>61943</v>
      </c>
      <c r="G7" s="29">
        <v>63132.06</v>
      </c>
      <c r="H7" s="29">
        <v>60496.42</v>
      </c>
    </row>
    <row r="8" spans="1:8" ht="26.25" customHeight="1" x14ac:dyDescent="0.35">
      <c r="A8" s="43"/>
      <c r="B8" s="42" t="s">
        <v>51</v>
      </c>
      <c r="C8" s="29">
        <v>0</v>
      </c>
      <c r="D8" s="29">
        <v>2283.21</v>
      </c>
      <c r="E8" s="29">
        <v>8119.51</v>
      </c>
      <c r="F8" s="29">
        <v>10705</v>
      </c>
      <c r="G8" s="29">
        <v>9909.9599999999991</v>
      </c>
      <c r="H8" s="29">
        <v>9816.44</v>
      </c>
    </row>
    <row r="9" spans="1:8" ht="38.25" customHeight="1" x14ac:dyDescent="0.35">
      <c r="A9" s="43"/>
      <c r="B9" s="43" t="s">
        <v>52</v>
      </c>
      <c r="C9" s="29">
        <f>C7-C8</f>
        <v>66437.53</v>
      </c>
      <c r="D9" s="29">
        <f>D7-D8+C9</f>
        <v>125533.87</v>
      </c>
      <c r="E9" s="29">
        <f>E7-E8+D9</f>
        <v>183720.59</v>
      </c>
      <c r="F9" s="29">
        <f>F7-F8+E9</f>
        <v>234958.59</v>
      </c>
      <c r="G9" s="29">
        <f>G7-G8+F9</f>
        <v>288180.69</v>
      </c>
      <c r="H9" s="29">
        <f>H7-H8+G9</f>
        <v>338860.67</v>
      </c>
    </row>
    <row r="10" spans="1:8" ht="30.75" customHeight="1" x14ac:dyDescent="0.35">
      <c r="A10" s="30"/>
      <c r="B10" s="30" t="s">
        <v>46</v>
      </c>
      <c r="C10" s="31">
        <v>10052.74</v>
      </c>
      <c r="D10" s="31">
        <v>0</v>
      </c>
      <c r="E10" s="31">
        <v>14953.33</v>
      </c>
      <c r="F10" s="31">
        <v>14592</v>
      </c>
      <c r="G10" s="31">
        <v>15493.15</v>
      </c>
      <c r="H10" s="31">
        <v>0</v>
      </c>
    </row>
    <row r="11" spans="1:8" x14ac:dyDescent="0.35">
      <c r="A11" s="11"/>
      <c r="B11" s="11" t="s">
        <v>22</v>
      </c>
      <c r="C11" s="12">
        <f t="shared" ref="C11:H11" si="2">SUM(C12:C22)+SUM(C35:C39)</f>
        <v>1768071.0599999998</v>
      </c>
      <c r="D11" s="12">
        <f t="shared" si="2"/>
        <v>2258705.66</v>
      </c>
      <c r="E11" s="12">
        <f t="shared" si="2"/>
        <v>2594511.5700000003</v>
      </c>
      <c r="F11" s="12">
        <f t="shared" si="2"/>
        <v>2151110.2800000003</v>
      </c>
      <c r="G11" s="12">
        <f t="shared" si="2"/>
        <v>2804725.52</v>
      </c>
      <c r="H11" s="12">
        <f>SUM(H12:H22)+SUM(H35:H39)</f>
        <v>2645987.9500000002</v>
      </c>
    </row>
    <row r="12" spans="1:8" x14ac:dyDescent="0.35">
      <c r="A12" s="13">
        <v>1</v>
      </c>
      <c r="B12" s="13" t="s">
        <v>49</v>
      </c>
      <c r="C12" s="14">
        <v>161264</v>
      </c>
      <c r="D12" s="14">
        <f>100224+162690+216925+66816+94448</f>
        <v>641103</v>
      </c>
      <c r="E12" s="14">
        <f>511980.33+150510</f>
        <v>662490.33000000007</v>
      </c>
      <c r="F12" s="14">
        <v>554351.92000000004</v>
      </c>
      <c r="G12" s="14">
        <v>573078.92000000004</v>
      </c>
      <c r="H12" s="14">
        <v>721673.79</v>
      </c>
    </row>
    <row r="13" spans="1:8" x14ac:dyDescent="0.35">
      <c r="A13" s="13">
        <v>2</v>
      </c>
      <c r="B13" s="13" t="s">
        <v>28</v>
      </c>
      <c r="C13" s="14">
        <v>322350</v>
      </c>
      <c r="D13" s="14">
        <f>5250+161125+120000</f>
        <v>286375</v>
      </c>
      <c r="E13" s="14">
        <v>245250</v>
      </c>
      <c r="F13" s="14">
        <f>240000+5250</f>
        <v>245250</v>
      </c>
      <c r="G13" s="14">
        <v>250500</v>
      </c>
      <c r="H13" s="14">
        <v>240000</v>
      </c>
    </row>
    <row r="14" spans="1:8" ht="47.25" x14ac:dyDescent="0.35">
      <c r="A14" s="13">
        <v>3</v>
      </c>
      <c r="B14" s="13" t="s">
        <v>6</v>
      </c>
      <c r="C14" s="14">
        <v>385265.87</v>
      </c>
      <c r="D14" s="14">
        <v>431015.11</v>
      </c>
      <c r="E14" s="14">
        <v>352225.96</v>
      </c>
      <c r="F14" s="14">
        <v>456790.97</v>
      </c>
      <c r="G14" s="14">
        <v>414539.8</v>
      </c>
      <c r="H14" s="14">
        <v>534251.44999999995</v>
      </c>
    </row>
    <row r="15" spans="1:8" ht="31.5" x14ac:dyDescent="0.35">
      <c r="A15" s="13">
        <v>4</v>
      </c>
      <c r="B15" s="13" t="s">
        <v>8</v>
      </c>
      <c r="C15" s="14">
        <v>341882.54</v>
      </c>
      <c r="D15" s="14">
        <v>265319.89</v>
      </c>
      <c r="E15" s="14">
        <v>180427.42</v>
      </c>
      <c r="F15" s="14">
        <v>206806</v>
      </c>
      <c r="G15" s="14">
        <v>208491.35</v>
      </c>
      <c r="H15" s="14">
        <v>287087.51</v>
      </c>
    </row>
    <row r="16" spans="1:8" ht="31.5" x14ac:dyDescent="0.35">
      <c r="A16" s="13">
        <v>5</v>
      </c>
      <c r="B16" s="13" t="s">
        <v>16</v>
      </c>
      <c r="C16" s="14">
        <f>1490+141.67+2660+1400</f>
        <v>5691.67</v>
      </c>
      <c r="D16" s="14">
        <f>8812.66+1400+40+2400</f>
        <v>12652.66</v>
      </c>
      <c r="E16" s="14">
        <f>11133.86+160+2400+1400</f>
        <v>15093.86</v>
      </c>
      <c r="F16" s="14">
        <f>2400+8661.79</f>
        <v>11061.79</v>
      </c>
      <c r="G16" s="14">
        <v>17268.8</v>
      </c>
      <c r="H16" s="14">
        <f>9166.2+2400+2400</f>
        <v>13966.2</v>
      </c>
    </row>
    <row r="17" spans="1:8" ht="53.25" customHeight="1" x14ac:dyDescent="0.35">
      <c r="A17" s="13">
        <v>6</v>
      </c>
      <c r="B17" s="13" t="s">
        <v>60</v>
      </c>
      <c r="C17" s="14">
        <f>15750+35000</f>
        <v>50750</v>
      </c>
      <c r="D17" s="14">
        <v>50750</v>
      </c>
      <c r="E17" s="14">
        <v>50750</v>
      </c>
      <c r="F17" s="14">
        <f>50750+20748.52+82994.08</f>
        <v>154492.6</v>
      </c>
      <c r="G17" s="14">
        <v>50750</v>
      </c>
      <c r="H17" s="14">
        <f>50750</f>
        <v>50750</v>
      </c>
    </row>
    <row r="18" spans="1:8" ht="31.5" x14ac:dyDescent="0.35">
      <c r="A18" s="13">
        <v>7</v>
      </c>
      <c r="B18" s="13" t="s">
        <v>9</v>
      </c>
      <c r="C18" s="14">
        <v>50000</v>
      </c>
      <c r="D18" s="14">
        <v>50000</v>
      </c>
      <c r="E18" s="14">
        <v>50000</v>
      </c>
      <c r="F18" s="14">
        <v>50000</v>
      </c>
      <c r="G18" s="14">
        <v>50000</v>
      </c>
      <c r="H18" s="14">
        <v>50000</v>
      </c>
    </row>
    <row r="19" spans="1:8" ht="31.5" x14ac:dyDescent="0.35">
      <c r="A19" s="13">
        <v>8</v>
      </c>
      <c r="B19" s="13" t="s">
        <v>10</v>
      </c>
      <c r="C19" s="14"/>
      <c r="D19" s="14"/>
      <c r="E19" s="14"/>
      <c r="F19" s="14"/>
      <c r="G19" s="14"/>
      <c r="H19" s="14"/>
    </row>
    <row r="20" spans="1:8" ht="31.5" x14ac:dyDescent="0.35">
      <c r="A20" s="13">
        <v>9</v>
      </c>
      <c r="B20" s="13" t="s">
        <v>11</v>
      </c>
      <c r="C20" s="14">
        <v>18460</v>
      </c>
      <c r="D20" s="14">
        <v>18460</v>
      </c>
      <c r="E20" s="14">
        <v>18460</v>
      </c>
      <c r="F20" s="14">
        <v>18460</v>
      </c>
      <c r="G20" s="14">
        <v>18460</v>
      </c>
      <c r="H20" s="14">
        <v>18460</v>
      </c>
    </row>
    <row r="21" spans="1:8" ht="47.25" x14ac:dyDescent="0.35">
      <c r="A21" s="13">
        <v>10</v>
      </c>
      <c r="B21" s="13" t="s">
        <v>12</v>
      </c>
      <c r="C21" s="15"/>
      <c r="D21" s="14"/>
      <c r="E21" s="14"/>
      <c r="F21" s="14"/>
      <c r="G21" s="14">
        <v>273098</v>
      </c>
      <c r="H21" s="14">
        <v>0</v>
      </c>
    </row>
    <row r="22" spans="1:8" ht="31.5" x14ac:dyDescent="0.35">
      <c r="A22" s="13">
        <v>11</v>
      </c>
      <c r="B22" s="13" t="s">
        <v>21</v>
      </c>
      <c r="C22" s="16">
        <f>SUM(C23:C34)</f>
        <v>129657</v>
      </c>
      <c r="D22" s="16">
        <f>SUM(D23:D34)</f>
        <v>183030</v>
      </c>
      <c r="E22" s="16">
        <f>SUM(E23:E34)</f>
        <v>543382</v>
      </c>
      <c r="F22" s="16">
        <f>SUM(F23:F34)</f>
        <v>72399</v>
      </c>
      <c r="G22" s="16">
        <f>SUM(G23:G34)</f>
        <v>660286</v>
      </c>
      <c r="H22" s="16">
        <f>SUM(H23:H35)</f>
        <v>419799</v>
      </c>
    </row>
    <row r="23" spans="1:8" ht="28.5" customHeight="1" x14ac:dyDescent="0.35">
      <c r="A23" s="13"/>
      <c r="B23" s="18" t="s">
        <v>5</v>
      </c>
      <c r="C23" s="19"/>
      <c r="D23" s="20"/>
      <c r="E23" s="20"/>
      <c r="F23" s="20"/>
      <c r="G23" s="20"/>
      <c r="H23" s="20"/>
    </row>
    <row r="24" spans="1:8" x14ac:dyDescent="0.35">
      <c r="A24" s="13"/>
      <c r="B24" s="18" t="s">
        <v>29</v>
      </c>
      <c r="C24" s="20">
        <v>106400</v>
      </c>
      <c r="D24" s="20">
        <f>26500+26500</f>
        <v>53000</v>
      </c>
      <c r="E24" s="20">
        <v>164400</v>
      </c>
      <c r="F24" s="20"/>
      <c r="G24" s="20">
        <v>75500</v>
      </c>
      <c r="H24" s="20">
        <v>20000</v>
      </c>
    </row>
    <row r="25" spans="1:8" x14ac:dyDescent="0.35">
      <c r="A25" s="13"/>
      <c r="B25" s="21" t="s">
        <v>63</v>
      </c>
      <c r="C25" s="19"/>
      <c r="D25" s="20"/>
      <c r="E25" s="20"/>
      <c r="F25" s="20">
        <v>20000</v>
      </c>
      <c r="G25" s="20">
        <v>18216</v>
      </c>
      <c r="H25" s="20"/>
    </row>
    <row r="26" spans="1:8" x14ac:dyDescent="0.35">
      <c r="A26" s="13"/>
      <c r="B26" s="21" t="s">
        <v>20</v>
      </c>
      <c r="C26" s="19"/>
      <c r="D26" s="20"/>
      <c r="E26" s="20"/>
      <c r="F26" s="20"/>
      <c r="G26" s="20"/>
      <c r="H26" s="20"/>
    </row>
    <row r="27" spans="1:8" x14ac:dyDescent="0.35">
      <c r="A27" s="13"/>
      <c r="B27" s="18" t="s">
        <v>4</v>
      </c>
      <c r="C27" s="19"/>
      <c r="D27" s="20"/>
      <c r="E27" s="20">
        <v>26100</v>
      </c>
      <c r="F27" s="20">
        <v>26100</v>
      </c>
      <c r="G27" s="20"/>
      <c r="H27" s="20"/>
    </row>
    <row r="28" spans="1:8" x14ac:dyDescent="0.35">
      <c r="A28" s="13"/>
      <c r="B28" s="21" t="s">
        <v>31</v>
      </c>
      <c r="C28" s="19"/>
      <c r="D28" s="20">
        <f>14340+9100</f>
        <v>23440</v>
      </c>
      <c r="E28" s="20">
        <v>14340</v>
      </c>
      <c r="F28" s="20">
        <v>14340</v>
      </c>
      <c r="G28" s="20">
        <v>24060</v>
      </c>
      <c r="H28" s="20">
        <v>15500</v>
      </c>
    </row>
    <row r="29" spans="1:8" x14ac:dyDescent="0.35">
      <c r="A29" s="13"/>
      <c r="B29" s="18" t="s">
        <v>19</v>
      </c>
      <c r="C29" s="19"/>
      <c r="D29" s="20"/>
      <c r="E29" s="20"/>
      <c r="F29" s="20"/>
      <c r="G29" s="20"/>
      <c r="H29" s="20"/>
    </row>
    <row r="30" spans="1:8" x14ac:dyDescent="0.35">
      <c r="A30" s="13"/>
      <c r="B30" s="18" t="s">
        <v>30</v>
      </c>
      <c r="C30" s="20">
        <f>22489-2032</f>
        <v>20457</v>
      </c>
      <c r="D30" s="20">
        <f>3416+31700+37100+2416+17002</f>
        <v>91634</v>
      </c>
      <c r="E30" s="20">
        <f>217142+69200+50000</f>
        <v>336342</v>
      </c>
      <c r="F30" s="20">
        <v>9109</v>
      </c>
      <c r="G30" s="20">
        <f>33500+594800-87090</f>
        <v>541210</v>
      </c>
      <c r="H30" s="20">
        <v>354799</v>
      </c>
    </row>
    <row r="31" spans="1:8" x14ac:dyDescent="0.35">
      <c r="A31" s="13"/>
      <c r="B31" s="21" t="s">
        <v>2</v>
      </c>
      <c r="C31" s="19">
        <v>1400</v>
      </c>
      <c r="D31" s="20">
        <v>1300</v>
      </c>
      <c r="E31" s="20">
        <v>1500</v>
      </c>
      <c r="F31" s="20">
        <v>2850</v>
      </c>
      <c r="G31" s="20">
        <v>1300</v>
      </c>
      <c r="H31" s="20">
        <v>1500</v>
      </c>
    </row>
    <row r="32" spans="1:8" x14ac:dyDescent="0.35">
      <c r="A32" s="13"/>
      <c r="B32" s="21" t="s">
        <v>27</v>
      </c>
      <c r="C32" s="19"/>
      <c r="D32" s="20">
        <v>13656</v>
      </c>
      <c r="E32" s="20"/>
      <c r="F32" s="20"/>
      <c r="G32" s="20"/>
      <c r="H32" s="20"/>
    </row>
    <row r="33" spans="1:8" x14ac:dyDescent="0.35">
      <c r="A33" s="13"/>
      <c r="B33" s="21" t="s">
        <v>32</v>
      </c>
      <c r="C33" s="19">
        <v>1400</v>
      </c>
      <c r="D33" s="20"/>
      <c r="E33" s="20">
        <v>700</v>
      </c>
      <c r="F33" s="20"/>
      <c r="G33" s="20"/>
      <c r="H33" s="20"/>
    </row>
    <row r="34" spans="1:8" x14ac:dyDescent="0.35">
      <c r="A34" s="13"/>
      <c r="B34" s="21" t="s">
        <v>33</v>
      </c>
      <c r="C34" s="19"/>
      <c r="D34" s="20"/>
      <c r="E34" s="20"/>
      <c r="F34" s="20"/>
      <c r="G34" s="20"/>
      <c r="H34" s="20">
        <v>28000</v>
      </c>
    </row>
    <row r="35" spans="1:8" ht="31.5" x14ac:dyDescent="0.35">
      <c r="A35" s="13">
        <v>12</v>
      </c>
      <c r="B35" s="13" t="s">
        <v>13</v>
      </c>
      <c r="C35" s="14">
        <v>50000</v>
      </c>
      <c r="D35" s="14">
        <v>50000</v>
      </c>
      <c r="E35" s="14"/>
      <c r="F35" s="14"/>
      <c r="G35" s="14"/>
      <c r="H35" s="20"/>
    </row>
    <row r="36" spans="1:8" ht="44.25" customHeight="1" x14ac:dyDescent="0.35">
      <c r="A36" s="13">
        <v>13</v>
      </c>
      <c r="B36" s="13" t="s">
        <v>14</v>
      </c>
      <c r="C36" s="15"/>
      <c r="D36" s="14"/>
      <c r="E36" s="14"/>
      <c r="F36" s="14"/>
      <c r="G36" s="14"/>
      <c r="H36" s="14"/>
    </row>
    <row r="37" spans="1:8" x14ac:dyDescent="0.35">
      <c r="A37" s="13">
        <v>14</v>
      </c>
      <c r="B37" s="13" t="s">
        <v>15</v>
      </c>
      <c r="C37" s="14">
        <v>252749.98</v>
      </c>
      <c r="D37" s="14">
        <f>270000</f>
        <v>270000</v>
      </c>
      <c r="E37" s="14">
        <v>446432</v>
      </c>
      <c r="F37" s="14">
        <v>361498</v>
      </c>
      <c r="G37" s="14">
        <v>288252.65000000002</v>
      </c>
      <c r="H37" s="14">
        <v>310000</v>
      </c>
    </row>
    <row r="38" spans="1:8" ht="70.5" customHeight="1" x14ac:dyDescent="0.35">
      <c r="A38" s="13">
        <v>15</v>
      </c>
      <c r="B38" s="13" t="s">
        <v>17</v>
      </c>
      <c r="C38" s="14"/>
      <c r="D38" s="14"/>
      <c r="E38" s="14">
        <v>30000</v>
      </c>
      <c r="F38" s="14">
        <v>20000</v>
      </c>
      <c r="G38" s="14"/>
      <c r="H38" s="14"/>
    </row>
    <row r="39" spans="1:8" ht="60.75" customHeight="1" x14ac:dyDescent="0.35">
      <c r="A39" s="13">
        <v>16</v>
      </c>
      <c r="B39" s="13" t="s">
        <v>18</v>
      </c>
      <c r="C39" s="15"/>
      <c r="D39" s="14"/>
      <c r="E39" s="14"/>
      <c r="F39" s="14"/>
      <c r="G39" s="14"/>
      <c r="H39" s="14"/>
    </row>
    <row r="40" spans="1:8" ht="37.15" customHeight="1" x14ac:dyDescent="0.35">
      <c r="A40" s="27"/>
      <c r="B40" s="27" t="s">
        <v>47</v>
      </c>
      <c r="C40" s="6">
        <f t="shared" ref="C40:H40" si="3">C4-C11+C2+C8+C10</f>
        <v>3946592.6800000006</v>
      </c>
      <c r="D40" s="6">
        <f t="shared" si="3"/>
        <v>4024860.1000000006</v>
      </c>
      <c r="E40" s="6">
        <f t="shared" si="3"/>
        <v>3989866.25</v>
      </c>
      <c r="F40" s="6">
        <f t="shared" si="3"/>
        <v>4253940.4399999995</v>
      </c>
      <c r="G40" s="6">
        <f t="shared" si="3"/>
        <v>3912893.3399999994</v>
      </c>
      <c r="H40" s="6">
        <f t="shared" si="3"/>
        <v>3513747.2899999991</v>
      </c>
    </row>
    <row r="41" spans="1:8" ht="37.15" customHeight="1" x14ac:dyDescent="0.35">
      <c r="A41" s="28"/>
      <c r="B41" s="28"/>
      <c r="C41" s="22"/>
      <c r="D41" s="22"/>
      <c r="E41" s="22"/>
      <c r="F41" s="22"/>
      <c r="G41" s="22"/>
      <c r="H41" s="22"/>
    </row>
    <row r="42" spans="1:8" ht="53.25" customHeight="1" x14ac:dyDescent="0.35">
      <c r="A42" s="47"/>
      <c r="B42" s="47" t="s">
        <v>25</v>
      </c>
      <c r="C42" s="48">
        <v>0</v>
      </c>
      <c r="D42" s="48">
        <v>0</v>
      </c>
      <c r="E42" s="48">
        <v>0</v>
      </c>
      <c r="F42" s="48">
        <v>0</v>
      </c>
      <c r="G42" s="48">
        <v>0</v>
      </c>
      <c r="H42" s="48">
        <v>0</v>
      </c>
    </row>
    <row r="43" spans="1:8" x14ac:dyDescent="0.35">
      <c r="B43" s="32"/>
    </row>
    <row r="46" spans="1:8" x14ac:dyDescent="0.35">
      <c r="B46" s="26"/>
      <c r="C46" s="23"/>
      <c r="D46" s="23"/>
      <c r="E46" s="23"/>
      <c r="F46" s="23"/>
      <c r="G46" s="23"/>
      <c r="H46" s="23"/>
    </row>
    <row r="48" spans="1:8" x14ac:dyDescent="0.35">
      <c r="C48" s="24"/>
      <c r="D48" s="24"/>
      <c r="E48" s="24"/>
      <c r="F48" s="24"/>
      <c r="G48" s="24"/>
      <c r="H48" s="24"/>
    </row>
    <row r="49" spans="3:8" x14ac:dyDescent="0.35">
      <c r="C49" s="24"/>
      <c r="D49" s="24"/>
      <c r="E49" s="24"/>
      <c r="F49" s="24"/>
      <c r="G49" s="24"/>
      <c r="H49" s="24"/>
    </row>
    <row r="50" spans="3:8" x14ac:dyDescent="0.35">
      <c r="C50" s="25"/>
      <c r="D50" s="25"/>
      <c r="E50" s="25"/>
      <c r="F50" s="25"/>
      <c r="G50" s="25"/>
      <c r="H50" s="25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workbookViewId="0">
      <selection activeCell="I5" sqref="I5"/>
    </sheetView>
  </sheetViews>
  <sheetFormatPr defaultRowHeight="15" x14ac:dyDescent="0.25"/>
  <cols>
    <col min="2" max="2" width="63.140625" customWidth="1"/>
    <col min="3" max="8" width="18.5703125" customWidth="1"/>
    <col min="9" max="9" width="20.85546875" customWidth="1"/>
  </cols>
  <sheetData>
    <row r="2" spans="1:8" ht="31.5" customHeight="1" x14ac:dyDescent="0.25">
      <c r="B2" s="3"/>
      <c r="C2" s="4" t="s">
        <v>36</v>
      </c>
      <c r="D2" s="4" t="s">
        <v>37</v>
      </c>
      <c r="E2" s="4" t="s">
        <v>53</v>
      </c>
      <c r="F2" s="4" t="s">
        <v>59</v>
      </c>
      <c r="G2" s="4" t="s">
        <v>61</v>
      </c>
      <c r="H2" s="4" t="s">
        <v>67</v>
      </c>
    </row>
    <row r="3" spans="1:8" ht="41.25" customHeight="1" x14ac:dyDescent="0.25">
      <c r="A3" s="5" t="s">
        <v>7</v>
      </c>
      <c r="B3" s="5" t="s">
        <v>26</v>
      </c>
      <c r="C3" s="33">
        <v>3964340.2500000005</v>
      </c>
      <c r="D3" s="33">
        <f>C22</f>
        <v>4161172.85</v>
      </c>
      <c r="E3" s="33">
        <f>D22</f>
        <v>4431465.7299999995</v>
      </c>
      <c r="F3" s="33">
        <f>E22</f>
        <v>4297624.13</v>
      </c>
      <c r="G3" s="33">
        <f>F22</f>
        <v>4666537.01</v>
      </c>
      <c r="H3" s="33">
        <f>G22</f>
        <v>4700900.09</v>
      </c>
    </row>
    <row r="4" spans="1:8" ht="15.75" x14ac:dyDescent="0.25">
      <c r="A4" s="34"/>
      <c r="B4" s="34" t="s">
        <v>38</v>
      </c>
      <c r="C4" s="8">
        <v>338000</v>
      </c>
      <c r="D4" s="8">
        <v>337000</v>
      </c>
      <c r="E4" s="8">
        <v>337500</v>
      </c>
      <c r="F4" s="8">
        <v>338000</v>
      </c>
      <c r="G4" s="8">
        <v>676000</v>
      </c>
      <c r="H4" s="8">
        <v>672000</v>
      </c>
    </row>
    <row r="5" spans="1:8" ht="15.75" x14ac:dyDescent="0.25">
      <c r="A5" s="34"/>
      <c r="B5" s="34" t="s">
        <v>39</v>
      </c>
      <c r="C5" s="8">
        <v>290000</v>
      </c>
      <c r="D5" s="8">
        <v>340000</v>
      </c>
      <c r="E5" s="8">
        <v>366100</v>
      </c>
      <c r="F5" s="8">
        <v>330000</v>
      </c>
      <c r="G5" s="8">
        <v>606500</v>
      </c>
      <c r="H5" s="8">
        <v>583400</v>
      </c>
    </row>
    <row r="6" spans="1:8" ht="46.5" customHeight="1" x14ac:dyDescent="0.25">
      <c r="A6" s="34"/>
      <c r="B6" s="35" t="s">
        <v>40</v>
      </c>
      <c r="C6" s="10">
        <f>C4-C5</f>
        <v>48000</v>
      </c>
      <c r="D6" s="10">
        <f t="shared" ref="D6:E6" si="0">D4-D5</f>
        <v>-3000</v>
      </c>
      <c r="E6" s="10">
        <f t="shared" si="0"/>
        <v>-28600</v>
      </c>
      <c r="F6" s="10">
        <f t="shared" ref="F6:G6" si="1">F4-F5</f>
        <v>8000</v>
      </c>
      <c r="G6" s="10">
        <f t="shared" si="1"/>
        <v>69500</v>
      </c>
      <c r="H6" s="10">
        <f t="shared" ref="H6" si="2">H4-H5</f>
        <v>88600</v>
      </c>
    </row>
    <row r="7" spans="1:8" ht="46.5" customHeight="1" x14ac:dyDescent="0.25">
      <c r="A7" s="34"/>
      <c r="B7" s="9" t="s">
        <v>41</v>
      </c>
      <c r="C7" s="10">
        <f>1011944+C6</f>
        <v>1059944</v>
      </c>
      <c r="D7" s="10">
        <f>C7+D6-2000</f>
        <v>1054944</v>
      </c>
      <c r="E7" s="10">
        <f>D7+E6+2000+1000</f>
        <v>1029344</v>
      </c>
      <c r="F7" s="10">
        <f>E7+F6-500</f>
        <v>1036844</v>
      </c>
      <c r="G7" s="10">
        <f>F7+G6-500</f>
        <v>1105844</v>
      </c>
      <c r="H7" s="10">
        <f>G7+H6-500</f>
        <v>1193944</v>
      </c>
    </row>
    <row r="8" spans="1:8" ht="28.5" customHeight="1" x14ac:dyDescent="0.25">
      <c r="A8" s="39"/>
      <c r="B8" s="39" t="s">
        <v>45</v>
      </c>
      <c r="C8" s="39">
        <v>0</v>
      </c>
      <c r="D8" s="39">
        <v>0</v>
      </c>
      <c r="E8" s="39">
        <v>0</v>
      </c>
      <c r="F8" s="39">
        <v>0</v>
      </c>
      <c r="G8" s="39">
        <v>600000</v>
      </c>
      <c r="H8" s="39">
        <v>400000</v>
      </c>
    </row>
    <row r="9" spans="1:8" ht="21.75" customHeight="1" x14ac:dyDescent="0.25">
      <c r="A9" s="40"/>
      <c r="B9" s="40" t="s">
        <v>46</v>
      </c>
      <c r="C9" s="39">
        <f>34978.19+4423.21</f>
        <v>39401.4</v>
      </c>
      <c r="D9" s="39">
        <v>38592.879999999997</v>
      </c>
      <c r="E9" s="39">
        <v>0</v>
      </c>
      <c r="F9" s="39">
        <v>38912.879999999997</v>
      </c>
      <c r="G9" s="39">
        <v>40714.519999999997</v>
      </c>
      <c r="H9" s="39">
        <v>38333.839999999997</v>
      </c>
    </row>
    <row r="10" spans="1:8" ht="15.75" x14ac:dyDescent="0.25">
      <c r="A10" s="36"/>
      <c r="B10" s="36" t="s">
        <v>42</v>
      </c>
      <c r="C10" s="12">
        <f>SUM(C11:C17)</f>
        <v>132568.79999999999</v>
      </c>
      <c r="D10" s="12">
        <f t="shared" ref="D10:E10" si="3">SUM(D11:D17)</f>
        <v>108300</v>
      </c>
      <c r="E10" s="12">
        <f t="shared" si="3"/>
        <v>499941.6</v>
      </c>
      <c r="F10" s="12">
        <f t="shared" ref="F10" si="4">SUM(F11:F17)</f>
        <v>0</v>
      </c>
      <c r="G10" s="12">
        <f>SUM(G11:G18)</f>
        <v>1212851.44</v>
      </c>
      <c r="H10" s="12">
        <f>SUM(H11:H21)</f>
        <v>464930</v>
      </c>
    </row>
    <row r="11" spans="1:8" ht="47.25" x14ac:dyDescent="0.25">
      <c r="A11" s="13"/>
      <c r="B11" s="37" t="s">
        <v>43</v>
      </c>
      <c r="C11" s="38"/>
      <c r="D11" s="14"/>
      <c r="E11" s="14"/>
      <c r="F11" s="14"/>
      <c r="G11" s="14"/>
      <c r="H11" s="14"/>
    </row>
    <row r="12" spans="1:8" ht="18.75" customHeight="1" x14ac:dyDescent="0.25">
      <c r="A12" s="13"/>
      <c r="B12" s="44" t="s">
        <v>44</v>
      </c>
      <c r="C12" s="45">
        <v>132568.79999999999</v>
      </c>
      <c r="D12" s="45"/>
      <c r="E12" s="45">
        <v>92000</v>
      </c>
      <c r="F12" s="45"/>
      <c r="G12" s="45"/>
      <c r="H12" s="45"/>
    </row>
    <row r="13" spans="1:8" ht="15.75" x14ac:dyDescent="0.25">
      <c r="A13" s="13"/>
      <c r="B13" s="44" t="s">
        <v>48</v>
      </c>
      <c r="C13" s="46"/>
      <c r="D13" s="45">
        <f>72200+36100</f>
        <v>108300</v>
      </c>
      <c r="E13" s="45"/>
      <c r="F13" s="45"/>
      <c r="G13" s="45"/>
      <c r="H13" s="45"/>
    </row>
    <row r="14" spans="1:8" ht="15.75" x14ac:dyDescent="0.25">
      <c r="A14" s="13"/>
      <c r="B14" s="44" t="s">
        <v>54</v>
      </c>
      <c r="C14" s="46"/>
      <c r="D14" s="45"/>
      <c r="E14" s="45">
        <v>101845.6</v>
      </c>
      <c r="F14" s="45"/>
      <c r="G14" s="45"/>
      <c r="H14" s="45"/>
    </row>
    <row r="15" spans="1:8" ht="15.75" x14ac:dyDescent="0.25">
      <c r="A15" s="13"/>
      <c r="B15" s="44" t="s">
        <v>55</v>
      </c>
      <c r="C15" s="46"/>
      <c r="D15" s="45"/>
      <c r="E15" s="45">
        <v>97216</v>
      </c>
      <c r="F15" s="45"/>
      <c r="G15" s="45">
        <v>75761.440000000002</v>
      </c>
      <c r="H15" s="45"/>
    </row>
    <row r="16" spans="1:8" ht="15.75" x14ac:dyDescent="0.25">
      <c r="A16" s="13"/>
      <c r="B16" s="44" t="s">
        <v>56</v>
      </c>
      <c r="C16" s="38"/>
      <c r="D16" s="38"/>
      <c r="E16" s="45">
        <v>208880</v>
      </c>
      <c r="F16" s="45"/>
      <c r="G16" s="45"/>
      <c r="H16" s="45"/>
    </row>
    <row r="17" spans="1:8" ht="15.75" x14ac:dyDescent="0.25">
      <c r="A17" s="13"/>
      <c r="B17" s="44" t="s">
        <v>64</v>
      </c>
      <c r="C17" s="38"/>
      <c r="D17" s="38"/>
      <c r="E17" s="38"/>
      <c r="F17" s="38"/>
      <c r="G17" s="45">
        <v>1050000</v>
      </c>
      <c r="H17" s="45">
        <v>15000</v>
      </c>
    </row>
    <row r="18" spans="1:8" ht="15.75" x14ac:dyDescent="0.25">
      <c r="A18" s="13"/>
      <c r="B18" s="49" t="s">
        <v>65</v>
      </c>
      <c r="C18" s="38"/>
      <c r="D18" s="38"/>
      <c r="E18" s="38"/>
      <c r="F18" s="38"/>
      <c r="G18" s="45">
        <v>87090</v>
      </c>
      <c r="H18" s="45"/>
    </row>
    <row r="19" spans="1:8" ht="15.75" x14ac:dyDescent="0.25">
      <c r="A19" s="13"/>
      <c r="B19" s="49" t="s">
        <v>68</v>
      </c>
      <c r="C19" s="49"/>
      <c r="D19" s="49"/>
      <c r="E19" s="49"/>
      <c r="F19" s="49"/>
      <c r="G19" s="49"/>
      <c r="H19" s="45">
        <v>123500</v>
      </c>
    </row>
    <row r="20" spans="1:8" ht="15.75" x14ac:dyDescent="0.25">
      <c r="A20" s="13"/>
      <c r="B20" s="49" t="s">
        <v>69</v>
      </c>
      <c r="C20" s="49"/>
      <c r="D20" s="49"/>
      <c r="E20" s="49"/>
      <c r="F20" s="49"/>
      <c r="G20" s="49"/>
      <c r="H20" s="45">
        <v>289530</v>
      </c>
    </row>
    <row r="21" spans="1:8" ht="15.75" x14ac:dyDescent="0.25">
      <c r="A21" s="13"/>
      <c r="B21" s="49" t="s">
        <v>70</v>
      </c>
      <c r="C21" s="49"/>
      <c r="D21" s="49"/>
      <c r="E21" s="49"/>
      <c r="F21" s="49"/>
      <c r="G21" s="49"/>
      <c r="H21" s="45">
        <v>36900</v>
      </c>
    </row>
    <row r="22" spans="1:8" ht="43.5" customHeight="1" x14ac:dyDescent="0.25">
      <c r="A22" s="5"/>
      <c r="B22" s="41" t="s">
        <v>3</v>
      </c>
      <c r="C22" s="6">
        <f t="shared" ref="C22:H22" si="5">C3+C5-C10+C8+C9</f>
        <v>4161172.85</v>
      </c>
      <c r="D22" s="6">
        <f t="shared" si="5"/>
        <v>4431465.7299999995</v>
      </c>
      <c r="E22" s="6">
        <f t="shared" si="5"/>
        <v>4297624.13</v>
      </c>
      <c r="F22" s="6">
        <f t="shared" si="5"/>
        <v>4666537.01</v>
      </c>
      <c r="G22" s="6">
        <f t="shared" si="5"/>
        <v>4700900.09</v>
      </c>
      <c r="H22" s="6">
        <f>H3+H5-H10+H8+H9</f>
        <v>5257703.93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Членские взносы</vt:lpstr>
      <vt:lpstr>Целевые взносы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2026-07-27T15:32:24Z</dcterms:modified>
</cp:coreProperties>
</file>