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6b29cc9c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водные" sheetId="1" r:id="R94164667e8ab4ea8"/>
    <x:sheet xmlns:r="http://schemas.openxmlformats.org/officeDocument/2006/relationships" name="Сезонность" sheetId="2" r:id="R1ac8ee17a91c44c3"/>
    <x:sheet xmlns:r="http://schemas.openxmlformats.org/officeDocument/2006/relationships" name="План продаж" sheetId="3" r:id="R9d6037975fd64c29"/>
    <x:sheet xmlns:r="http://schemas.openxmlformats.org/officeDocument/2006/relationships" name="Экономика пары" sheetId="4" r:id="Rea249bf31f3c447e"/>
    <x:sheet xmlns:r="http://schemas.openxmlformats.org/officeDocument/2006/relationships" name="Операционные расходы" sheetId="5" r:id="R7a90409f39bd4557"/>
    <x:sheet xmlns:r="http://schemas.openxmlformats.org/officeDocument/2006/relationships" name="Долг" sheetId="6" r:id="R2be18b182b874902"/>
    <x:sheet xmlns:r="http://schemas.openxmlformats.org/officeDocument/2006/relationships" name="Склад и закупки" sheetId="7" r:id="R19eea0550f884cf4"/>
    <x:sheet xmlns:r="http://schemas.openxmlformats.org/officeDocument/2006/relationships" name="Отчет о прибылях" sheetId="8" r:id="Rf8800e6711024ae2"/>
    <x:sheet xmlns:r="http://schemas.openxmlformats.org/officeDocument/2006/relationships" name="Денежный поток" sheetId="9" r:id="R477739ca04344d83"/>
    <x:sheet xmlns:r="http://schemas.openxmlformats.org/officeDocument/2006/relationships" name="Резюме" sheetId="10" r:id="R266b8203c8ce4e9b"/>
    <x:sheet xmlns:r="http://schemas.openxmlformats.org/officeDocument/2006/relationships" name="Методика" sheetId="11" r:id="Rb6b1ba104fb94266"/>
    <x:sheet xmlns:r="http://schemas.openxmlformats.org/officeDocument/2006/relationships" name="Контроль" sheetId="12" r:id="R5b0466b16a7d402f"/>
    <x:sheet xmlns:r="http://schemas.openxmlformats.org/officeDocument/2006/relationships" name="Источники" sheetId="13" r:id="R270253c7a062429d"/>
    <x:sheet xmlns:r="http://schemas.openxmlformats.org/officeDocument/2006/relationships" name="Подбор объёма" sheetId="14" r:id="R7237dad5c51d4f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.mm.yyyy"/>
    <x:numFmt numFmtId="201" formatCode="#,##0;[Red](#,##0);-"/>
    <x:numFmt numFmtId="202" formatCode="0.0%;[Red](0.0%);-"/>
    <x:numFmt numFmtId="203" formatCode="0.000"/>
    <x:numFmt numFmtId="204" formatCode="mmm-yy"/>
    <x:numFmt numFmtId="205" formatCode="0"/>
    <x:numFmt numFmtId="206" formatCode="mmm yyyy"/>
  </x:numFmts>
  <x:fonts count="10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b/>
      <x:sz val="11"/>
      <x:name val="Carlito"/>
    </x:font>
    <x:font>
      <x:sz val="11"/>
      <x:color rgb="FF008000"/>
      <x:name val="Carlito"/>
    </x:font>
    <x:font>
      <x:b/>
      <x:sz val="11"/>
      <x:color rgb="FFC00000"/>
      <x:name val="Carlito"/>
    </x:font>
    <x:font>
      <x:b/>
      <x:sz val="11"/>
      <x:color rgb="FF0061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5">
    <x:border/>
    <x:border/>
    <x:border>
      <x:top style="thin">
        <x:color rgb="FF000000"/>
      </x:top>
    </x:border>
    <x:border>
      <x:top style="thin">
        <x:color rgb="FF000000"/>
      </x:top>
    </x:border>
    <x:border>
      <x:bottom style="thin">
        <x:color rgb="FF808080"/>
      </x:bottom>
    </x:border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3" fillId="0" borderId="0" xfId="0" applyNumberFormat="1" applyFont="1" applyFill="1" applyBorder="1"/>
    <x:xf numFmtId="202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  <x:xf numFmtId="202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wrapText="1"/>
    </x:xf>
    <x:xf numFmtId="202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3" fontId="3" fillId="0" borderId="0" xfId="0" applyNumberFormat="1" applyFont="1" applyFill="1" applyBorder="1"/>
    <x:xf numFmtId="203" fontId="3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0" fillId="3" borderId="0" xfId="0" applyNumberFormat="1" applyFont="1" applyFill="1" applyBorder="1"/>
    <x:xf numFmtId="203" fontId="5" fillId="3" borderId="0" xfId="0" applyNumberFormat="1" applyFont="1" applyFill="1" applyBorder="1"/>
    <x:xf numFmtId="201" fontId="0" fillId="3" borderId="0" xfId="0" applyNumberFormat="1" applyFont="1" applyFill="1" applyBorder="1"/>
    <x:xf numFmtId="0" fontId="0" fillId="3" borderId="1" xfId="0" applyNumberFormat="1" applyFont="1" applyFill="1" applyBorder="1"/>
    <x:xf numFmtId="203" fontId="5" fillId="3" borderId="1" xfId="0" applyNumberFormat="1" applyFont="1" applyFill="1" applyBorder="1"/>
    <x:xf numFmtId="201" fontId="0" fillId="3" borderId="1" xfId="0" applyNumberFormat="1" applyFont="1" applyFill="1" applyBorder="1"/>
    <x:xf numFmtId="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6" fillId="3" borderId="1" xfId="0" applyNumberFormat="1" applyFont="1" applyFill="1" applyBorder="1"/>
    <x:xf numFmtId="201" fontId="6" fillId="3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201" fontId="5" fillId="3" borderId="0" xfId="0" applyNumberFormat="1" applyFont="1" applyFill="1" applyBorder="1"/>
    <x:xf numFmtId="201" fontId="5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1" fontId="7" fillId="0" borderId="0" xfId="0" applyNumberFormat="1" applyFont="1" applyFill="1" applyBorder="1"/>
    <x:xf numFmtId="202" fontId="7" fillId="0" borderId="0" xfId="0" applyNumberFormat="1" applyFont="1" applyFill="1" applyBorder="1"/>
    <x:xf numFmtId="205" fontId="7" fillId="0" borderId="0" xfId="0" applyNumberFormat="1" applyFont="1" applyFill="1" applyBorder="1"/>
    <x:xf numFmtId="201" fontId="7" fillId="0" borderId="1" xfId="0" applyNumberFormat="1" applyFont="1" applyFill="1" applyBorder="1"/>
    <x:xf numFmtId="202" fontId="7" fillId="0" borderId="1" xfId="0" applyNumberFormat="1" applyFont="1" applyFill="1" applyBorder="1"/>
    <x:xf numFmtId="205" fontId="7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0" borderId="2" xfId="0" applyNumberFormat="1" applyFont="1" applyFill="1" applyBorder="1"/>
    <x:xf numFmtId="201" fontId="7" fillId="0" borderId="2" xfId="0" applyNumberFormat="1" applyFont="1" applyFill="1" applyBorder="1"/>
    <x:xf numFmtId="0" fontId="0" fillId="0" borderId="3" xfId="0" applyNumberFormat="1" applyFont="1" applyFill="1" applyBorder="1"/>
    <x:xf numFmtId="201" fontId="7" fillId="0" borderId="3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left"/>
    </x:xf>
    <x:xf numFmtId="0" fontId="1" fillId="5" borderId="0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4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200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4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color rgb="FFFF0000"/>
      </x:font>
    </x:dxf>
    <x:dxf>
      <x:font>
        <x:color rgb="FFFF0000"/>
      </x:font>
    </x:dxf>
    <x:dxf>
      <x:font>
        <x:color rgb="FFFF0000"/>
      </x:font>
    </x:dxf>
    <x:dxf>
      <x:font>
        <x:color rgb="FFFF0000"/>
      </x:font>
    </x:dxf>
    <x:dxf>
      <x:font>
        <x:b/>
        <x:color rgb="FFFF0000"/>
      </x:font>
    </x:dxf>
    <x:dxf>
      <x:font>
        <x:b/>
        <x:color rgb="FFFF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1dddf7cca458d" /><Relationship Type="http://schemas.openxmlformats.org/officeDocument/2006/relationships/theme" Target="/xl/theme/theme1.xml" Id="R99696f6383ff446f" /><Relationship Type="http://schemas.openxmlformats.org/officeDocument/2006/relationships/sharedStrings" Target="/xl/sharedStrings.xml" Id="R4e8245e327de42a1" /><Relationship Type="http://schemas.openxmlformats.org/officeDocument/2006/relationships/worksheet" Target="/xl/worksheets/sheet1.xml" Id="R94164667e8ab4ea8" /><Relationship Type="http://schemas.openxmlformats.org/officeDocument/2006/relationships/worksheet" Target="/xl/worksheets/sheet2.xml" Id="R1ac8ee17a91c44c3" /><Relationship Type="http://schemas.openxmlformats.org/officeDocument/2006/relationships/worksheet" Target="/xl/worksheets/sheet3.xml" Id="R9d6037975fd64c29" /><Relationship Type="http://schemas.openxmlformats.org/officeDocument/2006/relationships/worksheet" Target="/xl/worksheets/sheet4.xml" Id="Rea249bf31f3c447e" /><Relationship Type="http://schemas.openxmlformats.org/officeDocument/2006/relationships/worksheet" Target="/xl/worksheets/sheet5.xml" Id="R7a90409f39bd4557" /><Relationship Type="http://schemas.openxmlformats.org/officeDocument/2006/relationships/worksheet" Target="/xl/worksheets/sheet6.xml" Id="R2be18b182b874902" /><Relationship Type="http://schemas.openxmlformats.org/officeDocument/2006/relationships/worksheet" Target="/xl/worksheets/sheet7.xml" Id="R19eea0550f884cf4" /><Relationship Type="http://schemas.openxmlformats.org/officeDocument/2006/relationships/worksheet" Target="/xl/worksheets/sheet8.xml" Id="Rf8800e6711024ae2" /><Relationship Type="http://schemas.openxmlformats.org/officeDocument/2006/relationships/worksheet" Target="/xl/worksheets/sheet9.xml" Id="R477739ca04344d83" /><Relationship Type="http://schemas.openxmlformats.org/officeDocument/2006/relationships/worksheet" Target="/xl/worksheets/sheet10.xml" Id="R266b8203c8ce4e9b" /><Relationship Type="http://schemas.openxmlformats.org/officeDocument/2006/relationships/worksheet" Target="/xl/worksheets/sheet11.xml" Id="Rb6b1ba104fb94266" /><Relationship Type="http://schemas.openxmlformats.org/officeDocument/2006/relationships/worksheet" Target="/xl/worksheets/sheet12.xml" Id="R5b0466b16a7d402f" /><Relationship Type="http://schemas.openxmlformats.org/officeDocument/2006/relationships/worksheet" Target="/xl/worksheets/sheet13.xml" Id="R270253c7a062429d" /><Relationship Type="http://schemas.openxmlformats.org/officeDocument/2006/relationships/worksheet" Target="/xl/worksheets/sheet14.xml" Id="R7237dad5c51d4fd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10fe878a5954e2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Продажи vs операционный BEP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Средние продажи</c:v>
          </c:tx>
          <c:cat>
            <c:strRef>
              <c:f>'Резюме'!$F$4:$F$6</c:f>
              <c:strCache>
                <c:ptCount val="0"/>
              </c:strCache>
            </c:strRef>
          </c:cat>
          <c:val>
            <c:numRef>
              <c:f>'Резюме'!$G$4:$G$6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Опер. BEP</c:v>
          </c:tx>
          <c:cat>
            <c:strRef>
              <c:f>'Резюме'!$F$4:$F$6</c:f>
              <c:strCache>
                <c:ptCount val="0"/>
              </c:strCache>
            </c:strRef>
          </c:cat>
          <c:val>
            <c:numRef>
              <c:f>'Резюме'!$H$4:$H$6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7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0fe878a5954e2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7b5ad5af998444da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20" hidden="0" customWidth="1"/>
    <x:col min="4" max="4" width="33" hidden="0" customWidth="1"/>
  </x:cols>
  <x:sheetData>
    <x:row r="1" ht="26" customHeight="1">
      <x:c r="A1" s="4" t="str">
        <x:v>ФИНАНСОВАЯ МОДЕЛЬ — ПОДБОР ПРОДАЖ ПОД ЛИМИТ 15 МЛН</x:v>
      </x:c>
      <x:c r="B1" s="4"/>
      <x:c r="C1" s="4"/>
      <x:c r="D1" s="4"/>
    </x:row>
    <x:row r="3" ht="26.399999618530273" hidden="0" customHeight="1">
      <x:c r="A3" s="10" t="str">
        <x:v>Параметр</x:v>
      </x:c>
      <x:c r="B3" s="10" t="str">
        <x:v>Значение</x:v>
      </x:c>
      <x:c r="C3" s="10" t="str">
        <x:v>Ед.</x:v>
      </x:c>
      <x:c r="D3" s="10" t="str">
        <x:v>Источник / статус</x:v>
      </x:c>
    </x:row>
    <x:row r="4" ht="26.399999618530273" hidden="0" customHeight="1">
      <x:c r="A4" s="24" t="str">
        <x:v>Начало продаж</x:v>
      </x:c>
      <x:c r="B4" s="25" t="n">
        <x:v>46388</x:v>
      </x:c>
      <x:c r="C4" s="24" t="str">
        <x:v>дата</x:v>
      </x:c>
      <x:c r="D4" s="24" t="str">
        <x:v>Исходное условие проекта</x:v>
      </x:c>
    </x:row>
    <x:row r="5" ht="52.79999923706055" hidden="0" customHeight="1">
      <x:c r="A5" s="24" t="str">
        <x:v>Сумма займа</x:v>
      </x:c>
      <x:c r="B5" s="26" t="n">
        <x:v>15000000</x:v>
      </x:c>
      <x:c r="C5" s="24" t="str">
        <x:v>руб.</x:v>
      </x:c>
      <x:c r="D5" s="24" t="str">
        <x:v>Согласованное условие проекта</x:v>
      </x:c>
    </x:row>
    <x:row r="6" ht="52.79999923706055" hidden="0" customHeight="1">
      <x:c r="A6" s="24" t="str">
        <x:v>Срок займа</x:v>
      </x:c>
      <x:c r="B6" s="26" t="n">
        <x:v>36</x:v>
      </x:c>
      <x:c r="C6" s="24" t="str">
        <x:v>мес.</x:v>
      </x:c>
      <x:c r="D6" s="24" t="str">
        <x:v>Согласованное условие проекта</x:v>
      </x:c>
    </x:row>
    <x:row r="7" ht="52.79999923706055" hidden="0" customHeight="1">
      <x:c r="A7" s="24" t="str">
        <x:v>Ставка займа</x:v>
      </x:c>
      <x:c r="B7" s="27" t="n">
        <x:v>0.19</x:v>
      </x:c>
      <x:c r="C7" s="24" t="str">
        <x:v>% годовых</x:v>
      </x:c>
      <x:c r="D7" s="24" t="str">
        <x:v>Согласованное условие проекта</x:v>
      </x:c>
    </x:row>
    <x:row r="8" ht="66" hidden="0" customHeight="1">
      <x:c r="A8" s="24" t="str">
        <x:v>Начальные собственные деньги</x:v>
      </x:c>
      <x:c r="B8" s="26" t="n">
        <x:v>0</x:v>
      </x:c>
      <x:c r="C8" s="24" t="str">
        <x:v>руб.</x:v>
      </x:c>
      <x:c r="D8" s="24" t="str">
        <x:v>Согласованное условие проекта</x:v>
      </x:c>
    </x:row>
    <x:row r="9" ht="39.599998474121094" hidden="0" customHeight="1">
      <x:c r="A9" s="24" t="str">
        <x:v>Предстартовые расходы</x:v>
      </x:c>
      <x:c r="B9" s="26" t="n">
        <x:v>900000</x:v>
      </x:c>
      <x:c r="C9" s="24" t="str">
        <x:v>руб.</x:v>
      </x:c>
      <x:c r="D9" s="24" t="str">
        <x:v>Исходное условие проекта</x:v>
      </x:c>
    </x:row>
    <x:row r="10" ht="39.599998474121094" hidden="0" customHeight="1">
      <x:c r="A10" s="24" t="str">
        <x:v>Стартовая партия</x:v>
      </x:c>
      <x:c r="B10" s="26" t="n">
        <x:v>3000</x:v>
      </x:c>
      <x:c r="C10" s="24" t="str">
        <x:v>пар</x:v>
      </x:c>
      <x:c r="D10" s="24" t="str">
        <x:v>6 моделей × 500 пар</x:v>
      </x:c>
    </x:row>
    <x:row r="11" ht="52.79999923706055" hidden="0" customHeight="1">
      <x:c r="A11" s="24" t="str">
        <x:v>Дозаказ</x:v>
      </x:c>
      <x:c r="B11" s="26" t="n">
        <x:v>1000</x:v>
      </x:c>
      <x:c r="C11" s="24" t="str">
        <x:v>пар</x:v>
      </x:c>
      <x:c r="D11" s="24" t="str">
        <x:v>Согласованное условие проекта</x:v>
      </x:c>
    </x:row>
    <x:row r="12" ht="52.79999923706055" hidden="0" customHeight="1">
      <x:c r="A12" s="24" t="str">
        <x:v>Максимальный физический склад</x:v>
      </x:c>
      <x:c r="B12" s="26" t="n">
        <x:v>3000</x:v>
      </x:c>
      <x:c r="C12" s="24" t="str">
        <x:v>пар</x:v>
      </x:c>
      <x:c r="D12" s="24" t="str">
        <x:v>Согласованное условие проекта</x:v>
      </x:c>
    </x:row>
    <x:row r="13" ht="52.79999923706055" hidden="0" customHeight="1">
      <x:c r="A13" s="24" t="str">
        <x:v>Базовый сценарий: производство</x:v>
      </x:c>
      <x:c r="B13" s="26" t="n">
        <x:v>20</x:v>
      </x:c>
      <x:c r="C13" s="24" t="str">
        <x:v>дн.</x:v>
      </x:c>
      <x:c r="D13" s="24" t="str">
        <x:v>Принято для базового сценария поставки</x:v>
      </x:c>
    </x:row>
    <x:row r="14" ht="26.399999618530273" hidden="0" customHeight="1">
      <x:c r="A14" s="24" t="str">
        <x:v>Базовый сценарий: доставка</x:v>
      </x:c>
      <x:c r="B14" s="26" t="n">
        <x:v>20</x:v>
      </x:c>
      <x:c r="C14" s="24" t="str">
        <x:v>дн.</x:v>
      </x:c>
      <x:c r="D14" s="24" t="str">
        <x:v>Принято для базового сценария поставки</x:v>
      </x:c>
    </x:row>
    <x:row r="15" ht="26.399999618530273" hidden="0" customHeight="1">
      <x:c r="A15" s="24" t="str">
        <x:v>Оплата фабрике</x:v>
      </x:c>
      <x:c r="B15" s="28" t="str">
        <x:v>30/70</x:v>
      </x:c>
      <x:c r="C15" s="24" t="str">
        <x:v>—</x:v>
      </x:c>
      <x:c r="D15" s="24" t="str">
        <x:v>Принято для базового сценария поставки</x:v>
      </x:c>
    </x:row>
    <x:row r="16" ht="26.399999618530273" hidden="0" customHeight="1">
      <x:c r="A16" s="24" t="str">
        <x:v>Оплата опта</x:v>
      </x:c>
      <x:c r="B16" s="28" t="str">
        <x:v>сразу</x:v>
      </x:c>
      <x:c r="C16" s="24" t="str">
        <x:v>—</x:v>
      </x:c>
      <x:c r="D16" s="24" t="str">
        <x:v>Принято для базового сценария поставки</x:v>
      </x:c>
    </x:row>
    <x:row r="17" ht="52.79999923706055" hidden="0" customHeight="1">
      <x:c r="A17" s="24" t="str">
        <x:v>Доля опта</x:v>
      </x:c>
      <x:c r="B17" s="27" t="n">
        <x:v>0.7</x:v>
      </x:c>
      <x:c r="C17" s="24" t="str">
        <x:v>% пар</x:v>
      </x:c>
      <x:c r="D17" s="24" t="str">
        <x:v>Согласованное условие проекта</x:v>
      </x:c>
    </x:row>
    <x:row r="18" ht="52.79999923706055" hidden="0" customHeight="1">
      <x:c r="A18" s="24" t="str">
        <x:v>Доля розницы</x:v>
      </x:c>
      <x:c r="B18" s="27" t="n">
        <x:v>0.3</x:v>
      </x:c>
      <x:c r="C18" s="24" t="str">
        <x:v>% пар</x:v>
      </x:c>
      <x:c r="D18" s="24" t="str">
        <x:v>Согласованное условие проекта</x:v>
      </x:c>
    </x:row>
    <x:row r="19" ht="52.79999923706055" hidden="0" customHeight="1">
      <x:c r="A19" s="24" t="str">
        <x:v>Цена опт</x:v>
      </x:c>
      <x:c r="B19" s="26" t="n">
        <x:v>4000</x:v>
      </x:c>
      <x:c r="C19" s="24" t="str">
        <x:v>руб./пара</x:v>
      </x:c>
      <x:c r="D19" s="24" t="str">
        <x:v>Согласованное условие проекта</x:v>
      </x:c>
    </x:row>
    <x:row r="20" ht="52.79999923706055" hidden="0" customHeight="1">
      <x:c r="A20" s="24" t="str">
        <x:v>Цена розница</x:v>
      </x:c>
      <x:c r="B20" s="26" t="n">
        <x:v>8000</x:v>
      </x:c>
      <x:c r="C20" s="24" t="str">
        <x:v>руб./пара</x:v>
      </x:c>
      <x:c r="D20" s="24" t="str">
        <x:v>Согласованное условие проекта</x:v>
      </x:c>
    </x:row>
    <x:row r="21" ht="39.599998474121094" hidden="0" customHeight="1">
      <x:c r="A21" s="24" t="str">
        <x:v>Средневзвешенная цена</x:v>
      </x:c>
      <x:c r="B21" s="29" t="n">
        <x:f>B17*B19+B18*B20</x:f>
        <x:v>5200</x:v>
      </x:c>
      <x:c r="C21" s="24" t="str">
        <x:v>руб./пара</x:v>
      </x:c>
      <x:c r="D21" s="24" t="str">
        <x:v>Формула 70/30</x:v>
      </x:c>
    </x:row>
    <x:row r="22" ht="52.79999923706055" hidden="0" customHeight="1">
      <x:c r="A22" s="24" t="str">
        <x:v>Закупка 2027</x:v>
      </x:c>
      <x:c r="B22" s="26" t="n">
        <x:v>1300</x:v>
      </x:c>
      <x:c r="C22" s="24" t="str">
        <x:v>руб./пара</x:v>
      </x:c>
      <x:c r="D22" s="24" t="str">
        <x:v>Согласованное условие проекта</x:v>
      </x:c>
    </x:row>
    <x:row r="23" ht="52.79999923706055" hidden="0" customHeight="1">
      <x:c r="A23" s="24" t="str">
        <x:v>Международная логистика 2027</x:v>
      </x:c>
      <x:c r="B23" s="26" t="n">
        <x:v>300</x:v>
      </x:c>
      <x:c r="C23" s="24" t="str">
        <x:v>руб./пара</x:v>
      </x:c>
      <x:c r="D23" s="24" t="str">
        <x:v>Исходное условие проекта</x:v>
      </x:c>
    </x:row>
    <x:row r="24" ht="66" hidden="0" customHeight="1">
      <x:c r="A24" s="24" t="str">
        <x:v>Прочие импортные расходы 2027</x:v>
      </x:c>
      <x:c r="B24" s="26" t="n">
        <x:v>509.80401236</x:v>
      </x:c>
      <x:c r="C24" s="24" t="str">
        <x:v>руб./пара</x:v>
      </x:c>
      <x:c r="D24" s="24" t="str">
        <x:v>Расчётное допущение проекта</x:v>
      </x:c>
    </x:row>
    <x:row r="25" ht="79.19999694824219" hidden="0" customHeight="1">
      <x:c r="A25" s="24" t="str">
        <x:v>Полная импортная себестоимость 2027</x:v>
      </x:c>
      <x:c r="B25" s="29" t="n">
        <x:f>SUM(B22:B24)</x:f>
        <x:v>2109.80401236</x:v>
      </x:c>
      <x:c r="C25" s="24" t="str">
        <x:v>руб./пара</x:v>
      </x:c>
      <x:c r="D25" s="24" t="str">
        <x:v>Расчёт</x:v>
      </x:c>
    </x:row>
    <x:row r="26" ht="79.19999694824219" hidden="0" customHeight="1">
      <x:c r="A26" s="24" t="str">
        <x:v>Индексация импортной себестоимости</x:v>
      </x:c>
      <x:c r="B26" s="27" t="n">
        <x:v>0.05</x:v>
      </x:c>
      <x:c r="C26" s="24" t="str">
        <x:v>%/год</x:v>
      </x:c>
      <x:c r="D26" s="24" t="str">
        <x:v>Расчётное допущение проекта</x:v>
      </x:c>
    </x:row>
    <x:row r="27" ht="66" hidden="0" customHeight="1">
      <x:c r="A27" s="24" t="str">
        <x:v>Переменные расходы продажи 2027</x:v>
      </x:c>
      <x:c r="B27" s="26" t="n">
        <x:v>541</x:v>
      </x:c>
      <x:c r="C27" s="24" t="str">
        <x:v>руб./пара</x:v>
      </x:c>
      <x:c r="D27" s="24" t="str">
        <x:v>Расчётное допущение проекта</x:v>
      </x:c>
    </x:row>
    <x:row r="28" ht="66" hidden="0" customHeight="1">
      <x:c r="A28" s="24" t="str">
        <x:v>Индексация переменных расходов</x:v>
      </x:c>
      <x:c r="B28" s="27" t="n">
        <x:v>0.05</x:v>
      </x:c>
      <x:c r="C28" s="24" t="str">
        <x:v>%/год</x:v>
      </x:c>
      <x:c r="D28" s="24" t="str">
        <x:v>Расчётное допущение проекта</x:v>
      </x:c>
    </x:row>
    <x:row r="29" ht="52.79999923706055" hidden="0" customHeight="1">
      <x:c r="A29" s="24" t="str">
        <x:v>Постоянные расходы 2027</x:v>
      </x:c>
      <x:c r="B29" s="26" t="n">
        <x:v>950000</x:v>
      </x:c>
      <x:c r="C29" s="24" t="str">
        <x:v>руб./мес.</x:v>
      </x:c>
      <x:c r="D29" s="24" t="str">
        <x:v>Расчётное допущение проекта</x:v>
      </x:c>
    </x:row>
    <x:row r="30" ht="66" hidden="0" customHeight="1">
      <x:c r="A30" s="24" t="str">
        <x:v>Индексация постоянных расходов</x:v>
      </x:c>
      <x:c r="B30" s="27" t="n">
        <x:v>0.07</x:v>
      </x:c>
      <x:c r="C30" s="24" t="str">
        <x:v>%/год</x:v>
      </x:c>
      <x:c r="D30" s="24" t="str">
        <x:v>Расчётное допущение проекта</x:v>
      </x:c>
    </x:row>
    <x:row r="31" ht="39.599998474121094" hidden="0" customHeight="1">
      <x:c r="A31" s="24" t="str">
        <x:v>УСН Доходы</x:v>
      </x:c>
      <x:c r="B31" s="27" t="n">
        <x:v>0.06</x:v>
      </x:c>
      <x:c r="C31" s="24" t="str">
        <x:v>%</x:v>
      </x:c>
      <x:c r="D31" s="24" t="str">
        <x:v>Рабочее налоговое допущение</x:v>
      </x:c>
    </x:row>
    <x:row r="32" ht="39.599998474121094" hidden="0" customHeight="1">
      <x:c r="A32" s="24" t="str">
        <x:v>НДС</x:v>
      </x:c>
      <x:c r="B32" s="27" t="n">
        <x:v>0.05</x:v>
      </x:c>
      <x:c r="C32" s="24" t="str">
        <x:v>%</x:v>
      </x:c>
      <x:c r="D32" s="24" t="str">
        <x:v>Рабочее налоговое допущение</x:v>
      </x:c>
    </x:row>
    <x:row r="33" ht="52.79999923706055" hidden="0" customHeight="1">
      <x:c r="A33" s="24" t="str">
        <x:v>Контроль ниже порога</x:v>
      </x:c>
      <x:c r="B33" s="26" t="n">
        <x:v>701</x:v>
      </x:c>
      <x:c r="C33" s="24" t="str">
        <x:v>пар/мес. в среднем</x:v>
      </x:c>
      <x:c r="D33" s="24" t="str">
        <x:v>Расчёт: на 1 пару ниже найденного минимума</x:v>
      </x:c>
    </x:row>
    <x:row r="34" ht="52.79999923706055" hidden="0" customHeight="1">
      <x:c r="A34" s="24" t="str">
        <x:v>Минимум для займа 15 млн</x:v>
      </x:c>
      <x:c r="B34" s="26" t="n">
        <x:v>702</x:v>
      </x:c>
      <x:c r="C34" s="24" t="str">
        <x:v>пар/мес. в среднем</x:v>
      </x:c>
      <x:c r="D34" s="24" t="str">
        <x:v>Обратный подбор по денежному потоку: минимальный остаток ≥ 0</x:v>
      </x:c>
    </x:row>
    <x:row r="35" ht="52.79999923706055" hidden="0" customHeight="1">
      <x:c r="A35" s="24" t="str">
        <x:v>План с резервом ликвидности</x:v>
      </x:c>
      <x:c r="B35" s="26" t="n">
        <x:v>750</x:v>
      </x:c>
      <x:c r="C35" s="24" t="str">
        <x:v>пар/мес. в среднем</x:v>
      </x:c>
      <x:c r="D35" s="24" t="str">
        <x:v>Практический контрольный сценарий с денежным буфером</x:v>
      </x:c>
    </x:row>
    <x:row r="36" ht="39.599998474121094" hidden="0" customHeight="1">
      <x:c r="A36" s="24" t="str">
        <x:v>Горизонт продаж</x:v>
      </x:c>
      <x:c r="B36" s="26" t="n">
        <x:v>36</x:v>
      </x:c>
      <x:c r="C36" s="24" t="str">
        <x:v>мес.</x:v>
      </x:c>
      <x:c r="D36" s="24" t="str">
        <x:v>2027–2029, без роста</x:v>
      </x:c>
    </x:row>
    <x:row r="37">
      <x:c r="A37" s="86" t="str">
        <x:v>3 000 пар/мес.</x:v>
      </x:c>
      <x:c r="B37" s="87" t="str">
        <x:v>Верхняя планка, не план продаж</x:v>
      </x:c>
      <x:c r="C37" s="86" t="str">
        <x:v>—</x:v>
      </x:c>
      <x:c r="D37" s="86" t="str">
        <x:v>Согласовано для расчёта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42" hidden="0" customWidth="1"/>
  </x:cols>
  <x:sheetData>
    <x:row r="1" ht="26" customHeight="1">
      <x:c r="A1" s="4" t="str">
        <x:v>СЕЗОННОСТЬ ПРОДАЖ</x:v>
      </x:c>
      <x:c r="B1" s="4"/>
      <x:c r="C1" s="4"/>
      <x:c r="D1" s="4"/>
    </x:row>
    <x:row r="3">
      <x:c r="A3" s="10" t="str">
        <x:v>Месяц</x:v>
      </x:c>
      <x:c r="B3" s="10" t="str">
        <x:v>Коэффициент</x:v>
      </x:c>
      <x:c r="C3" s="10" t="str">
        <x:v>Сезонная база, пар</x:v>
      </x:c>
      <x:c r="D3" s="10" t="str">
        <x:v>Комментарий</x:v>
      </x:c>
    </x:row>
    <x:row r="4">
      <x:c r="A4" t="str">
        <x:v>Январь</x:v>
      </x:c>
      <x:c r="B4" s="40" t="n">
        <x:v>0.7333333333333333</x:v>
      </x:c>
      <x:c r="C4" s="18" t="n">
        <x:v>2200</x:v>
      </x:c>
      <x:c r="D4" t="str">
        <x:v>Используется только для расчёта коэффициента сезонности; не является планом продаж</x:v>
      </x:c>
    </x:row>
    <x:row r="5">
      <x:c r="A5" t="str">
        <x:v>Февраль</x:v>
      </x:c>
      <x:c r="B5" s="40" t="n">
        <x:v>0.8</x:v>
      </x:c>
      <x:c r="C5" s="18" t="n">
        <x:v>2400</x:v>
      </x:c>
      <x:c r="D5" t="str">
        <x:v>Используется только для расчёта коэффициента сезонности; не является планом продаж</x:v>
      </x:c>
    </x:row>
    <x:row r="6">
      <x:c r="A6" t="str">
        <x:v>Март</x:v>
      </x:c>
      <x:c r="B6" s="40" t="n">
        <x:v>1.1</x:v>
      </x:c>
      <x:c r="C6" s="18" t="n">
        <x:v>3300</x:v>
      </x:c>
      <x:c r="D6" t="str">
        <x:v>Используется только для расчёта коэффициента сезонности; не является планом продаж</x:v>
      </x:c>
    </x:row>
    <x:row r="7">
      <x:c r="A7" t="str">
        <x:v>Апрель</x:v>
      </x:c>
      <x:c r="B7" s="40" t="n">
        <x:v>1.2</x:v>
      </x:c>
      <x:c r="C7" s="18" t="n">
        <x:v>3600</x:v>
      </x:c>
      <x:c r="D7" t="str">
        <x:v>Используется только для расчёта коэффициента сезонности; не является планом продаж</x:v>
      </x:c>
    </x:row>
    <x:row r="8">
      <x:c r="A8" t="str">
        <x:v>Май</x:v>
      </x:c>
      <x:c r="B8" s="40" t="n">
        <x:v>0.9666666666666667</x:v>
      </x:c>
      <x:c r="C8" s="18" t="n">
        <x:v>2900</x:v>
      </x:c>
      <x:c r="D8" t="str">
        <x:v>Используется только для расчёта коэффициента сезонности; не является планом продаж</x:v>
      </x:c>
    </x:row>
    <x:row r="9">
      <x:c r="A9" t="str">
        <x:v>Июнь</x:v>
      </x:c>
      <x:c r="B9" s="40" t="n">
        <x:v>0.9333333333333333</x:v>
      </x:c>
      <x:c r="C9" s="18" t="n">
        <x:v>2800</x:v>
      </x:c>
      <x:c r="D9" t="str">
        <x:v>Используется только для расчёта коэффициента сезонности; не является планом продаж</x:v>
      </x:c>
    </x:row>
    <x:row r="10">
      <x:c r="A10" t="str">
        <x:v>Июль</x:v>
      </x:c>
      <x:c r="B10" s="40" t="n">
        <x:v>1</x:v>
      </x:c>
      <x:c r="C10" s="18" t="n">
        <x:v>3000</x:v>
      </x:c>
      <x:c r="D10" t="str">
        <x:v>Используется только для расчёта коэффициента сезонности; не является планом продаж</x:v>
      </x:c>
    </x:row>
    <x:row r="11">
      <x:c r="A11" t="str">
        <x:v>Август</x:v>
      </x:c>
      <x:c r="B11" s="40" t="n">
        <x:v>1.2</x:v>
      </x:c>
      <x:c r="C11" s="18" t="n">
        <x:v>3600</x:v>
      </x:c>
      <x:c r="D11" t="str">
        <x:v>Используется только для расчёта коэффициента сезонности; не является планом продаж</x:v>
      </x:c>
    </x:row>
    <x:row r="12">
      <x:c r="A12" t="str">
        <x:v>Сентябрь</x:v>
      </x:c>
      <x:c r="B12" s="40" t="n">
        <x:v>1.1666666666666667</x:v>
      </x:c>
      <x:c r="C12" s="18" t="n">
        <x:v>3500</x:v>
      </x:c>
      <x:c r="D12" t="str">
        <x:v>Используется только для расчёта коэффициента сезонности; не является планом продаж</x:v>
      </x:c>
    </x:row>
    <x:row r="13">
      <x:c r="A13" t="str">
        <x:v>Октябрь</x:v>
      </x:c>
      <x:c r="B13" s="40" t="n">
        <x:v>1</x:v>
      </x:c>
      <x:c r="C13" s="18" t="n">
        <x:v>3000</x:v>
      </x:c>
      <x:c r="D13" t="str">
        <x:v>Используется только для расчёта коэффициента сезонности; не является планом продаж</x:v>
      </x:c>
    </x:row>
    <x:row r="14">
      <x:c r="A14" t="str">
        <x:v>Ноябрь</x:v>
      </x:c>
      <x:c r="B14" s="40" t="n">
        <x:v>0.9666666666666667</x:v>
      </x:c>
      <x:c r="C14" s="18" t="n">
        <x:v>2900</x:v>
      </x:c>
      <x:c r="D14" t="str">
        <x:v>Используется только для расчёта коэффициента сезонности; не является планом продаж</x:v>
      </x:c>
    </x:row>
    <x:row r="15">
      <x:c r="A15" t="str">
        <x:v>Декабрь</x:v>
      </x:c>
      <x:c r="B15" s="40" t="n">
        <x:v>0.9333333333333333</x:v>
      </x:c>
      <x:c r="C15" s="18" t="n">
        <x:v>2800</x:v>
      </x:c>
      <x:c r="D15" t="str">
        <x:v>Используется только для расчёта коэффициента сезонности; не является планом продаж</x:v>
      </x:c>
    </x:row>
    <x:row r="16">
      <x:c r="A16" s="50" t="str">
        <x:v>ИТОГО</x:v>
      </x:c>
      <x:c r="B16" s="45" t="n">
        <x:f>SUM(B4:B15)</x:f>
        <x:v>12</x:v>
      </x:c>
      <x:c r="C16" s="51" t="n">
        <x:v>36000</x:v>
      </x:c>
      <x:c r="D16" s="50" t="str">
        <x:v>Сезонность сохранена; фактический объём задаётся выбранным средним уровнем продаж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2" hidden="0" customWidth="1"/>
    <x:col min="3" max="3" width="10" hidden="0" customWidth="1"/>
    <x:col min="4" max="4" width="19" hidden="0" customWidth="1"/>
    <x:col min="5" max="5" width="15" hidden="0" customWidth="1"/>
    <x:col min="6" max="6" width="18" hidden="0" customWidth="1"/>
    <x:col min="7" max="7" width="24" hidden="0" customWidth="1"/>
    <x:col min="8" max="8" width="20" hidden="0" customWidth="1"/>
    <x:col min="9" max="9" width="23" hidden="0" customWidth="1"/>
  </x:cols>
  <x:sheetData>
    <x:row r="1" ht="26" customHeight="1">
      <x:c r="A1" s="4" t="str">
        <x:v>ПЛАН ПРОДАЖ НА 36 МЕСЯЦЕВ — ПОРОГ ФИНАНСИРОВАНИЯ</x:v>
      </x:c>
      <x:c r="B1" s="4"/>
      <x:c r="C1" s="4"/>
      <x:c r="D1" s="4"/>
      <x:c r="E1" s="4"/>
      <x:c r="F1" s="4"/>
      <x:c r="G1" s="4"/>
      <x:c r="H1" s="4"/>
      <x:c r="I1" s="4"/>
    </x:row>
    <x:row r="3">
      <x:c r="A3" s="10" t="str">
        <x:v>№</x:v>
      </x:c>
      <x:c r="B3" s="10" t="str">
        <x:v>Месяц</x:v>
      </x:c>
      <x:c r="C3" s="10" t="str">
        <x:v>Коэф.</x:v>
      </x:c>
      <x:c r="D3" s="10" t="str">
        <x:v>701 пар/мес. — ниже порога</x:v>
      </x:c>
      <x:c r="E3" s="10" t="str">
        <x:v>702 пар/мес. — минимум</x:v>
      </x:c>
      <x:c r="F3" s="10" t="str">
        <x:v>750 пар/мес. — с резервом</x:v>
      </x:c>
      <x:c r="G3" s="10" t="str">
        <x:v>Выручка 701, руб.</x:v>
      </x:c>
      <x:c r="H3" s="10" t="str">
        <x:v>Выручка 702, руб.</x:v>
      </x:c>
      <x:c r="I3" s="10" t="str">
        <x:v>Выручка 750, руб.</x:v>
      </x:c>
    </x:row>
    <x:row r="4">
      <x:c r="A4" t="n">
        <x:v>1</x:v>
      </x:c>
      <x:c r="B4" s="54" t="n">
        <x:v>46388</x:v>
      </x:c>
      <x:c r="C4" s="56" t="n">
        <x:f>'Сезонность'!B4</x:f>
        <x:v>0.7333333333333333</x:v>
      </x:c>
      <x:c r="D4" s="20" t="n">
        <x:f>ROUND(C4*'Вводные'!$B$33,0)</x:f>
        <x:v>514</x:v>
      </x:c>
      <x:c r="E4" s="20" t="n">
        <x:f>ROUND(C4*'Вводные'!$B$34,0)</x:f>
        <x:v>515</x:v>
      </x:c>
      <x:c r="F4" s="20" t="n">
        <x:f>ROUND(C4*'Вводные'!$B$35,0)</x:f>
        <x:v>550</x:v>
      </x:c>
      <x:c r="G4" s="20" t="n">
        <x:f>D4*'Вводные'!$B$21</x:f>
        <x:v>2672800</x:v>
      </x:c>
      <x:c r="H4" s="20" t="n">
        <x:f>E4*'Вводные'!$B$21</x:f>
        <x:v>2678000</x:v>
      </x:c>
      <x:c r="I4" s="20" t="n">
        <x:f>F4*'Вводные'!$B$21</x:f>
        <x:v>2860000</x:v>
      </x:c>
    </x:row>
    <x:row r="5">
      <x:c r="A5" t="n">
        <x:v>2</x:v>
      </x:c>
      <x:c r="B5" s="54" t="n">
        <x:v>46419</x:v>
      </x:c>
      <x:c r="C5" s="56" t="n">
        <x:f>'Сезонность'!B5</x:f>
        <x:v>0.8</x:v>
      </x:c>
      <x:c r="D5" s="20" t="n">
        <x:f>ROUND(C5*'Вводные'!$B$33,0)</x:f>
        <x:v>561</x:v>
      </x:c>
      <x:c r="E5" s="20" t="n">
        <x:f>ROUND(C5*'Вводные'!$B$34,0)</x:f>
        <x:v>562</x:v>
      </x:c>
      <x:c r="F5" s="20" t="n">
        <x:f>ROUND(C5*'Вводные'!$B$35,0)</x:f>
        <x:v>600</x:v>
      </x:c>
      <x:c r="G5" s="20" t="n">
        <x:f>D5*'Вводные'!$B$21</x:f>
        <x:v>2917200</x:v>
      </x:c>
      <x:c r="H5" s="20" t="n">
        <x:f>E5*'Вводные'!$B$21</x:f>
        <x:v>2922400</x:v>
      </x:c>
      <x:c r="I5" s="20" t="n">
        <x:f>F5*'Вводные'!$B$21</x:f>
        <x:v>3120000</x:v>
      </x:c>
    </x:row>
    <x:row r="6">
      <x:c r="A6" t="n">
        <x:v>3</x:v>
      </x:c>
      <x:c r="B6" s="54" t="n">
        <x:v>46447</x:v>
      </x:c>
      <x:c r="C6" s="56" t="n">
        <x:f>'Сезонность'!B6</x:f>
        <x:v>1.1</x:v>
      </x:c>
      <x:c r="D6" s="20" t="n">
        <x:f>ROUND(C6*'Вводные'!$B$33,0)</x:f>
        <x:v>771</x:v>
      </x:c>
      <x:c r="E6" s="20" t="n">
        <x:f>ROUND(C6*'Вводные'!$B$34,0)</x:f>
        <x:v>772</x:v>
      </x:c>
      <x:c r="F6" s="20" t="n">
        <x:f>ROUND(C6*'Вводные'!$B$35,0)</x:f>
        <x:v>825</x:v>
      </x:c>
      <x:c r="G6" s="20" t="n">
        <x:f>D6*'Вводные'!$B$21</x:f>
        <x:v>4009200</x:v>
      </x:c>
      <x:c r="H6" s="20" t="n">
        <x:f>E6*'Вводные'!$B$21</x:f>
        <x:v>4014400</x:v>
      </x:c>
      <x:c r="I6" s="20" t="n">
        <x:f>F6*'Вводные'!$B$21</x:f>
        <x:v>4290000</x:v>
      </x:c>
    </x:row>
    <x:row r="7">
      <x:c r="A7" t="n">
        <x:v>4</x:v>
      </x:c>
      <x:c r="B7" s="54" t="n">
        <x:v>46478</x:v>
      </x:c>
      <x:c r="C7" s="56" t="n">
        <x:f>'Сезонность'!B7</x:f>
        <x:v>1.2</x:v>
      </x:c>
      <x:c r="D7" s="20" t="n">
        <x:f>ROUND(C7*'Вводные'!$B$33,0)</x:f>
        <x:v>841</x:v>
      </x:c>
      <x:c r="E7" s="20" t="n">
        <x:f>ROUND(C7*'Вводные'!$B$34,0)</x:f>
        <x:v>842</x:v>
      </x:c>
      <x:c r="F7" s="20" t="n">
        <x:f>ROUND(C7*'Вводные'!$B$35,0)</x:f>
        <x:v>900</x:v>
      </x:c>
      <x:c r="G7" s="20" t="n">
        <x:f>D7*'Вводные'!$B$21</x:f>
        <x:v>4373200</x:v>
      </x:c>
      <x:c r="H7" s="20" t="n">
        <x:f>E7*'Вводные'!$B$21</x:f>
        <x:v>4378400</x:v>
      </x:c>
      <x:c r="I7" s="20" t="n">
        <x:f>F7*'Вводные'!$B$21</x:f>
        <x:v>4680000</x:v>
      </x:c>
    </x:row>
    <x:row r="8">
      <x:c r="A8" t="n">
        <x:v>5</x:v>
      </x:c>
      <x:c r="B8" s="54" t="n">
        <x:v>46508</x:v>
      </x:c>
      <x:c r="C8" s="56" t="n">
        <x:f>'Сезонность'!B8</x:f>
        <x:v>0.9666666666666667</x:v>
      </x:c>
      <x:c r="D8" s="20" t="n">
        <x:f>ROUND(C8*'Вводные'!$B$33,0)</x:f>
        <x:v>678</x:v>
      </x:c>
      <x:c r="E8" s="20" t="n">
        <x:f>ROUND(C8*'Вводные'!$B$34,0)</x:f>
        <x:v>679</x:v>
      </x:c>
      <x:c r="F8" s="20" t="n">
        <x:f>ROUND(C8*'Вводные'!$B$35,0)</x:f>
        <x:v>725</x:v>
      </x:c>
      <x:c r="G8" s="20" t="n">
        <x:f>D8*'Вводные'!$B$21</x:f>
        <x:v>3525600</x:v>
      </x:c>
      <x:c r="H8" s="20" t="n">
        <x:f>E8*'Вводные'!$B$21</x:f>
        <x:v>3530800</x:v>
      </x:c>
      <x:c r="I8" s="20" t="n">
        <x:f>F8*'Вводные'!$B$21</x:f>
        <x:v>3770000</x:v>
      </x:c>
    </x:row>
    <x:row r="9">
      <x:c r="A9" t="n">
        <x:v>6</x:v>
      </x:c>
      <x:c r="B9" s="54" t="n">
        <x:v>46539</x:v>
      </x:c>
      <x:c r="C9" s="56" t="n">
        <x:f>'Сезонность'!B9</x:f>
        <x:v>0.9333333333333333</x:v>
      </x:c>
      <x:c r="D9" s="20" t="n">
        <x:f>ROUND(C9*'Вводные'!$B$33,0)</x:f>
        <x:v>654</x:v>
      </x:c>
      <x:c r="E9" s="20" t="n">
        <x:f>ROUND(C9*'Вводные'!$B$34,0)</x:f>
        <x:v>655</x:v>
      </x:c>
      <x:c r="F9" s="20" t="n">
        <x:f>ROUND(C9*'Вводные'!$B$35,0)</x:f>
        <x:v>700</x:v>
      </x:c>
      <x:c r="G9" s="20" t="n">
        <x:f>D9*'Вводные'!$B$21</x:f>
        <x:v>3400800</x:v>
      </x:c>
      <x:c r="H9" s="20" t="n">
        <x:f>E9*'Вводные'!$B$21</x:f>
        <x:v>3406000</x:v>
      </x:c>
      <x:c r="I9" s="20" t="n">
        <x:f>F9*'Вводные'!$B$21</x:f>
        <x:v>3640000</x:v>
      </x:c>
    </x:row>
    <x:row r="10">
      <x:c r="A10" t="n">
        <x:v>7</x:v>
      </x:c>
      <x:c r="B10" s="54" t="n">
        <x:v>46569</x:v>
      </x:c>
      <x:c r="C10" s="56" t="n">
        <x:f>'Сезонность'!B10</x:f>
        <x:v>1</x:v>
      </x:c>
      <x:c r="D10" s="20" t="n">
        <x:f>ROUND(C10*'Вводные'!$B$33,0)</x:f>
        <x:v>701</x:v>
      </x:c>
      <x:c r="E10" s="20" t="n">
        <x:f>ROUND(C10*'Вводные'!$B$34,0)</x:f>
        <x:v>702</x:v>
      </x:c>
      <x:c r="F10" s="20" t="n">
        <x:f>ROUND(C10*'Вводные'!$B$35,0)</x:f>
        <x:v>750</x:v>
      </x:c>
      <x:c r="G10" s="20" t="n">
        <x:f>D10*'Вводные'!$B$21</x:f>
        <x:v>3645200</x:v>
      </x:c>
      <x:c r="H10" s="20" t="n">
        <x:f>E10*'Вводные'!$B$21</x:f>
        <x:v>3650400</x:v>
      </x:c>
      <x:c r="I10" s="20" t="n">
        <x:f>F10*'Вводные'!$B$21</x:f>
        <x:v>3900000</x:v>
      </x:c>
    </x:row>
    <x:row r="11">
      <x:c r="A11" t="n">
        <x:v>8</x:v>
      </x:c>
      <x:c r="B11" s="54" t="n">
        <x:v>46600</x:v>
      </x:c>
      <x:c r="C11" s="56" t="n">
        <x:f>'Сезонность'!B11</x:f>
        <x:v>1.2</x:v>
      </x:c>
      <x:c r="D11" s="20" t="n">
        <x:f>ROUND(C11*'Вводные'!$B$33,0)</x:f>
        <x:v>841</x:v>
      </x:c>
      <x:c r="E11" s="20" t="n">
        <x:f>ROUND(C11*'Вводные'!$B$34,0)</x:f>
        <x:v>842</x:v>
      </x:c>
      <x:c r="F11" s="20" t="n">
        <x:f>ROUND(C11*'Вводные'!$B$35,0)</x:f>
        <x:v>900</x:v>
      </x:c>
      <x:c r="G11" s="20" t="n">
        <x:f>D11*'Вводные'!$B$21</x:f>
        <x:v>4373200</x:v>
      </x:c>
      <x:c r="H11" s="20" t="n">
        <x:f>E11*'Вводные'!$B$21</x:f>
        <x:v>4378400</x:v>
      </x:c>
      <x:c r="I11" s="20" t="n">
        <x:f>F11*'Вводные'!$B$21</x:f>
        <x:v>4680000</x:v>
      </x:c>
    </x:row>
    <x:row r="12">
      <x:c r="A12" t="n">
        <x:v>9</x:v>
      </x:c>
      <x:c r="B12" s="54" t="n">
        <x:v>46631</x:v>
      </x:c>
      <x:c r="C12" s="56" t="n">
        <x:f>'Сезонность'!B12</x:f>
        <x:v>1.1666666666666667</x:v>
      </x:c>
      <x:c r="D12" s="20" t="n">
        <x:f>ROUND(C12*'Вводные'!$B$33,0)</x:f>
        <x:v>818</x:v>
      </x:c>
      <x:c r="E12" s="20" t="n">
        <x:f>ROUND(C12*'Вводные'!$B$34,0)</x:f>
        <x:v>819</x:v>
      </x:c>
      <x:c r="F12" s="20" t="n">
        <x:f>ROUND(C12*'Вводные'!$B$35,0)</x:f>
        <x:v>875</x:v>
      </x:c>
      <x:c r="G12" s="20" t="n">
        <x:f>D12*'Вводные'!$B$21</x:f>
        <x:v>4253600</x:v>
      </x:c>
      <x:c r="H12" s="20" t="n">
        <x:f>E12*'Вводные'!$B$21</x:f>
        <x:v>4258800</x:v>
      </x:c>
      <x:c r="I12" s="20" t="n">
        <x:f>F12*'Вводные'!$B$21</x:f>
        <x:v>4550000</x:v>
      </x:c>
    </x:row>
    <x:row r="13">
      <x:c r="A13" t="n">
        <x:v>10</x:v>
      </x:c>
      <x:c r="B13" s="54" t="n">
        <x:v>46661</x:v>
      </x:c>
      <x:c r="C13" s="56" t="n">
        <x:f>'Сезонность'!B13</x:f>
        <x:v>1</x:v>
      </x:c>
      <x:c r="D13" s="20" t="n">
        <x:f>ROUND(C13*'Вводные'!$B$33,0)</x:f>
        <x:v>701</x:v>
      </x:c>
      <x:c r="E13" s="20" t="n">
        <x:f>ROUND(C13*'Вводные'!$B$34,0)</x:f>
        <x:v>702</x:v>
      </x:c>
      <x:c r="F13" s="20" t="n">
        <x:f>ROUND(C13*'Вводные'!$B$35,0)</x:f>
        <x:v>750</x:v>
      </x:c>
      <x:c r="G13" s="20" t="n">
        <x:f>D13*'Вводные'!$B$21</x:f>
        <x:v>3645200</x:v>
      </x:c>
      <x:c r="H13" s="20" t="n">
        <x:f>E13*'Вводные'!$B$21</x:f>
        <x:v>3650400</x:v>
      </x:c>
      <x:c r="I13" s="20" t="n">
        <x:f>F13*'Вводные'!$B$21</x:f>
        <x:v>3900000</x:v>
      </x:c>
    </x:row>
    <x:row r="14">
      <x:c r="A14" t="n">
        <x:v>11</x:v>
      </x:c>
      <x:c r="B14" s="54" t="n">
        <x:v>46692</x:v>
      </x:c>
      <x:c r="C14" s="56" t="n">
        <x:f>'Сезонность'!B14</x:f>
        <x:v>0.9666666666666667</x:v>
      </x:c>
      <x:c r="D14" s="20" t="n">
        <x:f>ROUND(C14*'Вводные'!$B$33,0)</x:f>
        <x:v>678</x:v>
      </x:c>
      <x:c r="E14" s="20" t="n">
        <x:f>ROUND(C14*'Вводные'!$B$34,0)</x:f>
        <x:v>679</x:v>
      </x:c>
      <x:c r="F14" s="20" t="n">
        <x:f>ROUND(C14*'Вводные'!$B$35,0)</x:f>
        <x:v>725</x:v>
      </x:c>
      <x:c r="G14" s="20" t="n">
        <x:f>D14*'Вводные'!$B$21</x:f>
        <x:v>3525600</x:v>
      </x:c>
      <x:c r="H14" s="20" t="n">
        <x:f>E14*'Вводные'!$B$21</x:f>
        <x:v>3530800</x:v>
      </x:c>
      <x:c r="I14" s="20" t="n">
        <x:f>F14*'Вводные'!$B$21</x:f>
        <x:v>3770000</x:v>
      </x:c>
    </x:row>
    <x:row r="15">
      <x:c r="A15" t="n">
        <x:v>12</x:v>
      </x:c>
      <x:c r="B15" s="54" t="n">
        <x:v>46722</x:v>
      </x:c>
      <x:c r="C15" s="56" t="n">
        <x:f>'Сезонность'!B15</x:f>
        <x:v>0.9333333333333333</x:v>
      </x:c>
      <x:c r="D15" s="20" t="n">
        <x:f>ROUND(C15*'Вводные'!$B$33,0)</x:f>
        <x:v>654</x:v>
      </x:c>
      <x:c r="E15" s="20" t="n">
        <x:f>ROUND(C15*'Вводные'!$B$34,0)</x:f>
        <x:v>655</x:v>
      </x:c>
      <x:c r="F15" s="20" t="n">
        <x:f>ROUND(C15*'Вводные'!$B$35,0)</x:f>
        <x:v>700</x:v>
      </x:c>
      <x:c r="G15" s="20" t="n">
        <x:f>D15*'Вводные'!$B$21</x:f>
        <x:v>3400800</x:v>
      </x:c>
      <x:c r="H15" s="20" t="n">
        <x:f>E15*'Вводные'!$B$21</x:f>
        <x:v>3406000</x:v>
      </x:c>
      <x:c r="I15" s="20" t="n">
        <x:f>F15*'Вводные'!$B$21</x:f>
        <x:v>3640000</x:v>
      </x:c>
    </x:row>
    <x:row r="16">
      <x:c r="A16" t="n">
        <x:v>13</x:v>
      </x:c>
      <x:c r="B16" s="54" t="n">
        <x:v>46753</x:v>
      </x:c>
      <x:c r="C16" s="56" t="n">
        <x:f>'Сезонность'!B4</x:f>
        <x:v>0.7333333333333333</x:v>
      </x:c>
      <x:c r="D16" s="20" t="n">
        <x:f>ROUND(C16*'Вводные'!$B$33,0)</x:f>
        <x:v>514</x:v>
      </x:c>
      <x:c r="E16" s="20" t="n">
        <x:f>ROUND(C16*'Вводные'!$B$34,0)</x:f>
        <x:v>515</x:v>
      </x:c>
      <x:c r="F16" s="20" t="n">
        <x:f>ROUND(C16*'Вводные'!$B$35,0)</x:f>
        <x:v>550</x:v>
      </x:c>
      <x:c r="G16" s="20" t="n">
        <x:f>D16*'Вводные'!$B$21</x:f>
        <x:v>2672800</x:v>
      </x:c>
      <x:c r="H16" s="20" t="n">
        <x:f>E16*'Вводные'!$B$21</x:f>
        <x:v>2678000</x:v>
      </x:c>
      <x:c r="I16" s="20" t="n">
        <x:f>F16*'Вводные'!$B$21</x:f>
        <x:v>2860000</x:v>
      </x:c>
    </x:row>
    <x:row r="17">
      <x:c r="A17" t="n">
        <x:v>14</x:v>
      </x:c>
      <x:c r="B17" s="54" t="n">
        <x:v>46784</x:v>
      </x:c>
      <x:c r="C17" s="56" t="n">
        <x:f>'Сезонность'!B5</x:f>
        <x:v>0.8</x:v>
      </x:c>
      <x:c r="D17" s="20" t="n">
        <x:f>ROUND(C17*'Вводные'!$B$33,0)</x:f>
        <x:v>561</x:v>
      </x:c>
      <x:c r="E17" s="20" t="n">
        <x:f>ROUND(C17*'Вводные'!$B$34,0)</x:f>
        <x:v>562</x:v>
      </x:c>
      <x:c r="F17" s="20" t="n">
        <x:f>ROUND(C17*'Вводные'!$B$35,0)</x:f>
        <x:v>600</x:v>
      </x:c>
      <x:c r="G17" s="20" t="n">
        <x:f>D17*'Вводные'!$B$21</x:f>
        <x:v>2917200</x:v>
      </x:c>
      <x:c r="H17" s="20" t="n">
        <x:f>E17*'Вводные'!$B$21</x:f>
        <x:v>2922400</x:v>
      </x:c>
      <x:c r="I17" s="20" t="n">
        <x:f>F17*'Вводные'!$B$21</x:f>
        <x:v>3120000</x:v>
      </x:c>
    </x:row>
    <x:row r="18">
      <x:c r="A18" t="n">
        <x:v>15</x:v>
      </x:c>
      <x:c r="B18" s="54" t="n">
        <x:v>46813</x:v>
      </x:c>
      <x:c r="C18" s="56" t="n">
        <x:f>'Сезонность'!B6</x:f>
        <x:v>1.1</x:v>
      </x:c>
      <x:c r="D18" s="20" t="n">
        <x:f>ROUND(C18*'Вводные'!$B$33,0)</x:f>
        <x:v>771</x:v>
      </x:c>
      <x:c r="E18" s="20" t="n">
        <x:f>ROUND(C18*'Вводные'!$B$34,0)</x:f>
        <x:v>772</x:v>
      </x:c>
      <x:c r="F18" s="20" t="n">
        <x:f>ROUND(C18*'Вводные'!$B$35,0)</x:f>
        <x:v>825</x:v>
      </x:c>
      <x:c r="G18" s="20" t="n">
        <x:f>D18*'Вводные'!$B$21</x:f>
        <x:v>4009200</x:v>
      </x:c>
      <x:c r="H18" s="20" t="n">
        <x:f>E18*'Вводные'!$B$21</x:f>
        <x:v>4014400</x:v>
      </x:c>
      <x:c r="I18" s="20" t="n">
        <x:f>F18*'Вводные'!$B$21</x:f>
        <x:v>4290000</x:v>
      </x:c>
    </x:row>
    <x:row r="19">
      <x:c r="A19" t="n">
        <x:v>16</x:v>
      </x:c>
      <x:c r="B19" s="54" t="n">
        <x:v>46844</x:v>
      </x:c>
      <x:c r="C19" s="56" t="n">
        <x:f>'Сезонность'!B7</x:f>
        <x:v>1.2</x:v>
      </x:c>
      <x:c r="D19" s="20" t="n">
        <x:f>ROUND(C19*'Вводные'!$B$33,0)</x:f>
        <x:v>841</x:v>
      </x:c>
      <x:c r="E19" s="20" t="n">
        <x:f>ROUND(C19*'Вводные'!$B$34,0)</x:f>
        <x:v>842</x:v>
      </x:c>
      <x:c r="F19" s="20" t="n">
        <x:f>ROUND(C19*'Вводные'!$B$35,0)</x:f>
        <x:v>900</x:v>
      </x:c>
      <x:c r="G19" s="20" t="n">
        <x:f>D19*'Вводные'!$B$21</x:f>
        <x:v>4373200</x:v>
      </x:c>
      <x:c r="H19" s="20" t="n">
        <x:f>E19*'Вводные'!$B$21</x:f>
        <x:v>4378400</x:v>
      </x:c>
      <x:c r="I19" s="20" t="n">
        <x:f>F19*'Вводные'!$B$21</x:f>
        <x:v>4680000</x:v>
      </x:c>
    </x:row>
    <x:row r="20">
      <x:c r="A20" t="n">
        <x:v>17</x:v>
      </x:c>
      <x:c r="B20" s="54" t="n">
        <x:v>46874</x:v>
      </x:c>
      <x:c r="C20" s="56" t="n">
        <x:f>'Сезонность'!B8</x:f>
        <x:v>0.9666666666666667</x:v>
      </x:c>
      <x:c r="D20" s="20" t="n">
        <x:f>ROUND(C20*'Вводные'!$B$33,0)</x:f>
        <x:v>678</x:v>
      </x:c>
      <x:c r="E20" s="20" t="n">
        <x:f>ROUND(C20*'Вводные'!$B$34,0)</x:f>
        <x:v>679</x:v>
      </x:c>
      <x:c r="F20" s="20" t="n">
        <x:f>ROUND(C20*'Вводные'!$B$35,0)</x:f>
        <x:v>725</x:v>
      </x:c>
      <x:c r="G20" s="20" t="n">
        <x:f>D20*'Вводные'!$B$21</x:f>
        <x:v>3525600</x:v>
      </x:c>
      <x:c r="H20" s="20" t="n">
        <x:f>E20*'Вводные'!$B$21</x:f>
        <x:v>3530800</x:v>
      </x:c>
      <x:c r="I20" s="20" t="n">
        <x:f>F20*'Вводные'!$B$21</x:f>
        <x:v>3770000</x:v>
      </x:c>
    </x:row>
    <x:row r="21">
      <x:c r="A21" t="n">
        <x:v>18</x:v>
      </x:c>
      <x:c r="B21" s="54" t="n">
        <x:v>46905</x:v>
      </x:c>
      <x:c r="C21" s="56" t="n">
        <x:f>'Сезонность'!B9</x:f>
        <x:v>0.9333333333333333</x:v>
      </x:c>
      <x:c r="D21" s="20" t="n">
        <x:f>ROUND(C21*'Вводные'!$B$33,0)</x:f>
        <x:v>654</x:v>
      </x:c>
      <x:c r="E21" s="20" t="n">
        <x:f>ROUND(C21*'Вводные'!$B$34,0)</x:f>
        <x:v>655</x:v>
      </x:c>
      <x:c r="F21" s="20" t="n">
        <x:f>ROUND(C21*'Вводные'!$B$35,0)</x:f>
        <x:v>700</x:v>
      </x:c>
      <x:c r="G21" s="20" t="n">
        <x:f>D21*'Вводные'!$B$21</x:f>
        <x:v>3400800</x:v>
      </x:c>
      <x:c r="H21" s="20" t="n">
        <x:f>E21*'Вводные'!$B$21</x:f>
        <x:v>3406000</x:v>
      </x:c>
      <x:c r="I21" s="20" t="n">
        <x:f>F21*'Вводные'!$B$21</x:f>
        <x:v>3640000</x:v>
      </x:c>
    </x:row>
    <x:row r="22">
      <x:c r="A22" t="n">
        <x:v>19</x:v>
      </x:c>
      <x:c r="B22" s="54" t="n">
        <x:v>46935</x:v>
      </x:c>
      <x:c r="C22" s="56" t="n">
        <x:f>'Сезонность'!B10</x:f>
        <x:v>1</x:v>
      </x:c>
      <x:c r="D22" s="20" t="n">
        <x:f>ROUND(C22*'Вводные'!$B$33,0)</x:f>
        <x:v>701</x:v>
      </x:c>
      <x:c r="E22" s="20" t="n">
        <x:f>ROUND(C22*'Вводные'!$B$34,0)</x:f>
        <x:v>702</x:v>
      </x:c>
      <x:c r="F22" s="20" t="n">
        <x:f>ROUND(C22*'Вводные'!$B$35,0)</x:f>
        <x:v>750</x:v>
      </x:c>
      <x:c r="G22" s="20" t="n">
        <x:f>D22*'Вводные'!$B$21</x:f>
        <x:v>3645200</x:v>
      </x:c>
      <x:c r="H22" s="20" t="n">
        <x:f>E22*'Вводные'!$B$21</x:f>
        <x:v>3650400</x:v>
      </x:c>
      <x:c r="I22" s="20" t="n">
        <x:f>F22*'Вводные'!$B$21</x:f>
        <x:v>3900000</x:v>
      </x:c>
    </x:row>
    <x:row r="23">
      <x:c r="A23" t="n">
        <x:v>20</x:v>
      </x:c>
      <x:c r="B23" s="54" t="n">
        <x:v>46966</x:v>
      </x:c>
      <x:c r="C23" s="56" t="n">
        <x:f>'Сезонность'!B11</x:f>
        <x:v>1.2</x:v>
      </x:c>
      <x:c r="D23" s="20" t="n">
        <x:f>ROUND(C23*'Вводные'!$B$33,0)</x:f>
        <x:v>841</x:v>
      </x:c>
      <x:c r="E23" s="20" t="n">
        <x:f>ROUND(C23*'Вводные'!$B$34,0)</x:f>
        <x:v>842</x:v>
      </x:c>
      <x:c r="F23" s="20" t="n">
        <x:f>ROUND(C23*'Вводные'!$B$35,0)</x:f>
        <x:v>900</x:v>
      </x:c>
      <x:c r="G23" s="20" t="n">
        <x:f>D23*'Вводные'!$B$21</x:f>
        <x:v>4373200</x:v>
      </x:c>
      <x:c r="H23" s="20" t="n">
        <x:f>E23*'Вводные'!$B$21</x:f>
        <x:v>4378400</x:v>
      </x:c>
      <x:c r="I23" s="20" t="n">
        <x:f>F23*'Вводные'!$B$21</x:f>
        <x:v>4680000</x:v>
      </x:c>
    </x:row>
    <x:row r="24">
      <x:c r="A24" t="n">
        <x:v>21</x:v>
      </x:c>
      <x:c r="B24" s="54" t="n">
        <x:v>46997</x:v>
      </x:c>
      <x:c r="C24" s="56" t="n">
        <x:f>'Сезонность'!B12</x:f>
        <x:v>1.1666666666666667</x:v>
      </x:c>
      <x:c r="D24" s="20" t="n">
        <x:f>ROUND(C24*'Вводные'!$B$33,0)</x:f>
        <x:v>818</x:v>
      </x:c>
      <x:c r="E24" s="20" t="n">
        <x:f>ROUND(C24*'Вводные'!$B$34,0)</x:f>
        <x:v>819</x:v>
      </x:c>
      <x:c r="F24" s="20" t="n">
        <x:f>ROUND(C24*'Вводные'!$B$35,0)</x:f>
        <x:v>875</x:v>
      </x:c>
      <x:c r="G24" s="20" t="n">
        <x:f>D24*'Вводные'!$B$21</x:f>
        <x:v>4253600</x:v>
      </x:c>
      <x:c r="H24" s="20" t="n">
        <x:f>E24*'Вводные'!$B$21</x:f>
        <x:v>4258800</x:v>
      </x:c>
      <x:c r="I24" s="20" t="n">
        <x:f>F24*'Вводные'!$B$21</x:f>
        <x:v>4550000</x:v>
      </x:c>
    </x:row>
    <x:row r="25">
      <x:c r="A25" t="n">
        <x:v>22</x:v>
      </x:c>
      <x:c r="B25" s="54" t="n">
        <x:v>47027</x:v>
      </x:c>
      <x:c r="C25" s="56" t="n">
        <x:f>'Сезонность'!B13</x:f>
        <x:v>1</x:v>
      </x:c>
      <x:c r="D25" s="20" t="n">
        <x:f>ROUND(C25*'Вводные'!$B$33,0)</x:f>
        <x:v>701</x:v>
      </x:c>
      <x:c r="E25" s="20" t="n">
        <x:f>ROUND(C25*'Вводные'!$B$34,0)</x:f>
        <x:v>702</x:v>
      </x:c>
      <x:c r="F25" s="20" t="n">
        <x:f>ROUND(C25*'Вводные'!$B$35,0)</x:f>
        <x:v>750</x:v>
      </x:c>
      <x:c r="G25" s="20" t="n">
        <x:f>D25*'Вводные'!$B$21</x:f>
        <x:v>3645200</x:v>
      </x:c>
      <x:c r="H25" s="20" t="n">
        <x:f>E25*'Вводные'!$B$21</x:f>
        <x:v>3650400</x:v>
      </x:c>
      <x:c r="I25" s="20" t="n">
        <x:f>F25*'Вводные'!$B$21</x:f>
        <x:v>3900000</x:v>
      </x:c>
    </x:row>
    <x:row r="26">
      <x:c r="A26" t="n">
        <x:v>23</x:v>
      </x:c>
      <x:c r="B26" s="54" t="n">
        <x:v>47058</x:v>
      </x:c>
      <x:c r="C26" s="56" t="n">
        <x:f>'Сезонность'!B14</x:f>
        <x:v>0.9666666666666667</x:v>
      </x:c>
      <x:c r="D26" s="20" t="n">
        <x:f>ROUND(C26*'Вводные'!$B$33,0)</x:f>
        <x:v>678</x:v>
      </x:c>
      <x:c r="E26" s="20" t="n">
        <x:f>ROUND(C26*'Вводные'!$B$34,0)</x:f>
        <x:v>679</x:v>
      </x:c>
      <x:c r="F26" s="20" t="n">
        <x:f>ROUND(C26*'Вводные'!$B$35,0)</x:f>
        <x:v>725</x:v>
      </x:c>
      <x:c r="G26" s="20" t="n">
        <x:f>D26*'Вводные'!$B$21</x:f>
        <x:v>3525600</x:v>
      </x:c>
      <x:c r="H26" s="20" t="n">
        <x:f>E26*'Вводные'!$B$21</x:f>
        <x:v>3530800</x:v>
      </x:c>
      <x:c r="I26" s="20" t="n">
        <x:f>F26*'Вводные'!$B$21</x:f>
        <x:v>3770000</x:v>
      </x:c>
    </x:row>
    <x:row r="27">
      <x:c r="A27" t="n">
        <x:v>24</x:v>
      </x:c>
      <x:c r="B27" s="54" t="n">
        <x:v>47088</x:v>
      </x:c>
      <x:c r="C27" s="56" t="n">
        <x:f>'Сезонность'!B15</x:f>
        <x:v>0.9333333333333333</x:v>
      </x:c>
      <x:c r="D27" s="20" t="n">
        <x:f>ROUND(C27*'Вводные'!$B$33,0)</x:f>
        <x:v>654</x:v>
      </x:c>
      <x:c r="E27" s="20" t="n">
        <x:f>ROUND(C27*'Вводные'!$B$34,0)</x:f>
        <x:v>655</x:v>
      </x:c>
      <x:c r="F27" s="20" t="n">
        <x:f>ROUND(C27*'Вводные'!$B$35,0)</x:f>
        <x:v>700</x:v>
      </x:c>
      <x:c r="G27" s="20" t="n">
        <x:f>D27*'Вводные'!$B$21</x:f>
        <x:v>3400800</x:v>
      </x:c>
      <x:c r="H27" s="20" t="n">
        <x:f>E27*'Вводные'!$B$21</x:f>
        <x:v>3406000</x:v>
      </x:c>
      <x:c r="I27" s="20" t="n">
        <x:f>F27*'Вводные'!$B$21</x:f>
        <x:v>3640000</x:v>
      </x:c>
    </x:row>
    <x:row r="28">
      <x:c r="A28" t="n">
        <x:v>25</x:v>
      </x:c>
      <x:c r="B28" s="54" t="n">
        <x:v>47119</x:v>
      </x:c>
      <x:c r="C28" s="56" t="n">
        <x:f>'Сезонность'!B4</x:f>
        <x:v>0.7333333333333333</x:v>
      </x:c>
      <x:c r="D28" s="20" t="n">
        <x:f>ROUND(C28*'Вводные'!$B$33,0)</x:f>
        <x:v>514</x:v>
      </x:c>
      <x:c r="E28" s="20" t="n">
        <x:f>ROUND(C28*'Вводные'!$B$34,0)</x:f>
        <x:v>515</x:v>
      </x:c>
      <x:c r="F28" s="20" t="n">
        <x:f>ROUND(C28*'Вводные'!$B$35,0)</x:f>
        <x:v>550</x:v>
      </x:c>
      <x:c r="G28" s="20" t="n">
        <x:f>D28*'Вводные'!$B$21</x:f>
        <x:v>2672800</x:v>
      </x:c>
      <x:c r="H28" s="20" t="n">
        <x:f>E28*'Вводные'!$B$21</x:f>
        <x:v>2678000</x:v>
      </x:c>
      <x:c r="I28" s="20" t="n">
        <x:f>F28*'Вводные'!$B$21</x:f>
        <x:v>2860000</x:v>
      </x:c>
    </x:row>
    <x:row r="29">
      <x:c r="A29" t="n">
        <x:v>26</x:v>
      </x:c>
      <x:c r="B29" s="54" t="n">
        <x:v>47150</x:v>
      </x:c>
      <x:c r="C29" s="56" t="n">
        <x:f>'Сезонность'!B5</x:f>
        <x:v>0.8</x:v>
      </x:c>
      <x:c r="D29" s="20" t="n">
        <x:f>ROUND(C29*'Вводные'!$B$33,0)</x:f>
        <x:v>561</x:v>
      </x:c>
      <x:c r="E29" s="20" t="n">
        <x:f>ROUND(C29*'Вводные'!$B$34,0)</x:f>
        <x:v>562</x:v>
      </x:c>
      <x:c r="F29" s="20" t="n">
        <x:f>ROUND(C29*'Вводные'!$B$35,0)</x:f>
        <x:v>600</x:v>
      </x:c>
      <x:c r="G29" s="20" t="n">
        <x:f>D29*'Вводные'!$B$21</x:f>
        <x:v>2917200</x:v>
      </x:c>
      <x:c r="H29" s="20" t="n">
        <x:f>E29*'Вводные'!$B$21</x:f>
        <x:v>2922400</x:v>
      </x:c>
      <x:c r="I29" s="20" t="n">
        <x:f>F29*'Вводные'!$B$21</x:f>
        <x:v>3120000</x:v>
      </x:c>
    </x:row>
    <x:row r="30">
      <x:c r="A30" t="n">
        <x:v>27</x:v>
      </x:c>
      <x:c r="B30" s="54" t="n">
        <x:v>47178</x:v>
      </x:c>
      <x:c r="C30" s="56" t="n">
        <x:f>'Сезонность'!B6</x:f>
        <x:v>1.1</x:v>
      </x:c>
      <x:c r="D30" s="20" t="n">
        <x:f>ROUND(C30*'Вводные'!$B$33,0)</x:f>
        <x:v>771</x:v>
      </x:c>
      <x:c r="E30" s="20" t="n">
        <x:f>ROUND(C30*'Вводные'!$B$34,0)</x:f>
        <x:v>772</x:v>
      </x:c>
      <x:c r="F30" s="20" t="n">
        <x:f>ROUND(C30*'Вводные'!$B$35,0)</x:f>
        <x:v>825</x:v>
      </x:c>
      <x:c r="G30" s="20" t="n">
        <x:f>D30*'Вводные'!$B$21</x:f>
        <x:v>4009200</x:v>
      </x:c>
      <x:c r="H30" s="20" t="n">
        <x:f>E30*'Вводные'!$B$21</x:f>
        <x:v>4014400</x:v>
      </x:c>
      <x:c r="I30" s="20" t="n">
        <x:f>F30*'Вводные'!$B$21</x:f>
        <x:v>4290000</x:v>
      </x:c>
    </x:row>
    <x:row r="31">
      <x:c r="A31" t="n">
        <x:v>28</x:v>
      </x:c>
      <x:c r="B31" s="54" t="n">
        <x:v>47209</x:v>
      </x:c>
      <x:c r="C31" s="56" t="n">
        <x:f>'Сезонность'!B7</x:f>
        <x:v>1.2</x:v>
      </x:c>
      <x:c r="D31" s="20" t="n">
        <x:f>ROUND(C31*'Вводные'!$B$33,0)</x:f>
        <x:v>841</x:v>
      </x:c>
      <x:c r="E31" s="20" t="n">
        <x:f>ROUND(C31*'Вводные'!$B$34,0)</x:f>
        <x:v>842</x:v>
      </x:c>
      <x:c r="F31" s="20" t="n">
        <x:f>ROUND(C31*'Вводные'!$B$35,0)</x:f>
        <x:v>900</x:v>
      </x:c>
      <x:c r="G31" s="20" t="n">
        <x:f>D31*'Вводные'!$B$21</x:f>
        <x:v>4373200</x:v>
      </x:c>
      <x:c r="H31" s="20" t="n">
        <x:f>E31*'Вводные'!$B$21</x:f>
        <x:v>4378400</x:v>
      </x:c>
      <x:c r="I31" s="20" t="n">
        <x:f>F31*'Вводные'!$B$21</x:f>
        <x:v>4680000</x:v>
      </x:c>
    </x:row>
    <x:row r="32">
      <x:c r="A32" t="n">
        <x:v>29</x:v>
      </x:c>
      <x:c r="B32" s="54" t="n">
        <x:v>47239</x:v>
      </x:c>
      <x:c r="C32" s="56" t="n">
        <x:f>'Сезонность'!B8</x:f>
        <x:v>0.9666666666666667</x:v>
      </x:c>
      <x:c r="D32" s="20" t="n">
        <x:f>ROUND(C32*'Вводные'!$B$33,0)</x:f>
        <x:v>678</x:v>
      </x:c>
      <x:c r="E32" s="20" t="n">
        <x:f>ROUND(C32*'Вводные'!$B$34,0)</x:f>
        <x:v>679</x:v>
      </x:c>
      <x:c r="F32" s="20" t="n">
        <x:f>ROUND(C32*'Вводные'!$B$35,0)</x:f>
        <x:v>725</x:v>
      </x:c>
      <x:c r="G32" s="20" t="n">
        <x:f>D32*'Вводные'!$B$21</x:f>
        <x:v>3525600</x:v>
      </x:c>
      <x:c r="H32" s="20" t="n">
        <x:f>E32*'Вводные'!$B$21</x:f>
        <x:v>3530800</x:v>
      </x:c>
      <x:c r="I32" s="20" t="n">
        <x:f>F32*'Вводные'!$B$21</x:f>
        <x:v>3770000</x:v>
      </x:c>
    </x:row>
    <x:row r="33">
      <x:c r="A33" t="n">
        <x:v>30</x:v>
      </x:c>
      <x:c r="B33" s="54" t="n">
        <x:v>47270</x:v>
      </x:c>
      <x:c r="C33" s="56" t="n">
        <x:f>'Сезонность'!B9</x:f>
        <x:v>0.9333333333333333</x:v>
      </x:c>
      <x:c r="D33" s="20" t="n">
        <x:f>ROUND(C33*'Вводные'!$B$33,0)</x:f>
        <x:v>654</x:v>
      </x:c>
      <x:c r="E33" s="20" t="n">
        <x:f>ROUND(C33*'Вводные'!$B$34,0)</x:f>
        <x:v>655</x:v>
      </x:c>
      <x:c r="F33" s="20" t="n">
        <x:f>ROUND(C33*'Вводные'!$B$35,0)</x:f>
        <x:v>700</x:v>
      </x:c>
      <x:c r="G33" s="20" t="n">
        <x:f>D33*'Вводные'!$B$21</x:f>
        <x:v>3400800</x:v>
      </x:c>
      <x:c r="H33" s="20" t="n">
        <x:f>E33*'Вводные'!$B$21</x:f>
        <x:v>3406000</x:v>
      </x:c>
      <x:c r="I33" s="20" t="n">
        <x:f>F33*'Вводные'!$B$21</x:f>
        <x:v>3640000</x:v>
      </x:c>
    </x:row>
    <x:row r="34">
      <x:c r="A34" t="n">
        <x:v>31</x:v>
      </x:c>
      <x:c r="B34" s="54" t="n">
        <x:v>47300</x:v>
      </x:c>
      <x:c r="C34" s="56" t="n">
        <x:f>'Сезонность'!B10</x:f>
        <x:v>1</x:v>
      </x:c>
      <x:c r="D34" s="20" t="n">
        <x:f>ROUND(C34*'Вводные'!$B$33,0)</x:f>
        <x:v>701</x:v>
      </x:c>
      <x:c r="E34" s="20" t="n">
        <x:f>ROUND(C34*'Вводные'!$B$34,0)</x:f>
        <x:v>702</x:v>
      </x:c>
      <x:c r="F34" s="20" t="n">
        <x:f>ROUND(C34*'Вводные'!$B$35,0)</x:f>
        <x:v>750</x:v>
      </x:c>
      <x:c r="G34" s="20" t="n">
        <x:f>D34*'Вводные'!$B$21</x:f>
        <x:v>3645200</x:v>
      </x:c>
      <x:c r="H34" s="20" t="n">
        <x:f>E34*'Вводные'!$B$21</x:f>
        <x:v>3650400</x:v>
      </x:c>
      <x:c r="I34" s="20" t="n">
        <x:f>F34*'Вводные'!$B$21</x:f>
        <x:v>3900000</x:v>
      </x:c>
    </x:row>
    <x:row r="35">
      <x:c r="A35" t="n">
        <x:v>32</x:v>
      </x:c>
      <x:c r="B35" s="54" t="n">
        <x:v>47331</x:v>
      </x:c>
      <x:c r="C35" s="56" t="n">
        <x:f>'Сезонность'!B11</x:f>
        <x:v>1.2</x:v>
      </x:c>
      <x:c r="D35" s="20" t="n">
        <x:f>ROUND(C35*'Вводные'!$B$33,0)</x:f>
        <x:v>841</x:v>
      </x:c>
      <x:c r="E35" s="20" t="n">
        <x:f>ROUND(C35*'Вводные'!$B$34,0)</x:f>
        <x:v>842</x:v>
      </x:c>
      <x:c r="F35" s="20" t="n">
        <x:f>ROUND(C35*'Вводные'!$B$35,0)</x:f>
        <x:v>900</x:v>
      </x:c>
      <x:c r="G35" s="20" t="n">
        <x:f>D35*'Вводные'!$B$21</x:f>
        <x:v>4373200</x:v>
      </x:c>
      <x:c r="H35" s="20" t="n">
        <x:f>E35*'Вводные'!$B$21</x:f>
        <x:v>4378400</x:v>
      </x:c>
      <x:c r="I35" s="20" t="n">
        <x:f>F35*'Вводные'!$B$21</x:f>
        <x:v>4680000</x:v>
      </x:c>
    </x:row>
    <x:row r="36">
      <x:c r="A36" t="n">
        <x:v>33</x:v>
      </x:c>
      <x:c r="B36" s="54" t="n">
        <x:v>47362</x:v>
      </x:c>
      <x:c r="C36" s="56" t="n">
        <x:f>'Сезонность'!B12</x:f>
        <x:v>1.1666666666666667</x:v>
      </x:c>
      <x:c r="D36" s="20" t="n">
        <x:f>ROUND(C36*'Вводные'!$B$33,0)</x:f>
        <x:v>818</x:v>
      </x:c>
      <x:c r="E36" s="20" t="n">
        <x:f>ROUND(C36*'Вводные'!$B$34,0)</x:f>
        <x:v>819</x:v>
      </x:c>
      <x:c r="F36" s="20" t="n">
        <x:f>ROUND(C36*'Вводные'!$B$35,0)</x:f>
        <x:v>875</x:v>
      </x:c>
      <x:c r="G36" s="20" t="n">
        <x:f>D36*'Вводные'!$B$21</x:f>
        <x:v>4253600</x:v>
      </x:c>
      <x:c r="H36" s="20" t="n">
        <x:f>E36*'Вводные'!$B$21</x:f>
        <x:v>4258800</x:v>
      </x:c>
      <x:c r="I36" s="20" t="n">
        <x:f>F36*'Вводные'!$B$21</x:f>
        <x:v>4550000</x:v>
      </x:c>
    </x:row>
    <x:row r="37">
      <x:c r="A37" t="n">
        <x:v>34</x:v>
      </x:c>
      <x:c r="B37" s="54" t="n">
        <x:v>47392</x:v>
      </x:c>
      <x:c r="C37" s="56" t="n">
        <x:f>'Сезонность'!B13</x:f>
        <x:v>1</x:v>
      </x:c>
      <x:c r="D37" s="20" t="n">
        <x:f>ROUND(C37*'Вводные'!$B$33,0)</x:f>
        <x:v>701</x:v>
      </x:c>
      <x:c r="E37" s="20" t="n">
        <x:f>ROUND(C37*'Вводные'!$B$34,0)</x:f>
        <x:v>702</x:v>
      </x:c>
      <x:c r="F37" s="20" t="n">
        <x:f>ROUND(C37*'Вводные'!$B$35,0)</x:f>
        <x:v>750</x:v>
      </x:c>
      <x:c r="G37" s="20" t="n">
        <x:f>D37*'Вводные'!$B$21</x:f>
        <x:v>3645200</x:v>
      </x:c>
      <x:c r="H37" s="20" t="n">
        <x:f>E37*'Вводные'!$B$21</x:f>
        <x:v>3650400</x:v>
      </x:c>
      <x:c r="I37" s="20" t="n">
        <x:f>F37*'Вводные'!$B$21</x:f>
        <x:v>3900000</x:v>
      </x:c>
    </x:row>
    <x:row r="38">
      <x:c r="A38" t="n">
        <x:v>35</x:v>
      </x:c>
      <x:c r="B38" s="54" t="n">
        <x:v>47423</x:v>
      </x:c>
      <x:c r="C38" s="56" t="n">
        <x:f>'Сезонность'!B14</x:f>
        <x:v>0.9666666666666667</x:v>
      </x:c>
      <x:c r="D38" s="20" t="n">
        <x:f>ROUND(C38*'Вводные'!$B$33,0)</x:f>
        <x:v>678</x:v>
      </x:c>
      <x:c r="E38" s="20" t="n">
        <x:f>ROUND(C38*'Вводные'!$B$34,0)</x:f>
        <x:v>679</x:v>
      </x:c>
      <x:c r="F38" s="20" t="n">
        <x:f>ROUND(C38*'Вводные'!$B$35,0)</x:f>
        <x:v>725</x:v>
      </x:c>
      <x:c r="G38" s="20" t="n">
        <x:f>D38*'Вводные'!$B$21</x:f>
        <x:v>3525600</x:v>
      </x:c>
      <x:c r="H38" s="20" t="n">
        <x:f>E38*'Вводные'!$B$21</x:f>
        <x:v>3530800</x:v>
      </x:c>
      <x:c r="I38" s="20" t="n">
        <x:f>F38*'Вводные'!$B$21</x:f>
        <x:v>3770000</x:v>
      </x:c>
    </x:row>
    <x:row r="39">
      <x:c r="A39" t="n">
        <x:v>36</x:v>
      </x:c>
      <x:c r="B39" s="54" t="n">
        <x:v>47453</x:v>
      </x:c>
      <x:c r="C39" s="56" t="n">
        <x:f>'Сезонность'!B15</x:f>
        <x:v>0.9333333333333333</x:v>
      </x:c>
      <x:c r="D39" s="20" t="n">
        <x:f>ROUND(C39*'Вводные'!$B$33,0)</x:f>
        <x:v>654</x:v>
      </x:c>
      <x:c r="E39" s="20" t="n">
        <x:f>ROUND(C39*'Вводные'!$B$34,0)</x:f>
        <x:v>655</x:v>
      </x:c>
      <x:c r="F39" s="20" t="n">
        <x:f>ROUND(C39*'Вводные'!$B$35,0)</x:f>
        <x:v>700</x:v>
      </x:c>
      <x:c r="G39" s="20" t="n">
        <x:f>D39*'Вводные'!$B$21</x:f>
        <x:v>3400800</x:v>
      </x:c>
      <x:c r="H39" s="20" t="n">
        <x:f>E39*'Вводные'!$B$21</x:f>
        <x:v>3406000</x:v>
      </x:c>
      <x:c r="I39" s="20" t="n">
        <x:f>F39*'Вводные'!$B$21</x:f>
        <x:v>3640000</x:v>
      </x:c>
    </x:row>
    <x:row r="40">
      <x:c r="A40" s="50" t="str">
        <x:v>ИТОГО 36м</x:v>
      </x:c>
      <x:c r="B40" s="50"/>
      <x:c r="C40" s="50"/>
      <x:c r="D40" s="58" t="n">
        <x:f>SUM(D4:D39)</x:f>
        <x:v>25236</x:v>
      </x:c>
      <x:c r="E40" s="58" t="n">
        <x:f>SUM(E4:E39)</x:f>
        <x:v>25272</x:v>
      </x:c>
      <x:c r="F40" s="58" t="n">
        <x:f>SUM(F4:F39)</x:f>
        <x:v>27000</x:v>
      </x:c>
      <x:c r="G40" s="58" t="n">
        <x:f>SUM(G4:G39)</x:f>
        <x:v>131227200</x:v>
      </x:c>
      <x:c r="H40" s="58" t="n">
        <x:f>SUM(H4:H39)</x:f>
        <x:v>131414400</x:v>
      </x:c>
      <x:c r="I40" s="58" t="n">
        <x:f>SUM(I4:I39)</x:f>
        <x:v>140400000</x:v>
      </x:c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44" hidden="0" customWidth="1"/>
    <x:col min="4" max="4" width="16" hidden="0" customWidth="1"/>
  </x:cols>
  <x:sheetData>
    <x:row r="1" ht="26" customHeight="1">
      <x:c r="A1" s="4" t="str">
        <x:v>ЭКОНОМИКА ОДНОЙ ПАРЫ — 2027</x:v>
      </x:c>
      <x:c r="B1" s="4"/>
      <x:c r="C1" s="4"/>
      <x:c r="D1" s="4"/>
    </x:row>
    <x:row r="3">
      <x:c r="A3" s="10" t="str">
        <x:v>Показатель</x:v>
      </x:c>
      <x:c r="B3" s="10" t="str">
        <x:v>руб./пара</x:v>
      </x:c>
      <x:c r="C3" s="10" t="str">
        <x:v>Формула / смысл</x:v>
      </x:c>
      <x:c r="D3" s="10" t="str">
        <x:v>Источник</x:v>
      </x:c>
    </x:row>
    <x:row r="4">
      <x:c r="A4" t="str">
        <x:v>Средняя цена продажи с НДС</x:v>
      </x:c>
      <x:c r="B4" s="64" t="n">
        <x:f>'Вводные'!B21</x:f>
        <x:v>5200</x:v>
      </x:c>
      <x:c r="C4" t="str">
        <x:v>70% опт / 30% розница</x:v>
      </x:c>
      <x:c r="D4" t="str">
        <x:v>Вводные</x:v>
      </x:c>
    </x:row>
    <x:row r="5">
      <x:c r="A5" t="str">
        <x:v>НДС с реализации</x:v>
      </x:c>
      <x:c r="B5" s="64" t="n">
        <x:f>B4*'Вводные'!B32/(1+'Вводные'!B32)</x:f>
        <x:v>247.61904761904762</x:v>
      </x:c>
      <x:c r="C5" t="str">
        <x:v>5/105 из цены</x:v>
      </x:c>
      <x:c r="D5" t="str">
        <x:v>Вводные</x:v>
      </x:c>
    </x:row>
    <x:row r="6">
      <x:c r="A6" t="str">
        <x:v>Выручка без НДС</x:v>
      </x:c>
      <x:c r="B6" s="64" t="n">
        <x:f>B4-B5</x:f>
        <x:v>4952.380952380952</x:v>
      </x:c>
      <x:c r="C6" t="str">
        <x:v>Цена минус НДС</x:v>
      </x:c>
      <x:c r="D6" t="str">
        <x:v>Расчёт</x:v>
      </x:c>
    </x:row>
    <x:row r="7">
      <x:c r="A7" t="str">
        <x:v>Закупка</x:v>
      </x:c>
      <x:c r="B7" s="64" t="n">
        <x:f>'Вводные'!B22</x:f>
        <x:v>1300</x:v>
      </x:c>
      <x:c r="C7" t="str">
        <x:v>Товар</x:v>
      </x:c>
      <x:c r="D7" t="str">
        <x:v>Вводные</x:v>
      </x:c>
    </x:row>
    <x:row r="8">
      <x:c r="A8" t="str">
        <x:v>Международная логистика</x:v>
      </x:c>
      <x:c r="B8" s="64" t="n">
        <x:f>'Вводные'!B23</x:f>
        <x:v>300</x:v>
      </x:c>
      <x:c r="C8" t="str">
        <x:v>Доставка</x:v>
      </x:c>
      <x:c r="D8" t="str">
        <x:v>Вводные</x:v>
      </x:c>
    </x:row>
    <x:row r="9">
      <x:c r="A9" t="str">
        <x:v>Прочие импортные расходы</x:v>
      </x:c>
      <x:c r="B9" s="64" t="n">
        <x:f>'Вводные'!B24</x:f>
        <x:v>509.80401236</x:v>
      </x:c>
      <x:c r="C9" t="str">
        <x:v>Пошлина, ввозной НДС, маркировка и др.</x:v>
      </x:c>
      <x:c r="D9" t="str">
        <x:v>Расчётное допущение проекта</x:v>
      </x:c>
    </x:row>
    <x:row r="10">
      <x:c r="A10" t="str">
        <x:v>Полная импортная себестоимость</x:v>
      </x:c>
      <x:c r="B10" s="64" t="n">
        <x:f>SUM(B7:B9)</x:f>
        <x:v>2109.80401236</x:v>
      </x:c>
      <x:c r="C10" t="str">
        <x:v>Закупка + логистика + прочий импорт</x:v>
      </x:c>
      <x:c r="D10" t="str">
        <x:v>Расчёт</x:v>
      </x:c>
    </x:row>
    <x:row r="11">
      <x:c r="A11" t="str">
        <x:v>Переменные расходы продажи</x:v>
      </x:c>
      <x:c r="B11" s="64" t="n">
        <x:f>'Вводные'!B27</x:f>
        <x:v>541</x:v>
      </x:c>
      <x:c r="C11" t="str">
        <x:v>Средневзвешенно</x:v>
      </x:c>
      <x:c r="D11" t="str">
        <x:v>Расчётное допущение проекта</x:v>
      </x:c>
    </x:row>
    <x:row r="12">
      <x:c r="A12" t="str">
        <x:v>УСН 6%</x:v>
      </x:c>
      <x:c r="B12" s="64" t="n">
        <x:f>B6*'Вводные'!B31</x:f>
        <x:v>297.1428571428571</x:v>
      </x:c>
      <x:c r="C12" t="str">
        <x:v>От выручки без НДС</x:v>
      </x:c>
      <x:c r="D12" t="str">
        <x:v>Вводные</x:v>
      </x:c>
    </x:row>
    <x:row r="13">
      <x:c r="A13" t="str">
        <x:v>Вклад на покрытие</x:v>
      </x:c>
      <x:c r="B13" s="64" t="n">
        <x:f>B6-B10-B11-B12</x:f>
        <x:v>2004.4340828780953</x:v>
      </x:c>
      <x:c r="C13" t="str">
        <x:v>До постоянных расходов и процентов</x:v>
      </x:c>
      <x:c r="D13" t="str">
        <x:v>Расчёт</x:v>
      </x:c>
    </x:row>
    <x:row r="14">
      <x:c r="A14" t="str">
        <x:v>Маржинальность вклада</x:v>
      </x:c>
      <x:c r="B14" s="65" t="n">
        <x:f>B13/B6</x:f>
        <x:v>0.4047414975042308</x:v>
      </x:c>
      <x:c r="C14" t="str">
        <x:v>От выручки без НДС</x:v>
      </x:c>
      <x:c r="D14" t="str">
        <x:v>Расчёт</x:v>
      </x:c>
    </x:row>
    <x:row r="15">
      <x:c r="A15" t="str">
        <x:v>Операционная точка безубыточности</x:v>
      </x:c>
      <x:c r="B15" s="66" t="n">
        <x:f>'Вводные'!B29/B13</x:f>
        <x:v>473.949234906208</x:v>
      </x:c>
      <x:c r="C15" t="str">
        <x:v>Пар/мес. при текущих постоянных расходах</x:v>
      </x:c>
      <x:c r="D15" t="str">
        <x:v>Расчёт</x:v>
      </x:c>
    </x:row>
    <x:row r="16">
      <x:c r="A16" t="str">
        <x:v>Денежная точка безубыточности, месяц 1</x:v>
      </x:c>
      <x:c r="B16" s="66" t="n">
        <x:f>('Вводные'!B29+'Вводные'!B5/'Вводные'!B6+'Вводные'!B5*'Вводные'!B7/12)/B13</x:f>
        <x:v>800.3090150828513</x:v>
      </x:c>
      <x:c r="C16" t="str">
        <x:v>Постоянные расходы + тело займа + проценты / вклад</x:v>
      </x:c>
      <x:c r="D16" t="str">
        <x:v>Расчёт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6" customHeight="1">
      <x:c r="A1" s="4" t="str">
        <x:v>ОПЕРАЦИОННЫЕ РАСХОДЫ</x:v>
      </x:c>
      <x:c r="B1" s="4"/>
      <x:c r="C1" s="4"/>
      <x:c r="D1" s="4"/>
    </x:row>
    <x:row r="3">
      <x:c r="A3" s="10" t="str">
        <x:v>Показатель</x:v>
      </x:c>
      <x:c r="B3" s="10" t="str">
        <x:v>2027, руб./мес.</x:v>
      </x:c>
      <x:c r="C3" s="10" t="str">
        <x:v>2028, руб./мес.</x:v>
      </x:c>
      <x:c r="D3" s="10" t="str">
        <x:v>2029, руб./мес.</x:v>
      </x:c>
    </x:row>
    <x:row r="4">
      <x:c r="A4" t="str">
        <x:v>ФОТ + страховые взносы</x:v>
      </x:c>
      <x:c r="B4" s="18" t="n">
        <x:v>550000</x:v>
      </x:c>
      <x:c r="C4" s="20" t="n">
        <x:f>B4*(1+'Вводные'!$B$30)</x:f>
        <x:v>588500</x:v>
      </x:c>
      <x:c r="D4" s="20" t="n">
        <x:f>C4*(1+'Вводные'!$B$30)</x:f>
        <x:v>629695</x:v>
      </x:c>
    </x:row>
    <x:row r="5">
      <x:c r="A5" t="str">
        <x:v>Склад / офис</x:v>
      </x:c>
      <x:c r="B5" s="18" t="n">
        <x:v>150000</x:v>
      </x:c>
      <x:c r="C5" s="20" t="n">
        <x:f>B5*(1+'Вводные'!$B$30)</x:f>
        <x:v>160500</x:v>
      </x:c>
      <x:c r="D5" s="20" t="n">
        <x:f>C5*(1+'Вводные'!$B$30)</x:f>
        <x:v>171735</x:v>
      </x:c>
    </x:row>
    <x:row r="6">
      <x:c r="A6" t="str">
        <x:v>IT / CRM / бухгалтерия / ЭДО</x:v>
      </x:c>
      <x:c r="B6" s="18" t="n">
        <x:v>60000</x:v>
      </x:c>
      <x:c r="C6" s="20" t="n">
        <x:f>B6*(1+'Вводные'!$B$30)</x:f>
        <x:v>64200.00000000001</x:v>
      </x:c>
      <x:c r="D6" s="20" t="n">
        <x:f>C6*(1+'Вводные'!$B$30)</x:f>
        <x:v>68694.00000000001</x:v>
      </x:c>
    </x:row>
    <x:row r="7">
      <x:c r="A7" t="str">
        <x:v>Контент / дизайн / продакшн</x:v>
      </x:c>
      <x:c r="B7" s="18" t="n">
        <x:v>100000</x:v>
      </x:c>
      <x:c r="C7" s="20" t="n">
        <x:f>B7*(1+'Вводные'!$B$30)</x:f>
        <x:v>107000</x:v>
      </x:c>
      <x:c r="D7" s="20" t="n">
        <x:f>C7*(1+'Вводные'!$B$30)</x:f>
        <x:v>114490</x:v>
      </x:c>
    </x:row>
    <x:row r="8">
      <x:c r="A8" t="str">
        <x:v>Юридические / комплаенс</x:v>
      </x:c>
      <x:c r="B8" s="18" t="n">
        <x:v>30000</x:v>
      </x:c>
      <x:c r="C8" s="20" t="n">
        <x:f>B8*(1+'Вводные'!$B$30)</x:f>
        <x:v>32100.000000000004</x:v>
      </x:c>
      <x:c r="D8" s="20" t="n">
        <x:f>C8*(1+'Вводные'!$B$30)</x:f>
        <x:v>34347.00000000001</x:v>
      </x:c>
    </x:row>
    <x:row r="9">
      <x:c r="A9" t="str">
        <x:v>Прочие административные</x:v>
      </x:c>
      <x:c r="B9" s="18" t="n">
        <x:v>60000</x:v>
      </x:c>
      <x:c r="C9" s="20" t="n">
        <x:f>B9*(1+'Вводные'!$B$30)</x:f>
        <x:v>64200.00000000001</x:v>
      </x:c>
      <x:c r="D9" s="20" t="n">
        <x:f>C9*(1+'Вводные'!$B$30)</x:f>
        <x:v>68694.00000000001</x:v>
      </x:c>
    </x:row>
    <x:row r="10">
      <x:c r="A10" s="50" t="str">
        <x:v>ИТОГО</x:v>
      </x:c>
      <x:c r="B10" s="51" t="n">
        <x:f>SUM(B4:B9)</x:f>
        <x:v>950000</x:v>
      </x:c>
      <x:c r="C10" s="58" t="n">
        <x:f>SUM(C4:C9)</x:f>
        <x:v>1016500</x:v>
      </x:c>
      <x:c r="D10" s="58" t="n">
        <x:f>SUM(D4:D9)</x:f>
        <x:v>1087655</x:v>
      </x:c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6" customHeight="1">
      <x:c r="A1" s="4" t="str">
        <x:v>ГРАФИК ЗАЙМА — 36 ПЛАТЕЖЕЙ</x:v>
      </x:c>
      <x:c r="B1" s="4"/>
      <x:c r="C1" s="4"/>
      <x:c r="D1" s="4"/>
      <x:c r="E1" s="4"/>
      <x:c r="F1" s="4"/>
      <x:c r="G1" s="4"/>
    </x:row>
    <x:row r="3">
      <x:c r="A3" s="10" t="str">
        <x:v>№</x:v>
      </x:c>
      <x:c r="B3" s="10" t="str">
        <x:v>Месяц платежа</x:v>
      </x:c>
      <x:c r="C3" s="10" t="str">
        <x:v>Долг на начало, руб.</x:v>
      </x:c>
      <x:c r="D3" s="10" t="str">
        <x:v>Тело, руб.</x:v>
      </x:c>
      <x:c r="E3" s="10" t="str">
        <x:v>Проценты, руб.</x:v>
      </x:c>
      <x:c r="F3" s="10" t="str">
        <x:v>Платёж, руб.</x:v>
      </x:c>
      <x:c r="G3" s="10" t="str">
        <x:v>Долг на конец, руб.</x:v>
      </x:c>
    </x:row>
    <x:row r="4">
      <x:c r="A4" t="n">
        <x:v>1</x:v>
      </x:c>
      <x:c r="B4" s="54" t="n">
        <x:v>46357</x:v>
      </x:c>
      <x:c r="C4" s="64" t="n">
        <x:f>'Вводные'!B5</x:f>
        <x:v>15000000</x:v>
      </x:c>
      <x:c r="D4" s="64" t="n">
        <x:f>MIN('Вводные'!$B$5/'Вводные'!$B$6,C4)</x:f>
        <x:v>416666.6666666667</x:v>
      </x:c>
      <x:c r="E4" s="64" t="n">
        <x:f>C4*'Вводные'!$B$7/12</x:f>
        <x:v>237500</x:v>
      </x:c>
      <x:c r="F4" s="64" t="n">
        <x:f>D4+E4</x:f>
        <x:v>654166.6666666667</x:v>
      </x:c>
      <x:c r="G4" s="64" t="n">
        <x:f>C4-D4</x:f>
        <x:v>14583333.333333334</x:v>
      </x:c>
    </x:row>
    <x:row r="5">
      <x:c r="A5" t="n">
        <x:v>2</x:v>
      </x:c>
      <x:c r="B5" s="54" t="n">
        <x:v>46388</x:v>
      </x:c>
      <x:c r="C5" s="64" t="n">
        <x:f>G4</x:f>
        <x:v>14583333.333333334</x:v>
      </x:c>
      <x:c r="D5" s="64" t="n">
        <x:f>MIN('Вводные'!$B$5/'Вводные'!$B$6,C5)</x:f>
        <x:v>416666.6666666667</x:v>
      </x:c>
      <x:c r="E5" s="64" t="n">
        <x:f>C5*'Вводные'!$B$7/12</x:f>
        <x:v>230902.77777777778</x:v>
      </x:c>
      <x:c r="F5" s="64" t="n">
        <x:f>D5+E5</x:f>
        <x:v>647569.4444444445</x:v>
      </x:c>
      <x:c r="G5" s="64" t="n">
        <x:f>C5-D5</x:f>
        <x:v>14166666.666666668</x:v>
      </x:c>
    </x:row>
    <x:row r="6">
      <x:c r="A6" t="n">
        <x:v>3</x:v>
      </x:c>
      <x:c r="B6" s="54" t="n">
        <x:v>46419</x:v>
      </x:c>
      <x:c r="C6" s="64" t="n">
        <x:f>G5</x:f>
        <x:v>14166666.666666668</x:v>
      </x:c>
      <x:c r="D6" s="64" t="n">
        <x:f>MIN('Вводные'!$B$5/'Вводные'!$B$6,C6)</x:f>
        <x:v>416666.6666666667</x:v>
      </x:c>
      <x:c r="E6" s="64" t="n">
        <x:f>C6*'Вводные'!$B$7/12</x:f>
        <x:v>224305.5555555556</x:v>
      </x:c>
      <x:c r="F6" s="64" t="n">
        <x:f>D6+E6</x:f>
        <x:v>640972.2222222222</x:v>
      </x:c>
      <x:c r="G6" s="64" t="n">
        <x:f>C6-D6</x:f>
        <x:v>13750000.000000002</x:v>
      </x:c>
    </x:row>
    <x:row r="7">
      <x:c r="A7" t="n">
        <x:v>4</x:v>
      </x:c>
      <x:c r="B7" s="54" t="n">
        <x:v>46447</x:v>
      </x:c>
      <x:c r="C7" s="64" t="n">
        <x:f>G6</x:f>
        <x:v>13750000.000000002</x:v>
      </x:c>
      <x:c r="D7" s="64" t="n">
        <x:f>MIN('Вводные'!$B$5/'Вводные'!$B$6,C7)</x:f>
        <x:v>416666.6666666667</x:v>
      </x:c>
      <x:c r="E7" s="64" t="n">
        <x:f>C7*'Вводные'!$B$7/12</x:f>
        <x:v>217708.33333333337</x:v>
      </x:c>
      <x:c r="F7" s="64" t="n">
        <x:f>D7+E7</x:f>
        <x:v>634375</x:v>
      </x:c>
      <x:c r="G7" s="64" t="n">
        <x:f>C7-D7</x:f>
        <x:v>13333333.333333336</x:v>
      </x:c>
    </x:row>
    <x:row r="8">
      <x:c r="A8" t="n">
        <x:v>5</x:v>
      </x:c>
      <x:c r="B8" s="54" t="n">
        <x:v>46478</x:v>
      </x:c>
      <x:c r="C8" s="64" t="n">
        <x:f>G7</x:f>
        <x:v>13333333.333333336</x:v>
      </x:c>
      <x:c r="D8" s="64" t="n">
        <x:f>MIN('Вводные'!$B$5/'Вводные'!$B$6,C8)</x:f>
        <x:v>416666.6666666667</x:v>
      </x:c>
      <x:c r="E8" s="64" t="n">
        <x:f>C8*'Вводные'!$B$7/12</x:f>
        <x:v>211111.11111111115</x:v>
      </x:c>
      <x:c r="F8" s="64" t="n">
        <x:f>D8+E8</x:f>
        <x:v>627777.7777777779</x:v>
      </x:c>
      <x:c r="G8" s="64" t="n">
        <x:f>C8-D8</x:f>
        <x:v>12916666.66666667</x:v>
      </x:c>
    </x:row>
    <x:row r="9">
      <x:c r="A9" t="n">
        <x:v>6</x:v>
      </x:c>
      <x:c r="B9" s="54" t="n">
        <x:v>46508</x:v>
      </x:c>
      <x:c r="C9" s="64" t="n">
        <x:f>G8</x:f>
        <x:v>12916666.66666667</x:v>
      </x:c>
      <x:c r="D9" s="64" t="n">
        <x:f>MIN('Вводные'!$B$5/'Вводные'!$B$6,C9)</x:f>
        <x:v>416666.6666666667</x:v>
      </x:c>
      <x:c r="E9" s="64" t="n">
        <x:f>C9*'Вводные'!$B$7/12</x:f>
        <x:v>204513.88888888896</x:v>
      </x:c>
      <x:c r="F9" s="64" t="n">
        <x:f>D9+E9</x:f>
        <x:v>621180.5555555556</x:v>
      </x:c>
      <x:c r="G9" s="64" t="n">
        <x:f>C9-D9</x:f>
        <x:v>12500000.000000004</x:v>
      </x:c>
    </x:row>
    <x:row r="10">
      <x:c r="A10" t="n">
        <x:v>7</x:v>
      </x:c>
      <x:c r="B10" s="54" t="n">
        <x:v>46539</x:v>
      </x:c>
      <x:c r="C10" s="64" t="n">
        <x:f>G9</x:f>
        <x:v>12500000.000000004</x:v>
      </x:c>
      <x:c r="D10" s="64" t="n">
        <x:f>MIN('Вводные'!$B$5/'Вводные'!$B$6,C10)</x:f>
        <x:v>416666.6666666667</x:v>
      </x:c>
      <x:c r="E10" s="64" t="n">
        <x:f>C10*'Вводные'!$B$7/12</x:f>
        <x:v>197916.66666666674</x:v>
      </x:c>
      <x:c r="F10" s="64" t="n">
        <x:f>D10+E10</x:f>
        <x:v>614583.3333333335</x:v>
      </x:c>
      <x:c r="G10" s="64" t="n">
        <x:f>C10-D10</x:f>
        <x:v>12083333.333333338</x:v>
      </x:c>
    </x:row>
    <x:row r="11">
      <x:c r="A11" t="n">
        <x:v>8</x:v>
      </x:c>
      <x:c r="B11" s="54" t="n">
        <x:v>46569</x:v>
      </x:c>
      <x:c r="C11" s="64" t="n">
        <x:f>G10</x:f>
        <x:v>12083333.333333338</x:v>
      </x:c>
      <x:c r="D11" s="64" t="n">
        <x:f>MIN('Вводные'!$B$5/'Вводные'!$B$6,C11)</x:f>
        <x:v>416666.6666666667</x:v>
      </x:c>
      <x:c r="E11" s="64" t="n">
        <x:f>C11*'Вводные'!$B$7/12</x:f>
        <x:v>191319.4444444445</x:v>
      </x:c>
      <x:c r="F11" s="64" t="n">
        <x:f>D11+E11</x:f>
        <x:v>607986.1111111112</x:v>
      </x:c>
      <x:c r="G11" s="64" t="n">
        <x:f>C11-D11</x:f>
        <x:v>11666666.666666672</x:v>
      </x:c>
    </x:row>
    <x:row r="12">
      <x:c r="A12" t="n">
        <x:v>9</x:v>
      </x:c>
      <x:c r="B12" s="54" t="n">
        <x:v>46600</x:v>
      </x:c>
      <x:c r="C12" s="64" t="n">
        <x:f>G11</x:f>
        <x:v>11666666.666666672</x:v>
      </x:c>
      <x:c r="D12" s="64" t="n">
        <x:f>MIN('Вводные'!$B$5/'Вводные'!$B$6,C12)</x:f>
        <x:v>416666.6666666667</x:v>
      </x:c>
      <x:c r="E12" s="64" t="n">
        <x:f>C12*'Вводные'!$B$7/12</x:f>
        <x:v>184722.22222222228</x:v>
      </x:c>
      <x:c r="F12" s="64" t="n">
        <x:f>D12+E12</x:f>
        <x:v>601388.888888889</x:v>
      </x:c>
      <x:c r="G12" s="64" t="n">
        <x:f>C12-D12</x:f>
        <x:v>11250000.000000006</x:v>
      </x:c>
    </x:row>
    <x:row r="13">
      <x:c r="A13" t="n">
        <x:v>10</x:v>
      </x:c>
      <x:c r="B13" s="54" t="n">
        <x:v>46631</x:v>
      </x:c>
      <x:c r="C13" s="64" t="n">
        <x:f>G12</x:f>
        <x:v>11250000.000000006</x:v>
      </x:c>
      <x:c r="D13" s="64" t="n">
        <x:f>MIN('Вводные'!$B$5/'Вводные'!$B$6,C13)</x:f>
        <x:v>416666.6666666667</x:v>
      </x:c>
      <x:c r="E13" s="64" t="n">
        <x:f>C13*'Вводные'!$B$7/12</x:f>
        <x:v>178125.0000000001</x:v>
      </x:c>
      <x:c r="F13" s="64" t="n">
        <x:f>D13+E13</x:f>
        <x:v>594791.6666666667</x:v>
      </x:c>
      <x:c r="G13" s="64" t="n">
        <x:f>C13-D13</x:f>
        <x:v>10833333.33333334</x:v>
      </x:c>
    </x:row>
    <x:row r="14">
      <x:c r="A14" t="n">
        <x:v>11</x:v>
      </x:c>
      <x:c r="B14" s="54" t="n">
        <x:v>46661</x:v>
      </x:c>
      <x:c r="C14" s="64" t="n">
        <x:f>G13</x:f>
        <x:v>10833333.33333334</x:v>
      </x:c>
      <x:c r="D14" s="64" t="n">
        <x:f>MIN('Вводные'!$B$5/'Вводные'!$B$6,C14)</x:f>
        <x:v>416666.6666666667</x:v>
      </x:c>
      <x:c r="E14" s="64" t="n">
        <x:f>C14*'Вводные'!$B$7/12</x:f>
        <x:v>171527.7777777779</x:v>
      </x:c>
      <x:c r="F14" s="64" t="n">
        <x:f>D14+E14</x:f>
        <x:v>588194.4444444446</x:v>
      </x:c>
      <x:c r="G14" s="64" t="n">
        <x:f>C14-D14</x:f>
        <x:v>10416666.666666673</x:v>
      </x:c>
    </x:row>
    <x:row r="15">
      <x:c r="A15" t="n">
        <x:v>12</x:v>
      </x:c>
      <x:c r="B15" s="54" t="n">
        <x:v>46692</x:v>
      </x:c>
      <x:c r="C15" s="64" t="n">
        <x:f>G14</x:f>
        <x:v>10416666.666666673</x:v>
      </x:c>
      <x:c r="D15" s="64" t="n">
        <x:f>MIN('Вводные'!$B$5/'Вводные'!$B$6,C15)</x:f>
        <x:v>416666.6666666667</x:v>
      </x:c>
      <x:c r="E15" s="64" t="n">
        <x:f>C15*'Вводные'!$B$7/12</x:f>
        <x:v>164930.55555555565</x:v>
      </x:c>
      <x:c r="F15" s="64" t="n">
        <x:f>D15+E15</x:f>
        <x:v>581597.2222222224</x:v>
      </x:c>
      <x:c r="G15" s="64" t="n">
        <x:f>C15-D15</x:f>
        <x:v>10000000.000000007</x:v>
      </x:c>
    </x:row>
    <x:row r="16">
      <x:c r="A16" t="n">
        <x:v>13</x:v>
      </x:c>
      <x:c r="B16" s="54" t="n">
        <x:v>46722</x:v>
      </x:c>
      <x:c r="C16" s="64" t="n">
        <x:f>G15</x:f>
        <x:v>10000000.000000007</x:v>
      </x:c>
      <x:c r="D16" s="64" t="n">
        <x:f>MIN('Вводные'!$B$5/'Вводные'!$B$6,C16)</x:f>
        <x:v>416666.6666666667</x:v>
      </x:c>
      <x:c r="E16" s="64" t="n">
        <x:f>C16*'Вводные'!$B$7/12</x:f>
        <x:v>158333.33333333346</x:v>
      </x:c>
      <x:c r="F16" s="64" t="n">
        <x:f>D16+E16</x:f>
        <x:v>575000.0000000001</x:v>
      </x:c>
      <x:c r="G16" s="64" t="n">
        <x:f>C16-D16</x:f>
        <x:v>9583333.333333341</x:v>
      </x:c>
    </x:row>
    <x:row r="17">
      <x:c r="A17" t="n">
        <x:v>14</x:v>
      </x:c>
      <x:c r="B17" s="54" t="n">
        <x:v>46753</x:v>
      </x:c>
      <x:c r="C17" s="64" t="n">
        <x:f>G16</x:f>
        <x:v>9583333.333333341</x:v>
      </x:c>
      <x:c r="D17" s="64" t="n">
        <x:f>MIN('Вводные'!$B$5/'Вводные'!$B$6,C17)</x:f>
        <x:v>416666.6666666667</x:v>
      </x:c>
      <x:c r="E17" s="64" t="n">
        <x:f>C17*'Вводные'!$B$7/12</x:f>
        <x:v>151736.11111111124</x:v>
      </x:c>
      <x:c r="F17" s="64" t="n">
        <x:f>D17+E17</x:f>
        <x:v>568402.777777778</x:v>
      </x:c>
      <x:c r="G17" s="64" t="n">
        <x:f>C17-D17</x:f>
        <x:v>9166666.666666675</x:v>
      </x:c>
    </x:row>
    <x:row r="18">
      <x:c r="A18" t="n">
        <x:v>15</x:v>
      </x:c>
      <x:c r="B18" s="54" t="n">
        <x:v>46784</x:v>
      </x:c>
      <x:c r="C18" s="64" t="n">
        <x:f>G17</x:f>
        <x:v>9166666.666666675</x:v>
      </x:c>
      <x:c r="D18" s="64" t="n">
        <x:f>MIN('Вводные'!$B$5/'Вводные'!$B$6,C18)</x:f>
        <x:v>416666.6666666667</x:v>
      </x:c>
      <x:c r="E18" s="64" t="n">
        <x:f>C18*'Вводные'!$B$7/12</x:f>
        <x:v>145138.88888888902</x:v>
      </x:c>
      <x:c r="F18" s="64" t="n">
        <x:f>D18+E18</x:f>
        <x:v>561805.5555555557</x:v>
      </x:c>
      <x:c r="G18" s="64" t="n">
        <x:f>C18-D18</x:f>
        <x:v>8750000.00000001</x:v>
      </x:c>
    </x:row>
    <x:row r="19">
      <x:c r="A19" t="n">
        <x:v>16</x:v>
      </x:c>
      <x:c r="B19" s="54" t="n">
        <x:v>46813</x:v>
      </x:c>
      <x:c r="C19" s="64" t="n">
        <x:f>G18</x:f>
        <x:v>8750000.00000001</x:v>
      </x:c>
      <x:c r="D19" s="64" t="n">
        <x:f>MIN('Вводные'!$B$5/'Вводные'!$B$6,C19)</x:f>
        <x:v>416666.6666666667</x:v>
      </x:c>
      <x:c r="E19" s="64" t="n">
        <x:f>C19*'Вводные'!$B$7/12</x:f>
        <x:v>138541.66666666683</x:v>
      </x:c>
      <x:c r="F19" s="64" t="n">
        <x:f>D19+E19</x:f>
        <x:v>555208.3333333335</x:v>
      </x:c>
      <x:c r="G19" s="64" t="n">
        <x:f>C19-D19</x:f>
        <x:v>8333333.333333342</x:v>
      </x:c>
    </x:row>
    <x:row r="20">
      <x:c r="A20" t="n">
        <x:v>17</x:v>
      </x:c>
      <x:c r="B20" s="54" t="n">
        <x:v>46844</x:v>
      </x:c>
      <x:c r="C20" s="64" t="n">
        <x:f>G19</x:f>
        <x:v>8333333.333333342</x:v>
      </x:c>
      <x:c r="D20" s="64" t="n">
        <x:f>MIN('Вводные'!$B$5/'Вводные'!$B$6,C20)</x:f>
        <x:v>416666.6666666667</x:v>
      </x:c>
      <x:c r="E20" s="64" t="n">
        <x:f>C20*'Вводные'!$B$7/12</x:f>
        <x:v>131944.44444444458</x:v>
      </x:c>
      <x:c r="F20" s="64" t="n">
        <x:f>D20+E20</x:f>
        <x:v>548611.1111111112</x:v>
      </x:c>
      <x:c r="G20" s="64" t="n">
        <x:f>C20-D20</x:f>
        <x:v>7916666.666666675</x:v>
      </x:c>
    </x:row>
    <x:row r="21">
      <x:c r="A21" t="n">
        <x:v>18</x:v>
      </x:c>
      <x:c r="B21" s="54" t="n">
        <x:v>46874</x:v>
      </x:c>
      <x:c r="C21" s="64" t="n">
        <x:f>G20</x:f>
        <x:v>7916666.666666675</x:v>
      </x:c>
      <x:c r="D21" s="64" t="n">
        <x:f>MIN('Вводные'!$B$5/'Вводные'!$B$6,C21)</x:f>
        <x:v>416666.6666666667</x:v>
      </x:c>
      <x:c r="E21" s="64" t="n">
        <x:f>C21*'Вводные'!$B$7/12</x:f>
        <x:v>125347.22222222236</x:v>
      </x:c>
      <x:c r="F21" s="64" t="n">
        <x:f>D21+E21</x:f>
        <x:v>542013.888888889</x:v>
      </x:c>
      <x:c r="G21" s="64" t="n">
        <x:f>C21-D21</x:f>
        <x:v>7500000.000000008</x:v>
      </x:c>
    </x:row>
    <x:row r="22">
      <x:c r="A22" t="n">
        <x:v>19</x:v>
      </x:c>
      <x:c r="B22" s="54" t="n">
        <x:v>46905</x:v>
      </x:c>
      <x:c r="C22" s="64" t="n">
        <x:f>G21</x:f>
        <x:v>7500000.000000008</x:v>
      </x:c>
      <x:c r="D22" s="64" t="n">
        <x:f>MIN('Вводные'!$B$5/'Вводные'!$B$6,C22)</x:f>
        <x:v>416666.6666666667</x:v>
      </x:c>
      <x:c r="E22" s="64" t="n">
        <x:f>C22*'Вводные'!$B$7/12</x:f>
        <x:v>118750.00000000013</x:v>
      </x:c>
      <x:c r="F22" s="64" t="n">
        <x:f>D22+E22</x:f>
        <x:v>535416.6666666669</x:v>
      </x:c>
      <x:c r="G22" s="64" t="n">
        <x:f>C22-D22</x:f>
        <x:v>7083333.333333341</x:v>
      </x:c>
    </x:row>
    <x:row r="23">
      <x:c r="A23" t="n">
        <x:v>20</x:v>
      </x:c>
      <x:c r="B23" s="54" t="n">
        <x:v>46935</x:v>
      </x:c>
      <x:c r="C23" s="64" t="n">
        <x:f>G22</x:f>
        <x:v>7083333.333333341</x:v>
      </x:c>
      <x:c r="D23" s="64" t="n">
        <x:f>MIN('Вводные'!$B$5/'Вводные'!$B$6,C23)</x:f>
        <x:v>416666.6666666667</x:v>
      </x:c>
      <x:c r="E23" s="64" t="n">
        <x:f>C23*'Вводные'!$B$7/12</x:f>
        <x:v>112152.77777777791</x:v>
      </x:c>
      <x:c r="F23" s="64" t="n">
        <x:f>D23+E23</x:f>
        <x:v>528819.4444444446</x:v>
      </x:c>
      <x:c r="G23" s="64" t="n">
        <x:f>C23-D23</x:f>
        <x:v>6666666.666666674</x:v>
      </x:c>
    </x:row>
    <x:row r="24">
      <x:c r="A24" t="n">
        <x:v>21</x:v>
      </x:c>
      <x:c r="B24" s="54" t="n">
        <x:v>46966</x:v>
      </x:c>
      <x:c r="C24" s="64" t="n">
        <x:f>G23</x:f>
        <x:v>6666666.666666674</x:v>
      </x:c>
      <x:c r="D24" s="64" t="n">
        <x:f>MIN('Вводные'!$B$5/'Вводные'!$B$6,C24)</x:f>
        <x:v>416666.6666666667</x:v>
      </x:c>
      <x:c r="E24" s="64" t="n">
        <x:f>C24*'Вводные'!$B$7/12</x:f>
        <x:v>105555.55555555568</x:v>
      </x:c>
      <x:c r="F24" s="64" t="n">
        <x:f>D24+E24</x:f>
        <x:v>522222.22222222236</x:v>
      </x:c>
      <x:c r="G24" s="64" t="n">
        <x:f>C24-D24</x:f>
        <x:v>6250000.000000007</x:v>
      </x:c>
    </x:row>
    <x:row r="25">
      <x:c r="A25" t="n">
        <x:v>22</x:v>
      </x:c>
      <x:c r="B25" s="54" t="n">
        <x:v>46997</x:v>
      </x:c>
      <x:c r="C25" s="64" t="n">
        <x:f>G24</x:f>
        <x:v>6250000.000000007</x:v>
      </x:c>
      <x:c r="D25" s="64" t="n">
        <x:f>MIN('Вводные'!$B$5/'Вводные'!$B$6,C25)</x:f>
        <x:v>416666.6666666667</x:v>
      </x:c>
      <x:c r="E25" s="64" t="n">
        <x:f>C25*'Вводные'!$B$7/12</x:f>
        <x:v>98958.33333333344</x:v>
      </x:c>
      <x:c r="F25" s="64" t="n">
        <x:f>D25+E25</x:f>
        <x:v>515625.0000000001</x:v>
      </x:c>
      <x:c r="G25" s="64" t="n">
        <x:f>C25-D25</x:f>
        <x:v>5833333.3333333405</x:v>
      </x:c>
    </x:row>
    <x:row r="26">
      <x:c r="A26" t="n">
        <x:v>23</x:v>
      </x:c>
      <x:c r="B26" s="54" t="n">
        <x:v>47027</x:v>
      </x:c>
      <x:c r="C26" s="64" t="n">
        <x:f>G25</x:f>
        <x:v>5833333.3333333405</x:v>
      </x:c>
      <x:c r="D26" s="64" t="n">
        <x:f>MIN('Вводные'!$B$5/'Вводные'!$B$6,C26)</x:f>
        <x:v>416666.6666666667</x:v>
      </x:c>
      <x:c r="E26" s="64" t="n">
        <x:f>C26*'Вводные'!$B$7/12</x:f>
        <x:v>92361.11111111123</x:v>
      </x:c>
      <x:c r="F26" s="64" t="n">
        <x:f>D26+E26</x:f>
        <x:v>509027.7777777779</x:v>
      </x:c>
      <x:c r="G26" s="64" t="n">
        <x:f>C26-D26</x:f>
        <x:v>5416666.6666666735</x:v>
      </x:c>
    </x:row>
    <x:row r="27">
      <x:c r="A27" t="n">
        <x:v>24</x:v>
      </x:c>
      <x:c r="B27" s="54" t="n">
        <x:v>47058</x:v>
      </x:c>
      <x:c r="C27" s="64" t="n">
        <x:f>G26</x:f>
        <x:v>5416666.6666666735</x:v>
      </x:c>
      <x:c r="D27" s="64" t="n">
        <x:f>MIN('Вводные'!$B$5/'Вводные'!$B$6,C27)</x:f>
        <x:v>416666.6666666667</x:v>
      </x:c>
      <x:c r="E27" s="64" t="n">
        <x:f>C27*'Вводные'!$B$7/12</x:f>
        <x:v>85763.888888889</x:v>
      </x:c>
      <x:c r="F27" s="64" t="n">
        <x:f>D27+E27</x:f>
        <x:v>502430.5555555557</x:v>
      </x:c>
      <x:c r="G27" s="64" t="n">
        <x:f>C27-D27</x:f>
        <x:v>5000000.0000000065</x:v>
      </x:c>
    </x:row>
    <x:row r="28">
      <x:c r="A28" t="n">
        <x:v>25</x:v>
      </x:c>
      <x:c r="B28" s="54" t="n">
        <x:v>47088</x:v>
      </x:c>
      <x:c r="C28" s="64" t="n">
        <x:f>G27</x:f>
        <x:v>5000000.0000000065</x:v>
      </x:c>
      <x:c r="D28" s="64" t="n">
        <x:f>MIN('Вводные'!$B$5/'Вводные'!$B$6,C28)</x:f>
        <x:v>416666.6666666667</x:v>
      </x:c>
      <x:c r="E28" s="64" t="n">
        <x:f>C28*'Вводные'!$B$7/12</x:f>
        <x:v>79166.66666666677</x:v>
      </x:c>
      <x:c r="F28" s="64" t="n">
        <x:f>D28+E28</x:f>
        <x:v>495833.3333333335</x:v>
      </x:c>
      <x:c r="G28" s="64" t="n">
        <x:f>C28-D28</x:f>
        <x:v>4583333.33333334</x:v>
      </x:c>
    </x:row>
    <x:row r="29">
      <x:c r="A29" t="n">
        <x:v>26</x:v>
      </x:c>
      <x:c r="B29" s="54" t="n">
        <x:v>47119</x:v>
      </x:c>
      <x:c r="C29" s="64" t="n">
        <x:f>G28</x:f>
        <x:v>4583333.33333334</x:v>
      </x:c>
      <x:c r="D29" s="64" t="n">
        <x:f>MIN('Вводные'!$B$5/'Вводные'!$B$6,C29)</x:f>
        <x:v>416666.6666666667</x:v>
      </x:c>
      <x:c r="E29" s="64" t="n">
        <x:f>C29*'Вводные'!$B$7/12</x:f>
        <x:v>72569.44444444454</x:v>
      </x:c>
      <x:c r="F29" s="64" t="n">
        <x:f>D29+E29</x:f>
        <x:v>489236.11111111124</x:v>
      </x:c>
      <x:c r="G29" s="64" t="n">
        <x:f>C29-D29</x:f>
        <x:v>4166666.666666673</x:v>
      </x:c>
    </x:row>
    <x:row r="30">
      <x:c r="A30" t="n">
        <x:v>27</x:v>
      </x:c>
      <x:c r="B30" s="54" t="n">
        <x:v>47150</x:v>
      </x:c>
      <x:c r="C30" s="64" t="n">
        <x:f>G29</x:f>
        <x:v>4166666.666666673</x:v>
      </x:c>
      <x:c r="D30" s="64" t="n">
        <x:f>MIN('Вводные'!$B$5/'Вводные'!$B$6,C30)</x:f>
        <x:v>416666.6666666667</x:v>
      </x:c>
      <x:c r="E30" s="64" t="n">
        <x:f>C30*'Вводные'!$B$7/12</x:f>
        <x:v>65972.22222222232</x:v>
      </x:c>
      <x:c r="F30" s="64" t="n">
        <x:f>D30+E30</x:f>
        <x:v>482638.888888889</x:v>
      </x:c>
      <x:c r="G30" s="64" t="n">
        <x:f>C30-D30</x:f>
        <x:v>3750000.0000000065</x:v>
      </x:c>
    </x:row>
    <x:row r="31">
      <x:c r="A31" t="n">
        <x:v>28</x:v>
      </x:c>
      <x:c r="B31" s="54" t="n">
        <x:v>47178</x:v>
      </x:c>
      <x:c r="C31" s="64" t="n">
        <x:f>G30</x:f>
        <x:v>3750000.0000000065</x:v>
      </x:c>
      <x:c r="D31" s="64" t="n">
        <x:f>MIN('Вводные'!$B$5/'Вводные'!$B$6,C31)</x:f>
        <x:v>416666.6666666667</x:v>
      </x:c>
      <x:c r="E31" s="64" t="n">
        <x:f>C31*'Вводные'!$B$7/12</x:f>
        <x:v>59375.00000000011</x:v>
      </x:c>
      <x:c r="F31" s="64" t="n">
        <x:f>D31+E31</x:f>
        <x:v>476041.6666666668</x:v>
      </x:c>
      <x:c r="G31" s="64" t="n">
        <x:f>C31-D31</x:f>
        <x:v>3333333.33333334</x:v>
      </x:c>
    </x:row>
    <x:row r="32">
      <x:c r="A32" t="n">
        <x:v>29</x:v>
      </x:c>
      <x:c r="B32" s="54" t="n">
        <x:v>47209</x:v>
      </x:c>
      <x:c r="C32" s="64" t="n">
        <x:f>G31</x:f>
        <x:v>3333333.33333334</x:v>
      </x:c>
      <x:c r="D32" s="64" t="n">
        <x:f>MIN('Вводные'!$B$5/'Вводные'!$B$6,C32)</x:f>
        <x:v>416666.6666666667</x:v>
      </x:c>
      <x:c r="E32" s="64" t="n">
        <x:f>C32*'Вводные'!$B$7/12</x:f>
        <x:v>52777.77777777789</x:v>
      </x:c>
      <x:c r="F32" s="64" t="n">
        <x:f>D32+E32</x:f>
        <x:v>469444.44444444455</x:v>
      </x:c>
      <x:c r="G32" s="64" t="n">
        <x:f>C32-D32</x:f>
        <x:v>2916666.6666666735</x:v>
      </x:c>
    </x:row>
    <x:row r="33">
      <x:c r="A33" t="n">
        <x:v>30</x:v>
      </x:c>
      <x:c r="B33" s="54" t="n">
        <x:v>47239</x:v>
      </x:c>
      <x:c r="C33" s="64" t="n">
        <x:f>G32</x:f>
        <x:v>2916666.6666666735</x:v>
      </x:c>
      <x:c r="D33" s="64" t="n">
        <x:f>MIN('Вводные'!$B$5/'Вводные'!$B$6,C33)</x:f>
        <x:v>416666.6666666667</x:v>
      </x:c>
      <x:c r="E33" s="64" t="n">
        <x:f>C33*'Вводные'!$B$7/12</x:f>
        <x:v>46180.55555555567</x:v>
      </x:c>
      <x:c r="F33" s="64" t="n">
        <x:f>D33+E33</x:f>
        <x:v>462847.22222222236</x:v>
      </x:c>
      <x:c r="G33" s="64" t="n">
        <x:f>C33-D33</x:f>
        <x:v>2500000.000000007</x:v>
      </x:c>
    </x:row>
    <x:row r="34">
      <x:c r="A34" t="n">
        <x:v>31</x:v>
      </x:c>
      <x:c r="B34" s="54" t="n">
        <x:v>47270</x:v>
      </x:c>
      <x:c r="C34" s="64" t="n">
        <x:f>G33</x:f>
        <x:v>2500000.000000007</x:v>
      </x:c>
      <x:c r="D34" s="64" t="n">
        <x:f>MIN('Вводные'!$B$5/'Вводные'!$B$6,C34)</x:f>
        <x:v>416666.6666666667</x:v>
      </x:c>
      <x:c r="E34" s="64" t="n">
        <x:f>C34*'Вводные'!$B$7/12</x:f>
        <x:v>39583.333333333445</x:v>
      </x:c>
      <x:c r="F34" s="64" t="n">
        <x:f>D34+E34</x:f>
        <x:v>456250.0000000001</x:v>
      </x:c>
      <x:c r="G34" s="64" t="n">
        <x:f>C34-D34</x:f>
        <x:v>2083333.3333333402</x:v>
      </x:c>
    </x:row>
    <x:row r="35">
      <x:c r="A35" t="n">
        <x:v>32</x:v>
      </x:c>
      <x:c r="B35" s="54" t="n">
        <x:v>47300</x:v>
      </x:c>
      <x:c r="C35" s="64" t="n">
        <x:f>G34</x:f>
        <x:v>2083333.3333333402</x:v>
      </x:c>
      <x:c r="D35" s="64" t="n">
        <x:f>MIN('Вводные'!$B$5/'Вводные'!$B$6,C35)</x:f>
        <x:v>416666.6666666667</x:v>
      </x:c>
      <x:c r="E35" s="64" t="n">
        <x:f>C35*'Вводные'!$B$7/12</x:f>
        <x:v>32986.11111111122</x:v>
      </x:c>
      <x:c r="F35" s="64" t="n">
        <x:f>D35+E35</x:f>
        <x:v>449652.7777777779</x:v>
      </x:c>
      <x:c r="G35" s="64" t="n">
        <x:f>C35-D35</x:f>
        <x:v>1666666.6666666735</x:v>
      </x:c>
    </x:row>
    <x:row r="36">
      <x:c r="A36" t="n">
        <x:v>33</x:v>
      </x:c>
      <x:c r="B36" s="54" t="n">
        <x:v>47331</x:v>
      </x:c>
      <x:c r="C36" s="64" t="n">
        <x:f>G35</x:f>
        <x:v>1666666.6666666735</x:v>
      </x:c>
      <x:c r="D36" s="64" t="n">
        <x:f>MIN('Вводные'!$B$5/'Вводные'!$B$6,C36)</x:f>
        <x:v>416666.6666666667</x:v>
      </x:c>
      <x:c r="E36" s="64" t="n">
        <x:f>C36*'Вводные'!$B$7/12</x:f>
        <x:v>26388.888888888996</x:v>
      </x:c>
      <x:c r="F36" s="64" t="n">
        <x:f>D36+E36</x:f>
        <x:v>443055.5555555557</x:v>
      </x:c>
      <x:c r="G36" s="64" t="n">
        <x:f>C36-D36</x:f>
        <x:v>1250000.0000000068</x:v>
      </x:c>
    </x:row>
    <x:row r="37">
      <x:c r="A37" t="n">
        <x:v>34</x:v>
      </x:c>
      <x:c r="B37" s="54" t="n">
        <x:v>47362</x:v>
      </x:c>
      <x:c r="C37" s="64" t="n">
        <x:f>G36</x:f>
        <x:v>1250000.0000000068</x:v>
      </x:c>
      <x:c r="D37" s="64" t="n">
        <x:f>MIN('Вводные'!$B$5/'Вводные'!$B$6,C37)</x:f>
        <x:v>416666.6666666667</x:v>
      </x:c>
      <x:c r="E37" s="64" t="n">
        <x:f>C37*'Вводные'!$B$7/12</x:f>
        <x:v>19791.666666666773</x:v>
      </x:c>
      <x:c r="F37" s="64" t="n">
        <x:f>D37+E37</x:f>
        <x:v>436458.3333333335</x:v>
      </x:c>
      <x:c r="G37" s="64" t="n">
        <x:f>C37-D37</x:f>
        <x:v>833333.33333334</x:v>
      </x:c>
    </x:row>
    <x:row r="38">
      <x:c r="A38" t="n">
        <x:v>35</x:v>
      </x:c>
      <x:c r="B38" s="54" t="n">
        <x:v>47392</x:v>
      </x:c>
      <x:c r="C38" s="64" t="n">
        <x:f>G37</x:f>
        <x:v>833333.33333334</x:v>
      </x:c>
      <x:c r="D38" s="64" t="n">
        <x:f>MIN('Вводные'!$B$5/'Вводные'!$B$6,C38)</x:f>
        <x:v>416666.6666666667</x:v>
      </x:c>
      <x:c r="E38" s="64" t="n">
        <x:f>C38*'Вводные'!$B$7/12</x:f>
        <x:v>13194.444444444549</x:v>
      </x:c>
      <x:c r="F38" s="64" t="n">
        <x:f>D38+E38</x:f>
        <x:v>429861.11111111124</x:v>
      </x:c>
      <x:c r="G38" s="64" t="n">
        <x:f>C38-D38</x:f>
        <x:v>416666.6666666733</x:v>
      </x:c>
    </x:row>
    <x:row r="39">
      <x:c r="A39" t="n">
        <x:v>36</x:v>
      </x:c>
      <x:c r="B39" s="54" t="n">
        <x:v>47423</x:v>
      </x:c>
      <x:c r="C39" s="64" t="n">
        <x:f>G38</x:f>
        <x:v>416666.6666666733</x:v>
      </x:c>
      <x:c r="D39" s="64" t="n">
        <x:f>MIN('Вводные'!$B$5/'Вводные'!$B$6,C39)</x:f>
        <x:v>416666.6666666667</x:v>
      </x:c>
      <x:c r="E39" s="64" t="n">
        <x:f>C39*'Вводные'!$B$7/12</x:f>
        <x:v>6597.222222222328</x:v>
      </x:c>
      <x:c r="F39" s="64" t="n">
        <x:f>D39+E39</x:f>
        <x:v>423263.888888889</x:v>
      </x:c>
      <x:c r="G39" s="64" t="n">
        <x:f>C39-D39</x:f>
        <x:v>6.6356733441352844e-9</x:v>
      </x:c>
    </x:row>
    <x:row r="40">
      <x:c r="A40" s="50" t="str">
        <x:v>ИТОГО</x:v>
      </x:c>
      <x:c r="B40" s="50"/>
      <x:c r="C40" s="50"/>
      <x:c r="D40" s="50" t="n">
        <x:f>SUM(D4:D39)</x:f>
        <x:v>14999999.999999993</x:v>
      </x:c>
      <x:c r="E40" s="50" t="n">
        <x:f>SUM(E4:E39)</x:f>
        <x:v>4393750.000000004</x:v>
      </x:c>
      <x:c r="F40" s="50" t="n">
        <x:f>SUM(F4:F39)</x:f>
        <x:v>19393750</x:v>
      </x:c>
      <x:c r="G40" s="50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9" hidden="0" customWidth="1"/>
    <x:col min="3" max="3" width="14" hidden="0" customWidth="1"/>
    <x:col min="4" max="4" width="16" hidden="0" customWidth="1"/>
    <x:col min="5" max="5" width="12" hidden="0" customWidth="1"/>
    <x:col min="6" max="6" width="15" hidden="0" customWidth="1"/>
    <x:col min="7" max="7" width="13" hidden="0" customWidth="1"/>
    <x:col min="8" max="8" width="15" hidden="0" customWidth="1"/>
    <x:col min="9" max="9" width="11" hidden="0" customWidth="1"/>
    <x:col min="10" max="10" width="14" hidden="0" customWidth="1"/>
    <x:col min="11" max="11" width="13" hidden="0" customWidth="1"/>
    <x:col min="12" max="12" width="15" hidden="0" customWidth="1"/>
    <x:col min="13" max="13" width="11" hidden="0" customWidth="1"/>
    <x:col min="14" max="14" width="14" hidden="0" customWidth="1"/>
    <x:col min="16" max="16" width="28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6" customHeight="1">
      <x:c r="A1" s="4" t="str">
        <x:v>СКЛАД И ДОЗАКАЗЫ — ПРОВЕРКА ПОРОГА 15 МЛН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/>
      <x:c r="P1"/>
      <x:c r="Q1"/>
      <x:c r="R1"/>
      <x:c r="S1"/>
    </x:row>
    <x:row r="3">
      <x:c r="A3" s="10" t="str">
        <x:v>Месяц</x:v>
      </x:c>
      <x:c r="B3" s="10" t="str">
        <x:v>Коэф.</x:v>
      </x:c>
      <x:c r="C3" s="10" t="str">
        <x:v>701 продажи</x:v>
      </x:c>
      <x:c r="D3" s="10" t="str">
        <x:v>701 склад нач.</x:v>
      </x:c>
      <x:c r="E3" s="10" t="str">
        <x:v>701 приход</x:v>
      </x:c>
      <x:c r="F3" s="10" t="str">
        <x:v>701 склад кон.</x:v>
      </x:c>
      <x:c r="G3" s="10" t="str">
        <x:v>702 продажи</x:v>
      </x:c>
      <x:c r="H3" s="10" t="str">
        <x:v>702 склад нач.</x:v>
      </x:c>
      <x:c r="I3" s="10" t="str">
        <x:v>702 приход</x:v>
      </x:c>
      <x:c r="J3" s="10" t="str">
        <x:v>702 склад кон.</x:v>
      </x:c>
      <x:c r="K3" s="10" t="str">
        <x:v>750 продажи</x:v>
      </x:c>
      <x:c r="L3" s="10" t="str">
        <x:v>750 склад нач.</x:v>
      </x:c>
      <x:c r="M3" s="10" t="str">
        <x:v>750 приход</x:v>
      </x:c>
      <x:c r="N3" s="10" t="str">
        <x:v>750 склад кон.</x:v>
      </x:c>
      <x:c r="P3" s="10" t="str">
        <x:v>Проверка</x:v>
      </x:c>
      <x:c r="Q3" s="10" t="str">
        <x:v>701</x:v>
      </x:c>
      <x:c r="R3" s="10" t="str">
        <x:v>702</x:v>
      </x:c>
      <x:c r="S3" s="10" t="str">
        <x:v>750</x:v>
      </x:c>
    </x:row>
    <x:row r="4">
      <x:c r="A4" s="54" t="n">
        <x:v>46388</x:v>
      </x:c>
      <x:c r="B4" s="56" t="n">
        <x:f>'План продаж'!C4</x:f>
        <x:v>0.7333333333333333</x:v>
      </x:c>
      <x:c r="C4" s="64" t="n">
        <x:f>'План продаж'!D4</x:f>
        <x:v>514</x:v>
      </x:c>
      <x:c r="D4" s="64" t="n">
        <x:f>'Вводные'!B10</x:f>
        <x:v>3000</x:v>
      </x:c>
      <x:c r="E4" s="64" t="n">
        <x:f>IF(D4&lt;C4,'Вводные'!$B$11,0)</x:f>
        <x:v>0</x:v>
      </x:c>
      <x:c r="F4" s="64" t="n">
        <x:f>D4+E4-C4</x:f>
        <x:v>2486</x:v>
      </x:c>
      <x:c r="G4" s="64" t="n">
        <x:f>'План продаж'!E4</x:f>
        <x:v>515</x:v>
      </x:c>
      <x:c r="H4" s="64" t="n">
        <x:f>'Вводные'!B10</x:f>
        <x:v>3000</x:v>
      </x:c>
      <x:c r="I4" s="64" t="n">
        <x:f>IF(H4&lt;G4,'Вводные'!$B$11,0)</x:f>
        <x:v>0</x:v>
      </x:c>
      <x:c r="J4" s="64" t="n">
        <x:f>H4+I4-G4</x:f>
        <x:v>2485</x:v>
      </x:c>
      <x:c r="K4" s="64" t="n">
        <x:f>'План продаж'!F4</x:f>
        <x:v>550</x:v>
      </x:c>
      <x:c r="L4" s="64" t="n">
        <x:f>'Вводные'!B10</x:f>
        <x:v>3000</x:v>
      </x:c>
      <x:c r="M4" s="64" t="n">
        <x:f>IF(L4&lt;K4,'Вводные'!$B$11,0)</x:f>
        <x:v>0</x:v>
      </x:c>
      <x:c r="N4" s="64" t="n">
        <x:f>L4+M4-K4</x:f>
        <x:v>2450</x:v>
      </x:c>
      <x:c r="P4" t="str">
        <x:v>Макс. склад до продаж, пар</x:v>
      </x:c>
      <x:c r="Q4" s="20" t="n">
        <x:f>MAX(D4:D39)</x:f>
        <x:v>3000</x:v>
      </x:c>
      <x:c r="R4" s="20" t="n">
        <x:f>MAX(H4:H39)</x:f>
        <x:v>3000</x:v>
      </x:c>
      <x:c r="S4" s="20" t="n">
        <x:f>MAX(L4:L39)</x:f>
        <x:v>3000</x:v>
      </x:c>
    </x:row>
    <x:row r="5">
      <x:c r="A5" s="54" t="n">
        <x:v>46419</x:v>
      </x:c>
      <x:c r="B5" s="56" t="n">
        <x:f>'План продаж'!C5</x:f>
        <x:v>0.8</x:v>
      </x:c>
      <x:c r="C5" s="64" t="n">
        <x:f>'План продаж'!D5</x:f>
        <x:v>561</x:v>
      </x:c>
      <x:c r="D5" s="64" t="n">
        <x:f>F4</x:f>
        <x:v>2486</x:v>
      </x:c>
      <x:c r="E5" s="64" t="n">
        <x:f>IF(D5&lt;C5,'Вводные'!$B$11,0)</x:f>
        <x:v>0</x:v>
      </x:c>
      <x:c r="F5" s="64" t="n">
        <x:f>D5+E5-C5</x:f>
        <x:v>1925</x:v>
      </x:c>
      <x:c r="G5" s="64" t="n">
        <x:f>'План продаж'!E5</x:f>
        <x:v>562</x:v>
      </x:c>
      <x:c r="H5" s="64" t="n">
        <x:f>J4</x:f>
        <x:v>2485</x:v>
      </x:c>
      <x:c r="I5" s="64" t="n">
        <x:f>IF(H5&lt;G5,'Вводные'!$B$11,0)</x:f>
        <x:v>0</x:v>
      </x:c>
      <x:c r="J5" s="64" t="n">
        <x:f>H5+I5-G5</x:f>
        <x:v>1923</x:v>
      </x:c>
      <x:c r="K5" s="64" t="n">
        <x:f>'План продаж'!F5</x:f>
        <x:v>600</x:v>
      </x:c>
      <x:c r="L5" s="64" t="n">
        <x:f>N4</x:f>
        <x:v>2450</x:v>
      </x:c>
      <x:c r="M5" s="64" t="n">
        <x:f>IF(L5&lt;K5,'Вводные'!$B$11,0)</x:f>
        <x:v>0</x:v>
      </x:c>
      <x:c r="N5" s="64" t="n">
        <x:f>L5+M5-K5</x:f>
        <x:v>1850</x:v>
      </x:c>
      <x:c r="P5" t="str">
        <x:v>Дозаказы за 36 мес., пар</x:v>
      </x:c>
      <x:c r="Q5" s="20" t="n">
        <x:f>SUM(E4:E39)</x:f>
        <x:v>23000</x:v>
      </x:c>
      <x:c r="R5" s="20" t="n">
        <x:f>SUM(I4:I39)</x:f>
        <x:v>23000</x:v>
      </x:c>
      <x:c r="S5" s="20" t="n">
        <x:f>SUM(M4:M39)</x:f>
        <x:v>24000</x:v>
      </x:c>
    </x:row>
    <x:row r="6">
      <x:c r="A6" s="54" t="n">
        <x:v>46447</x:v>
      </x:c>
      <x:c r="B6" s="56" t="n">
        <x:f>'План продаж'!C6</x:f>
        <x:v>1.1</x:v>
      </x:c>
      <x:c r="C6" s="64" t="n">
        <x:f>'План продаж'!D6</x:f>
        <x:v>771</x:v>
      </x:c>
      <x:c r="D6" s="64" t="n">
        <x:f>F5</x:f>
        <x:v>1925</x:v>
      </x:c>
      <x:c r="E6" s="64" t="n">
        <x:f>IF(D6&lt;C6,'Вводные'!$B$11,0)</x:f>
        <x:v>0</x:v>
      </x:c>
      <x:c r="F6" s="64" t="n">
        <x:f>D6+E6-C6</x:f>
        <x:v>1154</x:v>
      </x:c>
      <x:c r="G6" s="64" t="n">
        <x:f>'План продаж'!E6</x:f>
        <x:v>772</x:v>
      </x:c>
      <x:c r="H6" s="64" t="n">
        <x:f>J5</x:f>
        <x:v>1923</x:v>
      </x:c>
      <x:c r="I6" s="64" t="n">
        <x:f>IF(H6&lt;G6,'Вводные'!$B$11,0)</x:f>
        <x:v>0</x:v>
      </x:c>
      <x:c r="J6" s="64" t="n">
        <x:f>H6+I6-G6</x:f>
        <x:v>1151</x:v>
      </x:c>
      <x:c r="K6" s="64" t="n">
        <x:f>'План продаж'!F6</x:f>
        <x:v>825</x:v>
      </x:c>
      <x:c r="L6" s="64" t="n">
        <x:f>N5</x:f>
        <x:v>1850</x:v>
      </x:c>
      <x:c r="M6" s="64" t="n">
        <x:f>IF(L6&lt;K6,'Вводные'!$B$11,0)</x:f>
        <x:v>0</x:v>
      </x:c>
      <x:c r="N6" s="64" t="n">
        <x:f>L6+M6-K6</x:f>
        <x:v>1025</x:v>
      </x:c>
      <x:c r="P6" t="str">
        <x:v>Склад на конец, пар</x:v>
      </x:c>
      <x:c r="Q6" s="20" t="n">
        <x:f>F39</x:f>
        <x:v>764</x:v>
      </x:c>
      <x:c r="R6" s="20" t="n">
        <x:f>J39</x:f>
        <x:v>728</x:v>
      </x:c>
      <x:c r="S6" s="20" t="n">
        <x:f>N39</x:f>
        <x:v>0</x:v>
      </x:c>
    </x:row>
    <x:row r="7">
      <x:c r="A7" s="54" t="n">
        <x:v>46478</x:v>
      </x:c>
      <x:c r="B7" s="56" t="n">
        <x:f>'План продаж'!C7</x:f>
        <x:v>1.2</x:v>
      </x:c>
      <x:c r="C7" s="64" t="n">
        <x:f>'План продаж'!D7</x:f>
        <x:v>841</x:v>
      </x:c>
      <x:c r="D7" s="64" t="n">
        <x:f>F6</x:f>
        <x:v>1154</x:v>
      </x:c>
      <x:c r="E7" s="64" t="n">
        <x:f>IF(D7&lt;C7,'Вводные'!$B$11,0)</x:f>
        <x:v>0</x:v>
      </x:c>
      <x:c r="F7" s="64" t="n">
        <x:f>D7+E7-C7</x:f>
        <x:v>313</x:v>
      </x:c>
      <x:c r="G7" s="64" t="n">
        <x:f>'План продаж'!E7</x:f>
        <x:v>842</x:v>
      </x:c>
      <x:c r="H7" s="64" t="n">
        <x:f>J6</x:f>
        <x:v>1151</x:v>
      </x:c>
      <x:c r="I7" s="64" t="n">
        <x:f>IF(H7&lt;G7,'Вводные'!$B$11,0)</x:f>
        <x:v>0</x:v>
      </x:c>
      <x:c r="J7" s="64" t="n">
        <x:f>H7+I7-G7</x:f>
        <x:v>309</x:v>
      </x:c>
      <x:c r="K7" s="64" t="n">
        <x:f>'План продаж'!F7</x:f>
        <x:v>900</x:v>
      </x:c>
      <x:c r="L7" s="64" t="n">
        <x:f>N6</x:f>
        <x:v>1025</x:v>
      </x:c>
      <x:c r="M7" s="64" t="n">
        <x:f>IF(L7&lt;K7,'Вводные'!$B$11,0)</x:f>
        <x:v>0</x:v>
      </x:c>
      <x:c r="N7" s="64" t="n">
        <x:f>L7+M7-K7</x:f>
        <x:v>125</x:v>
      </x:c>
      <x:c r="P7" t="str">
        <x:v>Ограничение ≤ 3 000</x:v>
      </x:c>
      <x:c r="Q7" s="14" t="str">
        <x:f>IF(Q4&lt;='Вводные'!B12,"OK","ПРЕВЫШЕНИЕ")</x:f>
        <x:v>OK</x:v>
      </x:c>
      <x:c r="R7" s="14" t="str">
        <x:f>IF(R4&lt;='Вводные'!B12,"OK","ПРЕВЫШЕНИЕ")</x:f>
        <x:v>OK</x:v>
      </x:c>
      <x:c r="S7" s="14" t="str">
        <x:f>IF(S4&lt;='Вводные'!B12,"OK","ПРЕВЫШЕНИЕ")</x:f>
        <x:v>OK</x:v>
      </x:c>
    </x:row>
    <x:row r="8">
      <x:c r="A8" s="54" t="n">
        <x:v>46508</x:v>
      </x:c>
      <x:c r="B8" s="56" t="n">
        <x:f>'План продаж'!C8</x:f>
        <x:v>0.9666666666666667</x:v>
      </x:c>
      <x:c r="C8" s="64" t="n">
        <x:f>'План продаж'!D8</x:f>
        <x:v>678</x:v>
      </x:c>
      <x:c r="D8" s="64" t="n">
        <x:f>F7</x:f>
        <x:v>313</x:v>
      </x:c>
      <x:c r="E8" s="64" t="n">
        <x:f>IF(D8&lt;C8,'Вводные'!$B$11,0)</x:f>
        <x:v>1000</x:v>
      </x:c>
      <x:c r="F8" s="64" t="n">
        <x:f>D8+E8-C8</x:f>
        <x:v>635</x:v>
      </x:c>
      <x:c r="G8" s="64" t="n">
        <x:f>'План продаж'!E8</x:f>
        <x:v>679</x:v>
      </x:c>
      <x:c r="H8" s="64" t="n">
        <x:f>J7</x:f>
        <x:v>309</x:v>
      </x:c>
      <x:c r="I8" s="64" t="n">
        <x:f>IF(H8&lt;G8,'Вводные'!$B$11,0)</x:f>
        <x:v>1000</x:v>
      </x:c>
      <x:c r="J8" s="64" t="n">
        <x:f>H8+I8-G8</x:f>
        <x:v>630</x:v>
      </x:c>
      <x:c r="K8" s="64" t="n">
        <x:f>'План продаж'!F8</x:f>
        <x:v>725</x:v>
      </x:c>
      <x:c r="L8" s="64" t="n">
        <x:f>N7</x:f>
        <x:v>125</x:v>
      </x:c>
      <x:c r="M8" s="64" t="n">
        <x:f>IF(L8&lt;K8,'Вводные'!$B$11,0)</x:f>
        <x:v>1000</x:v>
      </x:c>
      <x:c r="N8" s="64" t="n">
        <x:f>L8+M8-K8</x:f>
        <x:v>400</x:v>
      </x:c>
    </x:row>
    <x:row r="9">
      <x:c r="A9" s="54" t="n">
        <x:v>46539</x:v>
      </x:c>
      <x:c r="B9" s="56" t="n">
        <x:f>'План продаж'!C9</x:f>
        <x:v>0.9333333333333333</x:v>
      </x:c>
      <x:c r="C9" s="64" t="n">
        <x:f>'План продаж'!D9</x:f>
        <x:v>654</x:v>
      </x:c>
      <x:c r="D9" s="64" t="n">
        <x:f>F8</x:f>
        <x:v>635</x:v>
      </x:c>
      <x:c r="E9" s="64" t="n">
        <x:f>IF(D9&lt;C9,'Вводные'!$B$11,0)</x:f>
        <x:v>1000</x:v>
      </x:c>
      <x:c r="F9" s="64" t="n">
        <x:f>D9+E9-C9</x:f>
        <x:v>981</x:v>
      </x:c>
      <x:c r="G9" s="64" t="n">
        <x:f>'План продаж'!E9</x:f>
        <x:v>655</x:v>
      </x:c>
      <x:c r="H9" s="64" t="n">
        <x:f>J8</x:f>
        <x:v>630</x:v>
      </x:c>
      <x:c r="I9" s="64" t="n">
        <x:f>IF(H9&lt;G9,'Вводные'!$B$11,0)</x:f>
        <x:v>1000</x:v>
      </x:c>
      <x:c r="J9" s="64" t="n">
        <x:f>H9+I9-G9</x:f>
        <x:v>975</x:v>
      </x:c>
      <x:c r="K9" s="64" t="n">
        <x:f>'План продаж'!F9</x:f>
        <x:v>700</x:v>
      </x:c>
      <x:c r="L9" s="64" t="n">
        <x:f>N8</x:f>
        <x:v>400</x:v>
      </x:c>
      <x:c r="M9" s="64" t="n">
        <x:f>IF(L9&lt;K9,'Вводные'!$B$11,0)</x:f>
        <x:v>1000</x:v>
      </x:c>
      <x:c r="N9" s="64" t="n">
        <x:f>L9+M9-K9</x:f>
        <x:v>700</x:v>
      </x:c>
    </x:row>
    <x:row r="10">
      <x:c r="A10" s="54" t="n">
        <x:v>46569</x:v>
      </x:c>
      <x:c r="B10" s="56" t="n">
        <x:f>'План продаж'!C10</x:f>
        <x:v>1</x:v>
      </x:c>
      <x:c r="C10" s="64" t="n">
        <x:f>'План продаж'!D10</x:f>
        <x:v>701</x:v>
      </x:c>
      <x:c r="D10" s="64" t="n">
        <x:f>F9</x:f>
        <x:v>981</x:v>
      </x:c>
      <x:c r="E10" s="64" t="n">
        <x:f>IF(D10&lt;C10,'Вводные'!$B$11,0)</x:f>
        <x:v>0</x:v>
      </x:c>
      <x:c r="F10" s="64" t="n">
        <x:f>D10+E10-C10</x:f>
        <x:v>280</x:v>
      </x:c>
      <x:c r="G10" s="64" t="n">
        <x:f>'План продаж'!E10</x:f>
        <x:v>702</x:v>
      </x:c>
      <x:c r="H10" s="64" t="n">
        <x:f>J9</x:f>
        <x:v>975</x:v>
      </x:c>
      <x:c r="I10" s="64" t="n">
        <x:f>IF(H10&lt;G10,'Вводные'!$B$11,0)</x:f>
        <x:v>0</x:v>
      </x:c>
      <x:c r="J10" s="64" t="n">
        <x:f>H10+I10-G10</x:f>
        <x:v>273</x:v>
      </x:c>
      <x:c r="K10" s="64" t="n">
        <x:f>'План продаж'!F10</x:f>
        <x:v>750</x:v>
      </x:c>
      <x:c r="L10" s="64" t="n">
        <x:f>N9</x:f>
        <x:v>700</x:v>
      </x:c>
      <x:c r="M10" s="64" t="n">
        <x:f>IF(L10&lt;K10,'Вводные'!$B$11,0)</x:f>
        <x:v>1000</x:v>
      </x:c>
      <x:c r="N10" s="64" t="n">
        <x:f>L10+M10-K10</x:f>
        <x:v>950</x:v>
      </x:c>
    </x:row>
    <x:row r="11">
      <x:c r="A11" s="54" t="n">
        <x:v>46600</x:v>
      </x:c>
      <x:c r="B11" s="56" t="n">
        <x:f>'План продаж'!C11</x:f>
        <x:v>1.2</x:v>
      </x:c>
      <x:c r="C11" s="64" t="n">
        <x:f>'План продаж'!D11</x:f>
        <x:v>841</x:v>
      </x:c>
      <x:c r="D11" s="64" t="n">
        <x:f>F10</x:f>
        <x:v>280</x:v>
      </x:c>
      <x:c r="E11" s="64" t="n">
        <x:f>IF(D11&lt;C11,'Вводные'!$B$11,0)</x:f>
        <x:v>1000</x:v>
      </x:c>
      <x:c r="F11" s="64" t="n">
        <x:f>D11+E11-C11</x:f>
        <x:v>439</x:v>
      </x:c>
      <x:c r="G11" s="64" t="n">
        <x:f>'План продаж'!E11</x:f>
        <x:v>842</x:v>
      </x:c>
      <x:c r="H11" s="64" t="n">
        <x:f>J10</x:f>
        <x:v>273</x:v>
      </x:c>
      <x:c r="I11" s="64" t="n">
        <x:f>IF(H11&lt;G11,'Вводные'!$B$11,0)</x:f>
        <x:v>1000</x:v>
      </x:c>
      <x:c r="J11" s="64" t="n">
        <x:f>H11+I11-G11</x:f>
        <x:v>431</x:v>
      </x:c>
      <x:c r="K11" s="64" t="n">
        <x:f>'План продаж'!F11</x:f>
        <x:v>900</x:v>
      </x:c>
      <x:c r="L11" s="64" t="n">
        <x:f>N10</x:f>
        <x:v>950</x:v>
      </x:c>
      <x:c r="M11" s="64" t="n">
        <x:f>IF(L11&lt;K11,'Вводные'!$B$11,0)</x:f>
        <x:v>0</x:v>
      </x:c>
      <x:c r="N11" s="64" t="n">
        <x:f>L11+M11-K11</x:f>
        <x:v>50</x:v>
      </x:c>
    </x:row>
    <x:row r="12">
      <x:c r="A12" s="54" t="n">
        <x:v>46631</x:v>
      </x:c>
      <x:c r="B12" s="56" t="n">
        <x:f>'План продаж'!C12</x:f>
        <x:v>1.1666666666666667</x:v>
      </x:c>
      <x:c r="C12" s="64" t="n">
        <x:f>'План продаж'!D12</x:f>
        <x:v>818</x:v>
      </x:c>
      <x:c r="D12" s="64" t="n">
        <x:f>F11</x:f>
        <x:v>439</x:v>
      </x:c>
      <x:c r="E12" s="64" t="n">
        <x:f>IF(D12&lt;C12,'Вводные'!$B$11,0)</x:f>
        <x:v>1000</x:v>
      </x:c>
      <x:c r="F12" s="64" t="n">
        <x:f>D12+E12-C12</x:f>
        <x:v>621</x:v>
      </x:c>
      <x:c r="G12" s="64" t="n">
        <x:f>'План продаж'!E12</x:f>
        <x:v>819</x:v>
      </x:c>
      <x:c r="H12" s="64" t="n">
        <x:f>J11</x:f>
        <x:v>431</x:v>
      </x:c>
      <x:c r="I12" s="64" t="n">
        <x:f>IF(H12&lt;G12,'Вводные'!$B$11,0)</x:f>
        <x:v>1000</x:v>
      </x:c>
      <x:c r="J12" s="64" t="n">
        <x:f>H12+I12-G12</x:f>
        <x:v>612</x:v>
      </x:c>
      <x:c r="K12" s="64" t="n">
        <x:f>'План продаж'!F12</x:f>
        <x:v>875</x:v>
      </x:c>
      <x:c r="L12" s="64" t="n">
        <x:f>N11</x:f>
        <x:v>50</x:v>
      </x:c>
      <x:c r="M12" s="64" t="n">
        <x:f>IF(L12&lt;K12,'Вводные'!$B$11,0)</x:f>
        <x:v>1000</x:v>
      </x:c>
      <x:c r="N12" s="64" t="n">
        <x:f>L12+M12-K12</x:f>
        <x:v>175</x:v>
      </x:c>
    </x:row>
    <x:row r="13">
      <x:c r="A13" s="54" t="n">
        <x:v>46661</x:v>
      </x:c>
      <x:c r="B13" s="56" t="n">
        <x:f>'План продаж'!C13</x:f>
        <x:v>1</x:v>
      </x:c>
      <x:c r="C13" s="64" t="n">
        <x:f>'План продаж'!D13</x:f>
        <x:v>701</x:v>
      </x:c>
      <x:c r="D13" s="64" t="n">
        <x:f>F12</x:f>
        <x:v>621</x:v>
      </x:c>
      <x:c r="E13" s="64" t="n">
        <x:f>IF(D13&lt;C13,'Вводные'!$B$11,0)</x:f>
        <x:v>1000</x:v>
      </x:c>
      <x:c r="F13" s="64" t="n">
        <x:f>D13+E13-C13</x:f>
        <x:v>920</x:v>
      </x:c>
      <x:c r="G13" s="64" t="n">
        <x:f>'План продаж'!E13</x:f>
        <x:v>702</x:v>
      </x:c>
      <x:c r="H13" s="64" t="n">
        <x:f>J12</x:f>
        <x:v>612</x:v>
      </x:c>
      <x:c r="I13" s="64" t="n">
        <x:f>IF(H13&lt;G13,'Вводные'!$B$11,0)</x:f>
        <x:v>1000</x:v>
      </x:c>
      <x:c r="J13" s="64" t="n">
        <x:f>H13+I13-G13</x:f>
        <x:v>910</x:v>
      </x:c>
      <x:c r="K13" s="64" t="n">
        <x:f>'План продаж'!F13</x:f>
        <x:v>750</x:v>
      </x:c>
      <x:c r="L13" s="64" t="n">
        <x:f>N12</x:f>
        <x:v>175</x:v>
      </x:c>
      <x:c r="M13" s="64" t="n">
        <x:f>IF(L13&lt;K13,'Вводные'!$B$11,0)</x:f>
        <x:v>1000</x:v>
      </x:c>
      <x:c r="N13" s="64" t="n">
        <x:f>L13+M13-K13</x:f>
        <x:v>425</x:v>
      </x:c>
    </x:row>
    <x:row r="14">
      <x:c r="A14" s="54" t="n">
        <x:v>46692</x:v>
      </x:c>
      <x:c r="B14" s="56" t="n">
        <x:f>'План продаж'!C14</x:f>
        <x:v>0.9666666666666667</x:v>
      </x:c>
      <x:c r="C14" s="64" t="n">
        <x:f>'План продаж'!D14</x:f>
        <x:v>678</x:v>
      </x:c>
      <x:c r="D14" s="64" t="n">
        <x:f>F13</x:f>
        <x:v>920</x:v>
      </x:c>
      <x:c r="E14" s="64" t="n">
        <x:f>IF(D14&lt;C14,'Вводные'!$B$11,0)</x:f>
        <x:v>0</x:v>
      </x:c>
      <x:c r="F14" s="64" t="n">
        <x:f>D14+E14-C14</x:f>
        <x:v>242</x:v>
      </x:c>
      <x:c r="G14" s="64" t="n">
        <x:f>'План продаж'!E14</x:f>
        <x:v>679</x:v>
      </x:c>
      <x:c r="H14" s="64" t="n">
        <x:f>J13</x:f>
        <x:v>910</x:v>
      </x:c>
      <x:c r="I14" s="64" t="n">
        <x:f>IF(H14&lt;G14,'Вводные'!$B$11,0)</x:f>
        <x:v>0</x:v>
      </x:c>
      <x:c r="J14" s="64" t="n">
        <x:f>H14+I14-G14</x:f>
        <x:v>231</x:v>
      </x:c>
      <x:c r="K14" s="64" t="n">
        <x:f>'План продаж'!F14</x:f>
        <x:v>725</x:v>
      </x:c>
      <x:c r="L14" s="64" t="n">
        <x:f>N13</x:f>
        <x:v>425</x:v>
      </x:c>
      <x:c r="M14" s="64" t="n">
        <x:f>IF(L14&lt;K14,'Вводные'!$B$11,0)</x:f>
        <x:v>1000</x:v>
      </x:c>
      <x:c r="N14" s="64" t="n">
        <x:f>L14+M14-K14</x:f>
        <x:v>700</x:v>
      </x:c>
    </x:row>
    <x:row r="15">
      <x:c r="A15" s="54" t="n">
        <x:v>46722</x:v>
      </x:c>
      <x:c r="B15" s="56" t="n">
        <x:f>'План продаж'!C15</x:f>
        <x:v>0.9333333333333333</x:v>
      </x:c>
      <x:c r="C15" s="64" t="n">
        <x:f>'План продаж'!D15</x:f>
        <x:v>654</x:v>
      </x:c>
      <x:c r="D15" s="64" t="n">
        <x:f>F14</x:f>
        <x:v>242</x:v>
      </x:c>
      <x:c r="E15" s="64" t="n">
        <x:f>IF(D15&lt;C15,'Вводные'!$B$11,0)</x:f>
        <x:v>1000</x:v>
      </x:c>
      <x:c r="F15" s="64" t="n">
        <x:f>D15+E15-C15</x:f>
        <x:v>588</x:v>
      </x:c>
      <x:c r="G15" s="64" t="n">
        <x:f>'План продаж'!E15</x:f>
        <x:v>655</x:v>
      </x:c>
      <x:c r="H15" s="64" t="n">
        <x:f>J14</x:f>
        <x:v>231</x:v>
      </x:c>
      <x:c r="I15" s="64" t="n">
        <x:f>IF(H15&lt;G15,'Вводные'!$B$11,0)</x:f>
        <x:v>1000</x:v>
      </x:c>
      <x:c r="J15" s="64" t="n">
        <x:f>H15+I15-G15</x:f>
        <x:v>576</x:v>
      </x:c>
      <x:c r="K15" s="64" t="n">
        <x:f>'План продаж'!F15</x:f>
        <x:v>700</x:v>
      </x:c>
      <x:c r="L15" s="64" t="n">
        <x:f>N14</x:f>
        <x:v>700</x:v>
      </x:c>
      <x:c r="M15" s="64" t="n">
        <x:f>IF(L15&lt;K15,'Вводные'!$B$11,0)</x:f>
        <x:v>0</x:v>
      </x:c>
      <x:c r="N15" s="64" t="n">
        <x:f>L15+M15-K15</x:f>
        <x:v>0</x:v>
      </x:c>
    </x:row>
    <x:row r="16">
      <x:c r="A16" s="54" t="n">
        <x:v>46753</x:v>
      </x:c>
      <x:c r="B16" s="56" t="n">
        <x:f>'План продаж'!C16</x:f>
        <x:v>0.7333333333333333</x:v>
      </x:c>
      <x:c r="C16" s="64" t="n">
        <x:f>'План продаж'!D16</x:f>
        <x:v>514</x:v>
      </x:c>
      <x:c r="D16" s="64" t="n">
        <x:f>F15</x:f>
        <x:v>588</x:v>
      </x:c>
      <x:c r="E16" s="64" t="n">
        <x:f>IF(D16&lt;C16,'Вводные'!$B$11,0)</x:f>
        <x:v>0</x:v>
      </x:c>
      <x:c r="F16" s="64" t="n">
        <x:f>D16+E16-C16</x:f>
        <x:v>74</x:v>
      </x:c>
      <x:c r="G16" s="64" t="n">
        <x:f>'План продаж'!E16</x:f>
        <x:v>515</x:v>
      </x:c>
      <x:c r="H16" s="64" t="n">
        <x:f>J15</x:f>
        <x:v>576</x:v>
      </x:c>
      <x:c r="I16" s="64" t="n">
        <x:f>IF(H16&lt;G16,'Вводные'!$B$11,0)</x:f>
        <x:v>0</x:v>
      </x:c>
      <x:c r="J16" s="64" t="n">
        <x:f>H16+I16-G16</x:f>
        <x:v>61</x:v>
      </x:c>
      <x:c r="K16" s="64" t="n">
        <x:f>'План продаж'!F16</x:f>
        <x:v>550</x:v>
      </x:c>
      <x:c r="L16" s="64" t="n">
        <x:f>N15</x:f>
        <x:v>0</x:v>
      </x:c>
      <x:c r="M16" s="64" t="n">
        <x:f>IF(L16&lt;K16,'Вводные'!$B$11,0)</x:f>
        <x:v>1000</x:v>
      </x:c>
      <x:c r="N16" s="64" t="n">
        <x:f>L16+M16-K16</x:f>
        <x:v>450</x:v>
      </x:c>
    </x:row>
    <x:row r="17">
      <x:c r="A17" s="54" t="n">
        <x:v>46784</x:v>
      </x:c>
      <x:c r="B17" s="56" t="n">
        <x:f>'План продаж'!C17</x:f>
        <x:v>0.8</x:v>
      </x:c>
      <x:c r="C17" s="64" t="n">
        <x:f>'План продаж'!D17</x:f>
        <x:v>561</x:v>
      </x:c>
      <x:c r="D17" s="64" t="n">
        <x:f>F16</x:f>
        <x:v>74</x:v>
      </x:c>
      <x:c r="E17" s="64" t="n">
        <x:f>IF(D17&lt;C17,'Вводные'!$B$11,0)</x:f>
        <x:v>1000</x:v>
      </x:c>
      <x:c r="F17" s="64" t="n">
        <x:f>D17+E17-C17</x:f>
        <x:v>513</x:v>
      </x:c>
      <x:c r="G17" s="64" t="n">
        <x:f>'План продаж'!E17</x:f>
        <x:v>562</x:v>
      </x:c>
      <x:c r="H17" s="64" t="n">
        <x:f>J16</x:f>
        <x:v>61</x:v>
      </x:c>
      <x:c r="I17" s="64" t="n">
        <x:f>IF(H17&lt;G17,'Вводные'!$B$11,0)</x:f>
        <x:v>1000</x:v>
      </x:c>
      <x:c r="J17" s="64" t="n">
        <x:f>H17+I17-G17</x:f>
        <x:v>499</x:v>
      </x:c>
      <x:c r="K17" s="64" t="n">
        <x:f>'План продаж'!F17</x:f>
        <x:v>600</x:v>
      </x:c>
      <x:c r="L17" s="64" t="n">
        <x:f>N16</x:f>
        <x:v>450</x:v>
      </x:c>
      <x:c r="M17" s="64" t="n">
        <x:f>IF(L17&lt;K17,'Вводные'!$B$11,0)</x:f>
        <x:v>1000</x:v>
      </x:c>
      <x:c r="N17" s="64" t="n">
        <x:f>L17+M17-K17</x:f>
        <x:v>850</x:v>
      </x:c>
    </x:row>
    <x:row r="18">
      <x:c r="A18" s="54" t="n">
        <x:v>46813</x:v>
      </x:c>
      <x:c r="B18" s="56" t="n">
        <x:f>'План продаж'!C18</x:f>
        <x:v>1.1</x:v>
      </x:c>
      <x:c r="C18" s="64" t="n">
        <x:f>'План продаж'!D18</x:f>
        <x:v>771</x:v>
      </x:c>
      <x:c r="D18" s="64" t="n">
        <x:f>F17</x:f>
        <x:v>513</x:v>
      </x:c>
      <x:c r="E18" s="64" t="n">
        <x:f>IF(D18&lt;C18,'Вводные'!$B$11,0)</x:f>
        <x:v>1000</x:v>
      </x:c>
      <x:c r="F18" s="64" t="n">
        <x:f>D18+E18-C18</x:f>
        <x:v>742</x:v>
      </x:c>
      <x:c r="G18" s="64" t="n">
        <x:f>'План продаж'!E18</x:f>
        <x:v>772</x:v>
      </x:c>
      <x:c r="H18" s="64" t="n">
        <x:f>J17</x:f>
        <x:v>499</x:v>
      </x:c>
      <x:c r="I18" s="64" t="n">
        <x:f>IF(H18&lt;G18,'Вводные'!$B$11,0)</x:f>
        <x:v>1000</x:v>
      </x:c>
      <x:c r="J18" s="64" t="n">
        <x:f>H18+I18-G18</x:f>
        <x:v>727</x:v>
      </x:c>
      <x:c r="K18" s="64" t="n">
        <x:f>'План продаж'!F18</x:f>
        <x:v>825</x:v>
      </x:c>
      <x:c r="L18" s="64" t="n">
        <x:f>N17</x:f>
        <x:v>850</x:v>
      </x:c>
      <x:c r="M18" s="64" t="n">
        <x:f>IF(L18&lt;K18,'Вводные'!$B$11,0)</x:f>
        <x:v>0</x:v>
      </x:c>
      <x:c r="N18" s="64" t="n">
        <x:f>L18+M18-K18</x:f>
        <x:v>25</x:v>
      </x:c>
    </x:row>
    <x:row r="19">
      <x:c r="A19" s="54" t="n">
        <x:v>46844</x:v>
      </x:c>
      <x:c r="B19" s="56" t="n">
        <x:f>'План продаж'!C19</x:f>
        <x:v>1.2</x:v>
      </x:c>
      <x:c r="C19" s="64" t="n">
        <x:f>'План продаж'!D19</x:f>
        <x:v>841</x:v>
      </x:c>
      <x:c r="D19" s="64" t="n">
        <x:f>F18</x:f>
        <x:v>742</x:v>
      </x:c>
      <x:c r="E19" s="64" t="n">
        <x:f>IF(D19&lt;C19,'Вводные'!$B$11,0)</x:f>
        <x:v>1000</x:v>
      </x:c>
      <x:c r="F19" s="64" t="n">
        <x:f>D19+E19-C19</x:f>
        <x:v>901</x:v>
      </x:c>
      <x:c r="G19" s="64" t="n">
        <x:f>'План продаж'!E19</x:f>
        <x:v>842</x:v>
      </x:c>
      <x:c r="H19" s="64" t="n">
        <x:f>J18</x:f>
        <x:v>727</x:v>
      </x:c>
      <x:c r="I19" s="64" t="n">
        <x:f>IF(H19&lt;G19,'Вводные'!$B$11,0)</x:f>
        <x:v>1000</x:v>
      </x:c>
      <x:c r="J19" s="64" t="n">
        <x:f>H19+I19-G19</x:f>
        <x:v>885</x:v>
      </x:c>
      <x:c r="K19" s="64" t="n">
        <x:f>'План продаж'!F19</x:f>
        <x:v>900</x:v>
      </x:c>
      <x:c r="L19" s="64" t="n">
        <x:f>N18</x:f>
        <x:v>25</x:v>
      </x:c>
      <x:c r="M19" s="64" t="n">
        <x:f>IF(L19&lt;K19,'Вводные'!$B$11,0)</x:f>
        <x:v>1000</x:v>
      </x:c>
      <x:c r="N19" s="64" t="n">
        <x:f>L19+M19-K19</x:f>
        <x:v>125</x:v>
      </x:c>
    </x:row>
    <x:row r="20">
      <x:c r="A20" s="54" t="n">
        <x:v>46874</x:v>
      </x:c>
      <x:c r="B20" s="56" t="n">
        <x:f>'План продаж'!C20</x:f>
        <x:v>0.9666666666666667</x:v>
      </x:c>
      <x:c r="C20" s="64" t="n">
        <x:f>'План продаж'!D20</x:f>
        <x:v>678</x:v>
      </x:c>
      <x:c r="D20" s="64" t="n">
        <x:f>F19</x:f>
        <x:v>901</x:v>
      </x:c>
      <x:c r="E20" s="64" t="n">
        <x:f>IF(D20&lt;C20,'Вводные'!$B$11,0)</x:f>
        <x:v>0</x:v>
      </x:c>
      <x:c r="F20" s="64" t="n">
        <x:f>D20+E20-C20</x:f>
        <x:v>223</x:v>
      </x:c>
      <x:c r="G20" s="64" t="n">
        <x:f>'План продаж'!E20</x:f>
        <x:v>679</x:v>
      </x:c>
      <x:c r="H20" s="64" t="n">
        <x:f>J19</x:f>
        <x:v>885</x:v>
      </x:c>
      <x:c r="I20" s="64" t="n">
        <x:f>IF(H20&lt;G20,'Вводные'!$B$11,0)</x:f>
        <x:v>0</x:v>
      </x:c>
      <x:c r="J20" s="64" t="n">
        <x:f>H20+I20-G20</x:f>
        <x:v>206</x:v>
      </x:c>
      <x:c r="K20" s="64" t="n">
        <x:f>'План продаж'!F20</x:f>
        <x:v>725</x:v>
      </x:c>
      <x:c r="L20" s="64" t="n">
        <x:f>N19</x:f>
        <x:v>125</x:v>
      </x:c>
      <x:c r="M20" s="64" t="n">
        <x:f>IF(L20&lt;K20,'Вводные'!$B$11,0)</x:f>
        <x:v>1000</x:v>
      </x:c>
      <x:c r="N20" s="64" t="n">
        <x:f>L20+M20-K20</x:f>
        <x:v>400</x:v>
      </x:c>
    </x:row>
    <x:row r="21">
      <x:c r="A21" s="54" t="n">
        <x:v>46905</x:v>
      </x:c>
      <x:c r="B21" s="56" t="n">
        <x:f>'План продаж'!C21</x:f>
        <x:v>0.9333333333333333</x:v>
      </x:c>
      <x:c r="C21" s="64" t="n">
        <x:f>'План продаж'!D21</x:f>
        <x:v>654</x:v>
      </x:c>
      <x:c r="D21" s="64" t="n">
        <x:f>F20</x:f>
        <x:v>223</x:v>
      </x:c>
      <x:c r="E21" s="64" t="n">
        <x:f>IF(D21&lt;C21,'Вводные'!$B$11,0)</x:f>
        <x:v>1000</x:v>
      </x:c>
      <x:c r="F21" s="64" t="n">
        <x:f>D21+E21-C21</x:f>
        <x:v>569</x:v>
      </x:c>
      <x:c r="G21" s="64" t="n">
        <x:f>'План продаж'!E21</x:f>
        <x:v>655</x:v>
      </x:c>
      <x:c r="H21" s="64" t="n">
        <x:f>J20</x:f>
        <x:v>206</x:v>
      </x:c>
      <x:c r="I21" s="64" t="n">
        <x:f>IF(H21&lt;G21,'Вводные'!$B$11,0)</x:f>
        <x:v>1000</x:v>
      </x:c>
      <x:c r="J21" s="64" t="n">
        <x:f>H21+I21-G21</x:f>
        <x:v>551</x:v>
      </x:c>
      <x:c r="K21" s="64" t="n">
        <x:f>'План продаж'!F21</x:f>
        <x:v>700</x:v>
      </x:c>
      <x:c r="L21" s="64" t="n">
        <x:f>N20</x:f>
        <x:v>400</x:v>
      </x:c>
      <x:c r="M21" s="64" t="n">
        <x:f>IF(L21&lt;K21,'Вводные'!$B$11,0)</x:f>
        <x:v>1000</x:v>
      </x:c>
      <x:c r="N21" s="64" t="n">
        <x:f>L21+M21-K21</x:f>
        <x:v>700</x:v>
      </x:c>
    </x:row>
    <x:row r="22">
      <x:c r="A22" s="54" t="n">
        <x:v>46935</x:v>
      </x:c>
      <x:c r="B22" s="56" t="n">
        <x:f>'План продаж'!C22</x:f>
        <x:v>1</x:v>
      </x:c>
      <x:c r="C22" s="64" t="n">
        <x:f>'План продаж'!D22</x:f>
        <x:v>701</x:v>
      </x:c>
      <x:c r="D22" s="64" t="n">
        <x:f>F21</x:f>
        <x:v>569</x:v>
      </x:c>
      <x:c r="E22" s="64" t="n">
        <x:f>IF(D22&lt;C22,'Вводные'!$B$11,0)</x:f>
        <x:v>1000</x:v>
      </x:c>
      <x:c r="F22" s="64" t="n">
        <x:f>D22+E22-C22</x:f>
        <x:v>868</x:v>
      </x:c>
      <x:c r="G22" s="64" t="n">
        <x:f>'План продаж'!E22</x:f>
        <x:v>702</x:v>
      </x:c>
      <x:c r="H22" s="64" t="n">
        <x:f>J21</x:f>
        <x:v>551</x:v>
      </x:c>
      <x:c r="I22" s="64" t="n">
        <x:f>IF(H22&lt;G22,'Вводные'!$B$11,0)</x:f>
        <x:v>1000</x:v>
      </x:c>
      <x:c r="J22" s="64" t="n">
        <x:f>H22+I22-G22</x:f>
        <x:v>849</x:v>
      </x:c>
      <x:c r="K22" s="64" t="n">
        <x:f>'План продаж'!F22</x:f>
        <x:v>750</x:v>
      </x:c>
      <x:c r="L22" s="64" t="n">
        <x:f>N21</x:f>
        <x:v>700</x:v>
      </x:c>
      <x:c r="M22" s="64" t="n">
        <x:f>IF(L22&lt;K22,'Вводные'!$B$11,0)</x:f>
        <x:v>1000</x:v>
      </x:c>
      <x:c r="N22" s="64" t="n">
        <x:f>L22+M22-K22</x:f>
        <x:v>950</x:v>
      </x:c>
    </x:row>
    <x:row r="23">
      <x:c r="A23" s="54" t="n">
        <x:v>46966</x:v>
      </x:c>
      <x:c r="B23" s="56" t="n">
        <x:f>'План продаж'!C23</x:f>
        <x:v>1.2</x:v>
      </x:c>
      <x:c r="C23" s="64" t="n">
        <x:f>'План продаж'!D23</x:f>
        <x:v>841</x:v>
      </x:c>
      <x:c r="D23" s="64" t="n">
        <x:f>F22</x:f>
        <x:v>868</x:v>
      </x:c>
      <x:c r="E23" s="64" t="n">
        <x:f>IF(D23&lt;C23,'Вводные'!$B$11,0)</x:f>
        <x:v>0</x:v>
      </x:c>
      <x:c r="F23" s="64" t="n">
        <x:f>D23+E23-C23</x:f>
        <x:v>27</x:v>
      </x:c>
      <x:c r="G23" s="64" t="n">
        <x:f>'План продаж'!E23</x:f>
        <x:v>842</x:v>
      </x:c>
      <x:c r="H23" s="64" t="n">
        <x:f>J22</x:f>
        <x:v>849</x:v>
      </x:c>
      <x:c r="I23" s="64" t="n">
        <x:f>IF(H23&lt;G23,'Вводные'!$B$11,0)</x:f>
        <x:v>0</x:v>
      </x:c>
      <x:c r="J23" s="64" t="n">
        <x:f>H23+I23-G23</x:f>
        <x:v>7</x:v>
      </x:c>
      <x:c r="K23" s="64" t="n">
        <x:f>'План продаж'!F23</x:f>
        <x:v>900</x:v>
      </x:c>
      <x:c r="L23" s="64" t="n">
        <x:f>N22</x:f>
        <x:v>950</x:v>
      </x:c>
      <x:c r="M23" s="64" t="n">
        <x:f>IF(L23&lt;K23,'Вводные'!$B$11,0)</x:f>
        <x:v>0</x:v>
      </x:c>
      <x:c r="N23" s="64" t="n">
        <x:f>L23+M23-K23</x:f>
        <x:v>50</x:v>
      </x:c>
    </x:row>
    <x:row r="24">
      <x:c r="A24" s="54" t="n">
        <x:v>46997</x:v>
      </x:c>
      <x:c r="B24" s="56" t="n">
        <x:f>'План продаж'!C24</x:f>
        <x:v>1.1666666666666667</x:v>
      </x:c>
      <x:c r="C24" s="64" t="n">
        <x:f>'План продаж'!D24</x:f>
        <x:v>818</x:v>
      </x:c>
      <x:c r="D24" s="64" t="n">
        <x:f>F23</x:f>
        <x:v>27</x:v>
      </x:c>
      <x:c r="E24" s="64" t="n">
        <x:f>IF(D24&lt;C24,'Вводные'!$B$11,0)</x:f>
        <x:v>1000</x:v>
      </x:c>
      <x:c r="F24" s="64" t="n">
        <x:f>D24+E24-C24</x:f>
        <x:v>209</x:v>
      </x:c>
      <x:c r="G24" s="64" t="n">
        <x:f>'План продаж'!E24</x:f>
        <x:v>819</x:v>
      </x:c>
      <x:c r="H24" s="64" t="n">
        <x:f>J23</x:f>
        <x:v>7</x:v>
      </x:c>
      <x:c r="I24" s="64" t="n">
        <x:f>IF(H24&lt;G24,'Вводные'!$B$11,0)</x:f>
        <x:v>1000</x:v>
      </x:c>
      <x:c r="J24" s="64" t="n">
        <x:f>H24+I24-G24</x:f>
        <x:v>188</x:v>
      </x:c>
      <x:c r="K24" s="64" t="n">
        <x:f>'План продаж'!F24</x:f>
        <x:v>875</x:v>
      </x:c>
      <x:c r="L24" s="64" t="n">
        <x:f>N23</x:f>
        <x:v>50</x:v>
      </x:c>
      <x:c r="M24" s="64" t="n">
        <x:f>IF(L24&lt;K24,'Вводные'!$B$11,0)</x:f>
        <x:v>1000</x:v>
      </x:c>
      <x:c r="N24" s="64" t="n">
        <x:f>L24+M24-K24</x:f>
        <x:v>175</x:v>
      </x:c>
    </x:row>
    <x:row r="25">
      <x:c r="A25" s="54" t="n">
        <x:v>47027</x:v>
      </x:c>
      <x:c r="B25" s="56" t="n">
        <x:f>'План продаж'!C25</x:f>
        <x:v>1</x:v>
      </x:c>
      <x:c r="C25" s="64" t="n">
        <x:f>'План продаж'!D25</x:f>
        <x:v>701</x:v>
      </x:c>
      <x:c r="D25" s="64" t="n">
        <x:f>F24</x:f>
        <x:v>209</x:v>
      </x:c>
      <x:c r="E25" s="64" t="n">
        <x:f>IF(D25&lt;C25,'Вводные'!$B$11,0)</x:f>
        <x:v>1000</x:v>
      </x:c>
      <x:c r="F25" s="64" t="n">
        <x:f>D25+E25-C25</x:f>
        <x:v>508</x:v>
      </x:c>
      <x:c r="G25" s="64" t="n">
        <x:f>'План продаж'!E25</x:f>
        <x:v>702</x:v>
      </x:c>
      <x:c r="H25" s="64" t="n">
        <x:f>J24</x:f>
        <x:v>188</x:v>
      </x:c>
      <x:c r="I25" s="64" t="n">
        <x:f>IF(H25&lt;G25,'Вводные'!$B$11,0)</x:f>
        <x:v>1000</x:v>
      </x:c>
      <x:c r="J25" s="64" t="n">
        <x:f>H25+I25-G25</x:f>
        <x:v>486</x:v>
      </x:c>
      <x:c r="K25" s="64" t="n">
        <x:f>'План продаж'!F25</x:f>
        <x:v>750</x:v>
      </x:c>
      <x:c r="L25" s="64" t="n">
        <x:f>N24</x:f>
        <x:v>175</x:v>
      </x:c>
      <x:c r="M25" s="64" t="n">
        <x:f>IF(L25&lt;K25,'Вводные'!$B$11,0)</x:f>
        <x:v>1000</x:v>
      </x:c>
      <x:c r="N25" s="64" t="n">
        <x:f>L25+M25-K25</x:f>
        <x:v>425</x:v>
      </x:c>
    </x:row>
    <x:row r="26">
      <x:c r="A26" s="54" t="n">
        <x:v>47058</x:v>
      </x:c>
      <x:c r="B26" s="56" t="n">
        <x:f>'План продаж'!C26</x:f>
        <x:v>0.9666666666666667</x:v>
      </x:c>
      <x:c r="C26" s="64" t="n">
        <x:f>'План продаж'!D26</x:f>
        <x:v>678</x:v>
      </x:c>
      <x:c r="D26" s="64" t="n">
        <x:f>F25</x:f>
        <x:v>508</x:v>
      </x:c>
      <x:c r="E26" s="64" t="n">
        <x:f>IF(D26&lt;C26,'Вводные'!$B$11,0)</x:f>
        <x:v>1000</x:v>
      </x:c>
      <x:c r="F26" s="64" t="n">
        <x:f>D26+E26-C26</x:f>
        <x:v>830</x:v>
      </x:c>
      <x:c r="G26" s="64" t="n">
        <x:f>'План продаж'!E26</x:f>
        <x:v>679</x:v>
      </x:c>
      <x:c r="H26" s="64" t="n">
        <x:f>J25</x:f>
        <x:v>486</x:v>
      </x:c>
      <x:c r="I26" s="64" t="n">
        <x:f>IF(H26&lt;G26,'Вводные'!$B$11,0)</x:f>
        <x:v>1000</x:v>
      </x:c>
      <x:c r="J26" s="64" t="n">
        <x:f>H26+I26-G26</x:f>
        <x:v>807</x:v>
      </x:c>
      <x:c r="K26" s="64" t="n">
        <x:f>'План продаж'!F26</x:f>
        <x:v>725</x:v>
      </x:c>
      <x:c r="L26" s="64" t="n">
        <x:f>N25</x:f>
        <x:v>425</x:v>
      </x:c>
      <x:c r="M26" s="64" t="n">
        <x:f>IF(L26&lt;K26,'Вводные'!$B$11,0)</x:f>
        <x:v>1000</x:v>
      </x:c>
      <x:c r="N26" s="64" t="n">
        <x:f>L26+M26-K26</x:f>
        <x:v>700</x:v>
      </x:c>
    </x:row>
    <x:row r="27">
      <x:c r="A27" s="54" t="n">
        <x:v>47088</x:v>
      </x:c>
      <x:c r="B27" s="56" t="n">
        <x:f>'План продаж'!C27</x:f>
        <x:v>0.9333333333333333</x:v>
      </x:c>
      <x:c r="C27" s="64" t="n">
        <x:f>'План продаж'!D27</x:f>
        <x:v>654</x:v>
      </x:c>
      <x:c r="D27" s="64" t="n">
        <x:f>F26</x:f>
        <x:v>830</x:v>
      </x:c>
      <x:c r="E27" s="64" t="n">
        <x:f>IF(D27&lt;C27,'Вводные'!$B$11,0)</x:f>
        <x:v>0</x:v>
      </x:c>
      <x:c r="F27" s="64" t="n">
        <x:f>D27+E27-C27</x:f>
        <x:v>176</x:v>
      </x:c>
      <x:c r="G27" s="64" t="n">
        <x:f>'План продаж'!E27</x:f>
        <x:v>655</x:v>
      </x:c>
      <x:c r="H27" s="64" t="n">
        <x:f>J26</x:f>
        <x:v>807</x:v>
      </x:c>
      <x:c r="I27" s="64" t="n">
        <x:f>IF(H27&lt;G27,'Вводные'!$B$11,0)</x:f>
        <x:v>0</x:v>
      </x:c>
      <x:c r="J27" s="64" t="n">
        <x:f>H27+I27-G27</x:f>
        <x:v>152</x:v>
      </x:c>
      <x:c r="K27" s="64" t="n">
        <x:f>'План продаж'!F27</x:f>
        <x:v>700</x:v>
      </x:c>
      <x:c r="L27" s="64" t="n">
        <x:f>N26</x:f>
        <x:v>700</x:v>
      </x:c>
      <x:c r="M27" s="64" t="n">
        <x:f>IF(L27&lt;K27,'Вводные'!$B$11,0)</x:f>
        <x:v>0</x:v>
      </x:c>
      <x:c r="N27" s="64" t="n">
        <x:f>L27+M27-K27</x:f>
        <x:v>0</x:v>
      </x:c>
    </x:row>
    <x:row r="28">
      <x:c r="A28" s="54" t="n">
        <x:v>47119</x:v>
      </x:c>
      <x:c r="B28" s="56" t="n">
        <x:f>'План продаж'!C28</x:f>
        <x:v>0.7333333333333333</x:v>
      </x:c>
      <x:c r="C28" s="64" t="n">
        <x:f>'План продаж'!D28</x:f>
        <x:v>514</x:v>
      </x:c>
      <x:c r="D28" s="64" t="n">
        <x:f>F27</x:f>
        <x:v>176</x:v>
      </x:c>
      <x:c r="E28" s="64" t="n">
        <x:f>IF(D28&lt;C28,'Вводные'!$B$11,0)</x:f>
        <x:v>1000</x:v>
      </x:c>
      <x:c r="F28" s="64" t="n">
        <x:f>D28+E28-C28</x:f>
        <x:v>662</x:v>
      </x:c>
      <x:c r="G28" s="64" t="n">
        <x:f>'План продаж'!E28</x:f>
        <x:v>515</x:v>
      </x:c>
      <x:c r="H28" s="64" t="n">
        <x:f>J27</x:f>
        <x:v>152</x:v>
      </x:c>
      <x:c r="I28" s="64" t="n">
        <x:f>IF(H28&lt;G28,'Вводные'!$B$11,0)</x:f>
        <x:v>1000</x:v>
      </x:c>
      <x:c r="J28" s="64" t="n">
        <x:f>H28+I28-G28</x:f>
        <x:v>637</x:v>
      </x:c>
      <x:c r="K28" s="64" t="n">
        <x:f>'План продаж'!F28</x:f>
        <x:v>550</x:v>
      </x:c>
      <x:c r="L28" s="64" t="n">
        <x:f>N27</x:f>
        <x:v>0</x:v>
      </x:c>
      <x:c r="M28" s="64" t="n">
        <x:f>IF(L28&lt;K28,'Вводные'!$B$11,0)</x:f>
        <x:v>1000</x:v>
      </x:c>
      <x:c r="N28" s="64" t="n">
        <x:f>L28+M28-K28</x:f>
        <x:v>450</x:v>
      </x:c>
    </x:row>
    <x:row r="29">
      <x:c r="A29" s="54" t="n">
        <x:v>47150</x:v>
      </x:c>
      <x:c r="B29" s="56" t="n">
        <x:f>'План продаж'!C29</x:f>
        <x:v>0.8</x:v>
      </x:c>
      <x:c r="C29" s="64" t="n">
        <x:f>'План продаж'!D29</x:f>
        <x:v>561</x:v>
      </x:c>
      <x:c r="D29" s="64" t="n">
        <x:f>F28</x:f>
        <x:v>662</x:v>
      </x:c>
      <x:c r="E29" s="64" t="n">
        <x:f>IF(D29&lt;C29,'Вводные'!$B$11,0)</x:f>
        <x:v>0</x:v>
      </x:c>
      <x:c r="F29" s="64" t="n">
        <x:f>D29+E29-C29</x:f>
        <x:v>101</x:v>
      </x:c>
      <x:c r="G29" s="64" t="n">
        <x:f>'План продаж'!E29</x:f>
        <x:v>562</x:v>
      </x:c>
      <x:c r="H29" s="64" t="n">
        <x:f>J28</x:f>
        <x:v>637</x:v>
      </x:c>
      <x:c r="I29" s="64" t="n">
        <x:f>IF(H29&lt;G29,'Вводные'!$B$11,0)</x:f>
        <x:v>0</x:v>
      </x:c>
      <x:c r="J29" s="64" t="n">
        <x:f>H29+I29-G29</x:f>
        <x:v>75</x:v>
      </x:c>
      <x:c r="K29" s="64" t="n">
        <x:f>'План продаж'!F29</x:f>
        <x:v>600</x:v>
      </x:c>
      <x:c r="L29" s="64" t="n">
        <x:f>N28</x:f>
        <x:v>450</x:v>
      </x:c>
      <x:c r="M29" s="64" t="n">
        <x:f>IF(L29&lt;K29,'Вводные'!$B$11,0)</x:f>
        <x:v>1000</x:v>
      </x:c>
      <x:c r="N29" s="64" t="n">
        <x:f>L29+M29-K29</x:f>
        <x:v>850</x:v>
      </x:c>
    </x:row>
    <x:row r="30">
      <x:c r="A30" s="54" t="n">
        <x:v>47178</x:v>
      </x:c>
      <x:c r="B30" s="56" t="n">
        <x:f>'План продаж'!C30</x:f>
        <x:v>1.1</x:v>
      </x:c>
      <x:c r="C30" s="64" t="n">
        <x:f>'План продаж'!D30</x:f>
        <x:v>771</x:v>
      </x:c>
      <x:c r="D30" s="64" t="n">
        <x:f>F29</x:f>
        <x:v>101</x:v>
      </x:c>
      <x:c r="E30" s="64" t="n">
        <x:f>IF(D30&lt;C30,'Вводные'!$B$11,0)</x:f>
        <x:v>1000</x:v>
      </x:c>
      <x:c r="F30" s="64" t="n">
        <x:f>D30+E30-C30</x:f>
        <x:v>330</x:v>
      </x:c>
      <x:c r="G30" s="64" t="n">
        <x:f>'План продаж'!E30</x:f>
        <x:v>772</x:v>
      </x:c>
      <x:c r="H30" s="64" t="n">
        <x:f>J29</x:f>
        <x:v>75</x:v>
      </x:c>
      <x:c r="I30" s="64" t="n">
        <x:f>IF(H30&lt;G30,'Вводные'!$B$11,0)</x:f>
        <x:v>1000</x:v>
      </x:c>
      <x:c r="J30" s="64" t="n">
        <x:f>H30+I30-G30</x:f>
        <x:v>303</x:v>
      </x:c>
      <x:c r="K30" s="64" t="n">
        <x:f>'План продаж'!F30</x:f>
        <x:v>825</x:v>
      </x:c>
      <x:c r="L30" s="64" t="n">
        <x:f>N29</x:f>
        <x:v>850</x:v>
      </x:c>
      <x:c r="M30" s="64" t="n">
        <x:f>IF(L30&lt;K30,'Вводные'!$B$11,0)</x:f>
        <x:v>0</x:v>
      </x:c>
      <x:c r="N30" s="64" t="n">
        <x:f>L30+M30-K30</x:f>
        <x:v>25</x:v>
      </x:c>
    </x:row>
    <x:row r="31">
      <x:c r="A31" s="54" t="n">
        <x:v>47209</x:v>
      </x:c>
      <x:c r="B31" s="56" t="n">
        <x:f>'План продаж'!C31</x:f>
        <x:v>1.2</x:v>
      </x:c>
      <x:c r="C31" s="64" t="n">
        <x:f>'План продаж'!D31</x:f>
        <x:v>841</x:v>
      </x:c>
      <x:c r="D31" s="64" t="n">
        <x:f>F30</x:f>
        <x:v>330</x:v>
      </x:c>
      <x:c r="E31" s="64" t="n">
        <x:f>IF(D31&lt;C31,'Вводные'!$B$11,0)</x:f>
        <x:v>1000</x:v>
      </x:c>
      <x:c r="F31" s="64" t="n">
        <x:f>D31+E31-C31</x:f>
        <x:v>489</x:v>
      </x:c>
      <x:c r="G31" s="64" t="n">
        <x:f>'План продаж'!E31</x:f>
        <x:v>842</x:v>
      </x:c>
      <x:c r="H31" s="64" t="n">
        <x:f>J30</x:f>
        <x:v>303</x:v>
      </x:c>
      <x:c r="I31" s="64" t="n">
        <x:f>IF(H31&lt;G31,'Вводные'!$B$11,0)</x:f>
        <x:v>1000</x:v>
      </x:c>
      <x:c r="J31" s="64" t="n">
        <x:f>H31+I31-G31</x:f>
        <x:v>461</x:v>
      </x:c>
      <x:c r="K31" s="64" t="n">
        <x:f>'План продаж'!F31</x:f>
        <x:v>900</x:v>
      </x:c>
      <x:c r="L31" s="64" t="n">
        <x:f>N30</x:f>
        <x:v>25</x:v>
      </x:c>
      <x:c r="M31" s="64" t="n">
        <x:f>IF(L31&lt;K31,'Вводные'!$B$11,0)</x:f>
        <x:v>1000</x:v>
      </x:c>
      <x:c r="N31" s="64" t="n">
        <x:f>L31+M31-K31</x:f>
        <x:v>125</x:v>
      </x:c>
    </x:row>
    <x:row r="32">
      <x:c r="A32" s="54" t="n">
        <x:v>47239</x:v>
      </x:c>
      <x:c r="B32" s="56" t="n">
        <x:f>'План продаж'!C32</x:f>
        <x:v>0.9666666666666667</x:v>
      </x:c>
      <x:c r="C32" s="64" t="n">
        <x:f>'План продаж'!D32</x:f>
        <x:v>678</x:v>
      </x:c>
      <x:c r="D32" s="64" t="n">
        <x:f>F31</x:f>
        <x:v>489</x:v>
      </x:c>
      <x:c r="E32" s="64" t="n">
        <x:f>IF(D32&lt;C32,'Вводные'!$B$11,0)</x:f>
        <x:v>1000</x:v>
      </x:c>
      <x:c r="F32" s="64" t="n">
        <x:f>D32+E32-C32</x:f>
        <x:v>811</x:v>
      </x:c>
      <x:c r="G32" s="64" t="n">
        <x:f>'План продаж'!E32</x:f>
        <x:v>679</x:v>
      </x:c>
      <x:c r="H32" s="64" t="n">
        <x:f>J31</x:f>
        <x:v>461</x:v>
      </x:c>
      <x:c r="I32" s="64" t="n">
        <x:f>IF(H32&lt;G32,'Вводные'!$B$11,0)</x:f>
        <x:v>1000</x:v>
      </x:c>
      <x:c r="J32" s="64" t="n">
        <x:f>H32+I32-G32</x:f>
        <x:v>782</x:v>
      </x:c>
      <x:c r="K32" s="64" t="n">
        <x:f>'План продаж'!F32</x:f>
        <x:v>725</x:v>
      </x:c>
      <x:c r="L32" s="64" t="n">
        <x:f>N31</x:f>
        <x:v>125</x:v>
      </x:c>
      <x:c r="M32" s="64" t="n">
        <x:f>IF(L32&lt;K32,'Вводные'!$B$11,0)</x:f>
        <x:v>1000</x:v>
      </x:c>
      <x:c r="N32" s="64" t="n">
        <x:f>L32+M32-K32</x:f>
        <x:v>400</x:v>
      </x:c>
    </x:row>
    <x:row r="33">
      <x:c r="A33" s="54" t="n">
        <x:v>47270</x:v>
      </x:c>
      <x:c r="B33" s="56" t="n">
        <x:f>'План продаж'!C33</x:f>
        <x:v>0.9333333333333333</x:v>
      </x:c>
      <x:c r="C33" s="64" t="n">
        <x:f>'План продаж'!D33</x:f>
        <x:v>654</x:v>
      </x:c>
      <x:c r="D33" s="64" t="n">
        <x:f>F32</x:f>
        <x:v>811</x:v>
      </x:c>
      <x:c r="E33" s="64" t="n">
        <x:f>IF(D33&lt;C33,'Вводные'!$B$11,0)</x:f>
        <x:v>0</x:v>
      </x:c>
      <x:c r="F33" s="64" t="n">
        <x:f>D33+E33-C33</x:f>
        <x:v>157</x:v>
      </x:c>
      <x:c r="G33" s="64" t="n">
        <x:f>'План продаж'!E33</x:f>
        <x:v>655</x:v>
      </x:c>
      <x:c r="H33" s="64" t="n">
        <x:f>J32</x:f>
        <x:v>782</x:v>
      </x:c>
      <x:c r="I33" s="64" t="n">
        <x:f>IF(H33&lt;G33,'Вводные'!$B$11,0)</x:f>
        <x:v>0</x:v>
      </x:c>
      <x:c r="J33" s="64" t="n">
        <x:f>H33+I33-G33</x:f>
        <x:v>127</x:v>
      </x:c>
      <x:c r="K33" s="64" t="n">
        <x:f>'План продаж'!F33</x:f>
        <x:v>700</x:v>
      </x:c>
      <x:c r="L33" s="64" t="n">
        <x:f>N32</x:f>
        <x:v>400</x:v>
      </x:c>
      <x:c r="M33" s="64" t="n">
        <x:f>IF(L33&lt;K33,'Вводные'!$B$11,0)</x:f>
        <x:v>1000</x:v>
      </x:c>
      <x:c r="N33" s="64" t="n">
        <x:f>L33+M33-K33</x:f>
        <x:v>700</x:v>
      </x:c>
    </x:row>
    <x:row r="34">
      <x:c r="A34" s="54" t="n">
        <x:v>47300</x:v>
      </x:c>
      <x:c r="B34" s="56" t="n">
        <x:f>'План продаж'!C34</x:f>
        <x:v>1</x:v>
      </x:c>
      <x:c r="C34" s="64" t="n">
        <x:f>'План продаж'!D34</x:f>
        <x:v>701</x:v>
      </x:c>
      <x:c r="D34" s="64" t="n">
        <x:f>F33</x:f>
        <x:v>157</x:v>
      </x:c>
      <x:c r="E34" s="64" t="n">
        <x:f>IF(D34&lt;C34,'Вводные'!$B$11,0)</x:f>
        <x:v>1000</x:v>
      </x:c>
      <x:c r="F34" s="64" t="n">
        <x:f>D34+E34-C34</x:f>
        <x:v>456</x:v>
      </x:c>
      <x:c r="G34" s="64" t="n">
        <x:f>'План продаж'!E34</x:f>
        <x:v>702</x:v>
      </x:c>
      <x:c r="H34" s="64" t="n">
        <x:f>J33</x:f>
        <x:v>127</x:v>
      </x:c>
      <x:c r="I34" s="64" t="n">
        <x:f>IF(H34&lt;G34,'Вводные'!$B$11,0)</x:f>
        <x:v>1000</x:v>
      </x:c>
      <x:c r="J34" s="64" t="n">
        <x:f>H34+I34-G34</x:f>
        <x:v>425</x:v>
      </x:c>
      <x:c r="K34" s="64" t="n">
        <x:f>'План продаж'!F34</x:f>
        <x:v>750</x:v>
      </x:c>
      <x:c r="L34" s="64" t="n">
        <x:f>N33</x:f>
        <x:v>700</x:v>
      </x:c>
      <x:c r="M34" s="64" t="n">
        <x:f>IF(L34&lt;K34,'Вводные'!$B$11,0)</x:f>
        <x:v>1000</x:v>
      </x:c>
      <x:c r="N34" s="64" t="n">
        <x:f>L34+M34-K34</x:f>
        <x:v>950</x:v>
      </x:c>
    </x:row>
    <x:row r="35">
      <x:c r="A35" s="54" t="n">
        <x:v>47331</x:v>
      </x:c>
      <x:c r="B35" s="56" t="n">
        <x:f>'План продаж'!C35</x:f>
        <x:v>1.2</x:v>
      </x:c>
      <x:c r="C35" s="64" t="n">
        <x:f>'План продаж'!D35</x:f>
        <x:v>841</x:v>
      </x:c>
      <x:c r="D35" s="64" t="n">
        <x:f>F34</x:f>
        <x:v>456</x:v>
      </x:c>
      <x:c r="E35" s="64" t="n">
        <x:f>IF(D35&lt;C35,'Вводные'!$B$11,0)</x:f>
        <x:v>1000</x:v>
      </x:c>
      <x:c r="F35" s="64" t="n">
        <x:f>D35+E35-C35</x:f>
        <x:v>615</x:v>
      </x:c>
      <x:c r="G35" s="64" t="n">
        <x:f>'План продаж'!E35</x:f>
        <x:v>842</x:v>
      </x:c>
      <x:c r="H35" s="64" t="n">
        <x:f>J34</x:f>
        <x:v>425</x:v>
      </x:c>
      <x:c r="I35" s="64" t="n">
        <x:f>IF(H35&lt;G35,'Вводные'!$B$11,0)</x:f>
        <x:v>1000</x:v>
      </x:c>
      <x:c r="J35" s="64" t="n">
        <x:f>H35+I35-G35</x:f>
        <x:v>583</x:v>
      </x:c>
      <x:c r="K35" s="64" t="n">
        <x:f>'План продаж'!F35</x:f>
        <x:v>900</x:v>
      </x:c>
      <x:c r="L35" s="64" t="n">
        <x:f>N34</x:f>
        <x:v>950</x:v>
      </x:c>
      <x:c r="M35" s="64" t="n">
        <x:f>IF(L35&lt;K35,'Вводные'!$B$11,0)</x:f>
        <x:v>0</x:v>
      </x:c>
      <x:c r="N35" s="64" t="n">
        <x:f>L35+M35-K35</x:f>
        <x:v>50</x:v>
      </x:c>
    </x:row>
    <x:row r="36">
      <x:c r="A36" s="54" t="n">
        <x:v>47362</x:v>
      </x:c>
      <x:c r="B36" s="56" t="n">
        <x:f>'План продаж'!C36</x:f>
        <x:v>1.1666666666666667</x:v>
      </x:c>
      <x:c r="C36" s="64" t="n">
        <x:f>'План продаж'!D36</x:f>
        <x:v>818</x:v>
      </x:c>
      <x:c r="D36" s="64" t="n">
        <x:f>F35</x:f>
        <x:v>615</x:v>
      </x:c>
      <x:c r="E36" s="64" t="n">
        <x:f>IF(D36&lt;C36,'Вводные'!$B$11,0)</x:f>
        <x:v>1000</x:v>
      </x:c>
      <x:c r="F36" s="64" t="n">
        <x:f>D36+E36-C36</x:f>
        <x:v>797</x:v>
      </x:c>
      <x:c r="G36" s="64" t="n">
        <x:f>'План продаж'!E36</x:f>
        <x:v>819</x:v>
      </x:c>
      <x:c r="H36" s="64" t="n">
        <x:f>J35</x:f>
        <x:v>583</x:v>
      </x:c>
      <x:c r="I36" s="64" t="n">
        <x:f>IF(H36&lt;G36,'Вводные'!$B$11,0)</x:f>
        <x:v>1000</x:v>
      </x:c>
      <x:c r="J36" s="64" t="n">
        <x:f>H36+I36-G36</x:f>
        <x:v>764</x:v>
      </x:c>
      <x:c r="K36" s="64" t="n">
        <x:f>'План продаж'!F36</x:f>
        <x:v>875</x:v>
      </x:c>
      <x:c r="L36" s="64" t="n">
        <x:f>N35</x:f>
        <x:v>50</x:v>
      </x:c>
      <x:c r="M36" s="64" t="n">
        <x:f>IF(L36&lt;K36,'Вводные'!$B$11,0)</x:f>
        <x:v>1000</x:v>
      </x:c>
      <x:c r="N36" s="64" t="n">
        <x:f>L36+M36-K36</x:f>
        <x:v>175</x:v>
      </x:c>
    </x:row>
    <x:row r="37">
      <x:c r="A37" s="54" t="n">
        <x:v>47392</x:v>
      </x:c>
      <x:c r="B37" s="56" t="n">
        <x:f>'План продаж'!C37</x:f>
        <x:v>1</x:v>
      </x:c>
      <x:c r="C37" s="64" t="n">
        <x:f>'План продаж'!D37</x:f>
        <x:v>701</x:v>
      </x:c>
      <x:c r="D37" s="64" t="n">
        <x:f>F36</x:f>
        <x:v>797</x:v>
      </x:c>
      <x:c r="E37" s="64" t="n">
        <x:f>IF(D37&lt;C37,'Вводные'!$B$11,0)</x:f>
        <x:v>0</x:v>
      </x:c>
      <x:c r="F37" s="64" t="n">
        <x:f>D37+E37-C37</x:f>
        <x:v>96</x:v>
      </x:c>
      <x:c r="G37" s="64" t="n">
        <x:f>'План продаж'!E37</x:f>
        <x:v>702</x:v>
      </x:c>
      <x:c r="H37" s="64" t="n">
        <x:f>J36</x:f>
        <x:v>764</x:v>
      </x:c>
      <x:c r="I37" s="64" t="n">
        <x:f>IF(H37&lt;G37,'Вводные'!$B$11,0)</x:f>
        <x:v>0</x:v>
      </x:c>
      <x:c r="J37" s="64" t="n">
        <x:f>H37+I37-G37</x:f>
        <x:v>62</x:v>
      </x:c>
      <x:c r="K37" s="64" t="n">
        <x:f>'План продаж'!F37</x:f>
        <x:v>750</x:v>
      </x:c>
      <x:c r="L37" s="64" t="n">
        <x:f>N36</x:f>
        <x:v>175</x:v>
      </x:c>
      <x:c r="M37" s="64" t="n">
        <x:f>IF(L37&lt;K37,'Вводные'!$B$11,0)</x:f>
        <x:v>1000</x:v>
      </x:c>
      <x:c r="N37" s="64" t="n">
        <x:f>L37+M37-K37</x:f>
        <x:v>425</x:v>
      </x:c>
    </x:row>
    <x:row r="38">
      <x:c r="A38" s="54" t="n">
        <x:v>47423</x:v>
      </x:c>
      <x:c r="B38" s="56" t="n">
        <x:f>'План продаж'!C38</x:f>
        <x:v>0.9666666666666667</x:v>
      </x:c>
      <x:c r="C38" s="64" t="n">
        <x:f>'План продаж'!D38</x:f>
        <x:v>678</x:v>
      </x:c>
      <x:c r="D38" s="64" t="n">
        <x:f>F37</x:f>
        <x:v>96</x:v>
      </x:c>
      <x:c r="E38" s="64" t="n">
        <x:f>IF(D38&lt;C38,'Вводные'!$B$11,0)</x:f>
        <x:v>1000</x:v>
      </x:c>
      <x:c r="F38" s="64" t="n">
        <x:f>D38+E38-C38</x:f>
        <x:v>418</x:v>
      </x:c>
      <x:c r="G38" s="64" t="n">
        <x:f>'План продаж'!E38</x:f>
        <x:v>679</x:v>
      </x:c>
      <x:c r="H38" s="64" t="n">
        <x:f>J37</x:f>
        <x:v>62</x:v>
      </x:c>
      <x:c r="I38" s="64" t="n">
        <x:f>IF(H38&lt;G38,'Вводные'!$B$11,0)</x:f>
        <x:v>1000</x:v>
      </x:c>
      <x:c r="J38" s="64" t="n">
        <x:f>H38+I38-G38</x:f>
        <x:v>383</x:v>
      </x:c>
      <x:c r="K38" s="64" t="n">
        <x:f>'План продаж'!F38</x:f>
        <x:v>725</x:v>
      </x:c>
      <x:c r="L38" s="64" t="n">
        <x:f>N37</x:f>
        <x:v>425</x:v>
      </x:c>
      <x:c r="M38" s="64" t="n">
        <x:f>IF(L38&lt;K38,'Вводные'!$B$11,0)</x:f>
        <x:v>1000</x:v>
      </x:c>
      <x:c r="N38" s="64" t="n">
        <x:f>L38+M38-K38</x:f>
        <x:v>700</x:v>
      </x:c>
    </x:row>
    <x:row r="39">
      <x:c r="A39" s="54" t="n">
        <x:v>47453</x:v>
      </x:c>
      <x:c r="B39" s="56" t="n">
        <x:f>'План продаж'!C39</x:f>
        <x:v>0.9333333333333333</x:v>
      </x:c>
      <x:c r="C39" s="64" t="n">
        <x:f>'План продаж'!D39</x:f>
        <x:v>654</x:v>
      </x:c>
      <x:c r="D39" s="64" t="n">
        <x:f>F38</x:f>
        <x:v>418</x:v>
      </x:c>
      <x:c r="E39" s="64" t="n">
        <x:f>IF(D39&lt;C39,'Вводные'!$B$11,0)</x:f>
        <x:v>1000</x:v>
      </x:c>
      <x:c r="F39" s="64" t="n">
        <x:f>D39+E39-C39</x:f>
        <x:v>764</x:v>
      </x:c>
      <x:c r="G39" s="64" t="n">
        <x:f>'План продаж'!E39</x:f>
        <x:v>655</x:v>
      </x:c>
      <x:c r="H39" s="64" t="n">
        <x:f>J38</x:f>
        <x:v>383</x:v>
      </x:c>
      <x:c r="I39" s="64" t="n">
        <x:f>IF(H39&lt;G39,'Вводные'!$B$11,0)</x:f>
        <x:v>1000</x:v>
      </x:c>
      <x:c r="J39" s="64" t="n">
        <x:f>H39+I39-G39</x:f>
        <x:v>728</x:v>
      </x:c>
      <x:c r="K39" s="64" t="n">
        <x:f>'План продаж'!F39</x:f>
        <x:v>700</x:v>
      </x:c>
      <x:c r="L39" s="64" t="n">
        <x:f>N38</x:f>
        <x:v>700</x:v>
      </x:c>
      <x:c r="M39" s="64" t="n">
        <x:f>IF(L39&lt;K39,'Вводные'!$B$11,0)</x:f>
        <x:v>0</x:v>
      </x:c>
      <x:c r="N39" s="64" t="n">
        <x:f>L39+M39-K39</x:f>
        <x:v>0</x:v>
      </x:c>
    </x:row>
    <x:row r="40">
      <x:c r="A40" s="50" t="str">
        <x:v>ИТОГО / КОНЕЦ</x:v>
      </x:c>
      <x:c r="B40" s="50"/>
      <x:c r="C40" s="51" t="n">
        <x:f>SUM(C4:C39)</x:f>
        <x:v>25236</x:v>
      </x:c>
      <x:c r="D40" s="51"/>
      <x:c r="E40" s="51" t="n">
        <x:f>SUM(E4:E39)</x:f>
        <x:v>23000</x:v>
      </x:c>
      <x:c r="F40" s="51" t="n">
        <x:f>F39</x:f>
        <x:v>764</x:v>
      </x:c>
      <x:c r="G40" s="51" t="n">
        <x:f>SUM(G4:G39)</x:f>
        <x:v>25272</x:v>
      </x:c>
      <x:c r="H40" s="51"/>
      <x:c r="I40" s="51" t="n">
        <x:f>SUM(I4:I39)</x:f>
        <x:v>23000</x:v>
      </x:c>
      <x:c r="J40" s="51" t="n">
        <x:f>J39</x:f>
        <x:v>728</x:v>
      </x:c>
      <x:c r="K40" s="51" t="n">
        <x:f>SUM(K4:K39)</x:f>
        <x:v>27000</x:v>
      </x:c>
      <x:c r="L40" s="51"/>
      <x:c r="M40" s="51" t="n">
        <x:f>SUM(M4:M39)</x:f>
        <x:v>24000</x:v>
      </x:c>
      <x:c r="N40" s="51" t="n">
        <x:f>N39</x:f>
        <x:v>0</x:v>
      </x:c>
    </x:row>
  </x:sheetData>
  <x:mergeCells>
    <x:mergeCell ref="A1:N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6" customHeight="1">
      <x:c r="A1" s="4" t="str">
        <x:v>ОТЧЕТ О ПРИБЫЛЯХ И УБЫТКАХ — ПОРОГ ФИНАНСИРОВАНИЯ</x:v>
      </x:c>
      <x:c r="B1" s="4"/>
      <x:c r="C1" s="4"/>
      <x:c r="D1" s="4"/>
      <x:c r="E1" s="4"/>
    </x:row>
    <x:row r="3">
      <x:c r="A3" s="10" t="str">
        <x:v>701 ПАР/МЕС. — НИЖЕ ПОРОГА</x:v>
      </x:c>
      <x:c r="B3" s="10" t="str">
        <x:v>2027</x:v>
      </x:c>
      <x:c r="C3" s="10" t="str">
        <x:v>2028</x:v>
      </x:c>
      <x:c r="D3" s="10" t="str">
        <x:v>2029</x:v>
      </x:c>
      <x:c r="E3" s="10" t="str">
        <x:v>За 36 мес.</x:v>
      </x:c>
    </x:row>
    <x:row r="4">
      <x:c r="A4" t="str">
        <x:v>Продажи, пар</x:v>
      </x:c>
      <x:c r="B4" s="64" t="n">
        <x:f>SUM('План продаж'!D4:D15)</x:f>
        <x:v>8412</x:v>
      </x:c>
      <x:c r="C4" s="64" t="n">
        <x:f>SUM('План продаж'!D16:D27)</x:f>
        <x:v>8412</x:v>
      </x:c>
      <x:c r="D4" s="64" t="n">
        <x:f>SUM('План продаж'!D28:D39)</x:f>
        <x:v>8412</x:v>
      </x:c>
      <x:c r="E4" s="64" t="n">
        <x:f>SUM(B4:D4)</x:f>
        <x:v>25236</x:v>
      </x:c>
    </x:row>
    <x:row r="5">
      <x:c r="A5" t="str">
        <x:v>Выручка с НДС, руб.</x:v>
      </x:c>
      <x:c r="B5" s="64" t="n">
        <x:f>B4*'Вводные'!$B$21</x:f>
        <x:v>43742400</x:v>
      </x:c>
      <x:c r="C5" s="64" t="n">
        <x:f>C4*'Вводные'!$B$21</x:f>
        <x:v>43742400</x:v>
      </x:c>
      <x:c r="D5" s="64" t="n">
        <x:f>D4*'Вводные'!$B$21</x:f>
        <x:v>43742400</x:v>
      </x:c>
      <x:c r="E5" s="64" t="n">
        <x:f>SUM(B5:D5)</x:f>
        <x:v>131227200</x:v>
      </x:c>
    </x:row>
    <x:row r="6">
      <x:c r="A6" t="str">
        <x:v>НДС начисленный, руб.</x:v>
      </x:c>
      <x:c r="B6" s="64" t="n">
        <x:f>B5*'Вводные'!$B$32/(1+'Вводные'!$B$32)</x:f>
        <x:v>2082971.4285714284</x:v>
      </x:c>
      <x:c r="C6" s="64" t="n">
        <x:f>C5*'Вводные'!$B$32/(1+'Вводные'!$B$32)</x:f>
        <x:v>2082971.4285714284</x:v>
      </x:c>
      <x:c r="D6" s="64" t="n">
        <x:f>D5*'Вводные'!$B$32/(1+'Вводные'!$B$32)</x:f>
        <x:v>2082971.4285714284</x:v>
      </x:c>
      <x:c r="E6" s="64" t="n">
        <x:f>SUM(B6:D6)</x:f>
        <x:v>6248914.285714285</x:v>
      </x:c>
    </x:row>
    <x:row r="7">
      <x:c r="A7" t="str">
        <x:v>Выручка без НДС, руб.</x:v>
      </x:c>
      <x:c r="B7" s="64" t="n">
        <x:f>B5-B6</x:f>
        <x:v>41659428.571428575</x:v>
      </x:c>
      <x:c r="C7" s="64" t="n">
        <x:f>C5-C6</x:f>
        <x:v>41659428.571428575</x:v>
      </x:c>
      <x:c r="D7" s="64" t="n">
        <x:f>D5-D6</x:f>
        <x:v>41659428.571428575</x:v>
      </x:c>
      <x:c r="E7" s="64" t="n">
        <x:f>SUM(B7:D7)</x:f>
        <x:v>124978285.71428573</x:v>
      </x:c>
    </x:row>
    <x:row r="8">
      <x:c r="A8" t="str">
        <x:v>Себестоимость реализованного товара, руб.</x:v>
      </x:c>
      <x:c r="B8" s="64" t="n">
        <x:f>B4*('Вводные'!$B$25)</x:f>
        <x:v>17747671.35197232</x:v>
      </x:c>
      <x:c r="C8" s="64" t="n">
        <x:f>C4*('Вводные'!$B$25*(1+'Вводные'!$B$26))</x:f>
        <x:v>18635054.919570934</x:v>
      </x:c>
      <x:c r="D8" s="64" t="n">
        <x:f>D4*('Вводные'!$B$25*(1+'Вводные'!$B$26)^2)</x:f>
        <x:v>19566807.66554948</x:v>
      </x:c>
      <x:c r="E8" s="64" t="n">
        <x:f>SUM(B8:D8)</x:f>
        <x:v>55949533.93709273</x:v>
      </x:c>
    </x:row>
    <x:row r="9">
      <x:c r="A9" t="str">
        <x:v>Переменные расходы продаж, руб.</x:v>
      </x:c>
      <x:c r="B9" s="64" t="n">
        <x:f>B4*('Вводные'!$B$27)</x:f>
        <x:v>4550892</x:v>
      </x:c>
      <x:c r="C9" s="64" t="n">
        <x:f>C4*('Вводные'!$B$27*(1+'Вводные'!$B$28))</x:f>
        <x:v>4778436.600000001</x:v>
      </x:c>
      <x:c r="D9" s="64" t="n">
        <x:f>D4*('Вводные'!$B$27*(1+'Вводные'!$B$28)^2)</x:f>
        <x:v>5017358.43</x:v>
      </x:c>
      <x:c r="E9" s="64" t="n">
        <x:f>SUM(B9:D9)</x:f>
        <x:v>14346687.030000001</x:v>
      </x:c>
    </x:row>
    <x:row r="10">
      <x:c r="A10" t="str">
        <x:v>Постоянные расходы, руб.</x:v>
      </x:c>
      <x:c r="B10" s="64" t="n">
        <x:f>'Операционные расходы'!$B$10*12</x:f>
        <x:v>11400000</x:v>
      </x:c>
      <x:c r="C10" s="64" t="n">
        <x:f>'Операционные расходы'!$C$10*12</x:f>
        <x:v>12198000</x:v>
      </x:c>
      <x:c r="D10" s="64" t="n">
        <x:f>'Операционные расходы'!$D$10*12</x:f>
        <x:v>13051860</x:v>
      </x:c>
      <x:c r="E10" s="64" t="n">
        <x:f>SUM(B10:D10)</x:f>
        <x:v>36649860</x:v>
      </x:c>
    </x:row>
    <x:row r="11">
      <x:c r="A11" t="str">
        <x:v>Операционная прибыль, руб.</x:v>
      </x:c>
      <x:c r="B11" s="64" t="n">
        <x:f>B7-B8-B9-B10</x:f>
        <x:v>7960865.219456255</x:v>
      </x:c>
      <x:c r="C11" s="64" t="n">
        <x:f>C7-C8-C9-C10</x:f>
        <x:v>6047937.051857639</x:v>
      </x:c>
      <x:c r="D11" s="64" t="n">
        <x:f>D7-D8-D9-D10</x:f>
        <x:v>4023402.4758790955</x:v>
      </x:c>
      <x:c r="E11" s="64" t="n">
        <x:f>SUM(B11:D11)</x:f>
        <x:v>18032204.74719299</x:v>
      </x:c>
    </x:row>
    <x:row r="12">
      <x:c r="A12" t="str">
        <x:v>Проценты по займу, руб.</x:v>
      </x:c>
      <x:c r="B12" s="64" t="n">
        <x:f>SUM('Долг'!E5:E16)</x:f>
        <x:v>2335416.6666666674</x:v>
      </x:c>
      <x:c r="C12" s="64" t="n">
        <x:f>SUM('Долг'!E17:E28)</x:f>
        <x:v>1385416.6666666681</x:v>
      </x:c>
      <x:c r="D12" s="64" t="n">
        <x:f>SUM('Долг'!E29:E39)</x:f>
        <x:v>435416.6666666678</x:v>
      </x:c>
      <x:c r="E12" s="64" t="n">
        <x:f>SUM('Долг'!E4:E39)</x:f>
        <x:v>4393750.000000004</x:v>
      </x:c>
    </x:row>
    <x:row r="13">
      <x:c r="A13" t="str">
        <x:v>УСН 6%, руб.</x:v>
      </x:c>
      <x:c r="B13" s="64" t="n">
        <x:f>B7*'Вводные'!$B$31</x:f>
        <x:v>2499565.7142857146</x:v>
      </x:c>
      <x:c r="C13" s="64" t="n">
        <x:f>C7*'Вводные'!$B$31</x:f>
        <x:v>2499565.7142857146</x:v>
      </x:c>
      <x:c r="D13" s="64" t="n">
        <x:f>D7*'Вводные'!$B$31</x:f>
        <x:v>2499565.7142857146</x:v>
      </x:c>
      <x:c r="E13" s="64" t="n">
        <x:f>SUM(B13:D13)</x:f>
        <x:v>7498697.142857144</x:v>
      </x:c>
    </x:row>
    <x:row r="14">
      <x:c r="A14" t="str">
        <x:v>Чистая прибыль, руб.</x:v>
      </x:c>
      <x:c r="B14" s="64" t="n">
        <x:f>B11-B12-B13</x:f>
        <x:v>3125882.838503873</x:v>
      </x:c>
      <x:c r="C14" s="64" t="n">
        <x:f>C11-C12-C13</x:f>
        <x:v>2162954.6709052566</x:v>
      </x:c>
      <x:c r="D14" s="64" t="n">
        <x:f>D11-D12-D13</x:f>
        <x:v>1088420.094926713</x:v>
      </x:c>
      <x:c r="E14" s="64" t="n">
        <x:f>E11-E12-E13</x:f>
        <x:v>6139757.604335843</x:v>
      </x:c>
    </x:row>
    <x:row r="15">
      <x:c r="A15" t="str">
        <x:v>Предстартовые расходы, руб.</x:v>
      </x:c>
      <x:c r="B15" s="64" t="n">
        <x:v>0</x:v>
      </x:c>
      <x:c r="C15" s="64" t="n">
        <x:v>0</x:v>
      </x:c>
      <x:c r="D15" s="64" t="n">
        <x:v>0</x:v>
      </x:c>
      <x:c r="E15" s="64" t="n">
        <x:f>'Вводные'!B9</x:f>
        <x:v>900000</x:v>
      </x:c>
    </x:row>
    <x:row r="16">
      <x:c r="A16" s="72" t="str">
        <x:v>Результат проекта, руб.</x:v>
      </x:c>
      <x:c r="B16" s="73" t="n">
        <x:f>B14-B15</x:f>
        <x:v>3125882.838503873</x:v>
      </x:c>
      <x:c r="C16" s="73" t="n">
        <x:f>C14-C15</x:f>
        <x:v>2162954.6709052566</x:v>
      </x:c>
      <x:c r="D16" s="73" t="n">
        <x:f>D14-D15</x:f>
        <x:v>1088420.094926713</x:v>
      </x:c>
      <x:c r="E16" s="73" t="n">
        <x:f>E14-E15</x:f>
        <x:v>5239757.604335843</x:v>
      </x:c>
    </x:row>
    <x:row r="17">
      <x:c r="A17" t="str">
        <x:v>Операционная маржа</x:v>
      </x:c>
      <x:c r="B17" s="65" t="n">
        <x:f>IF(B7=0,0,B11/B7)</x:f>
        <x:v>0.19109396101789267</x:v>
      </x:c>
      <x:c r="C17" s="65" t="n">
        <x:f>IF(C7=0,0,C11/C7)</x:f>
        <x:v>0.14517570833906052</x:v>
      </x:c>
      <x:c r="D17" s="65" t="n">
        <x:f>IF(D7=0,0,D11/D7)</x:f>
        <x:v>0.09657843647520598</x:v>
      </x:c>
      <x:c r="E17" s="65" t="n">
        <x:f>IF(E7=0,0,E11/E7)</x:f>
        <x:v>0.14428270194405304</x:v>
      </x:c>
    </x:row>
    <x:row r="20">
      <x:c r="A20" s="10" t="str">
        <x:v>702 ПАР/МЕС. — МАТЕМАТИЧЕСКИЙ МИНИМУМ</x:v>
      </x:c>
      <x:c r="B20" s="10" t="str">
        <x:v>2027</x:v>
      </x:c>
      <x:c r="C20" s="10" t="str">
        <x:v>2028</x:v>
      </x:c>
      <x:c r="D20" s="10" t="str">
        <x:v>2029</x:v>
      </x:c>
      <x:c r="E20" s="10" t="str">
        <x:v>За 36 мес.</x:v>
      </x:c>
    </x:row>
    <x:row r="21">
      <x:c r="A21" t="str">
        <x:v>Продажи, пар</x:v>
      </x:c>
      <x:c r="B21" s="64" t="n">
        <x:f>SUM('План продаж'!E4:E15)</x:f>
        <x:v>8424</x:v>
      </x:c>
      <x:c r="C21" s="64" t="n">
        <x:f>SUM('План продаж'!E16:E27)</x:f>
        <x:v>8424</x:v>
      </x:c>
      <x:c r="D21" s="64" t="n">
        <x:f>SUM('План продаж'!E28:E39)</x:f>
        <x:v>8424</x:v>
      </x:c>
      <x:c r="E21" s="64" t="n">
        <x:f>SUM(B21:D21)</x:f>
        <x:v>25272</x:v>
      </x:c>
    </x:row>
    <x:row r="22">
      <x:c r="A22" t="str">
        <x:v>Выручка с НДС, руб.</x:v>
      </x:c>
      <x:c r="B22" s="64" t="n">
        <x:f>B21*'Вводные'!$B$21</x:f>
        <x:v>43804800</x:v>
      </x:c>
      <x:c r="C22" s="64" t="n">
        <x:f>C21*'Вводные'!$B$21</x:f>
        <x:v>43804800</x:v>
      </x:c>
      <x:c r="D22" s="64" t="n">
        <x:f>D21*'Вводные'!$B$21</x:f>
        <x:v>43804800</x:v>
      </x:c>
      <x:c r="E22" s="64" t="n">
        <x:f>SUM(B22:D22)</x:f>
        <x:v>131414400</x:v>
      </x:c>
    </x:row>
    <x:row r="23">
      <x:c r="A23" t="str">
        <x:v>НДС начисленный, руб.</x:v>
      </x:c>
      <x:c r="B23" s="64" t="n">
        <x:f>B22*'Вводные'!$B$32/(1+'Вводные'!$B$32)</x:f>
        <x:v>2085942.857142857</x:v>
      </x:c>
      <x:c r="C23" s="64" t="n">
        <x:f>C22*'Вводные'!$B$32/(1+'Вводные'!$B$32)</x:f>
        <x:v>2085942.857142857</x:v>
      </x:c>
      <x:c r="D23" s="64" t="n">
        <x:f>D22*'Вводные'!$B$32/(1+'Вводные'!$B$32)</x:f>
        <x:v>2085942.857142857</x:v>
      </x:c>
      <x:c r="E23" s="64" t="n">
        <x:f>SUM(B23:D23)</x:f>
        <x:v>6257828.571428571</x:v>
      </x:c>
    </x:row>
    <x:row r="24">
      <x:c r="A24" t="str">
        <x:v>Выручка без НДС, руб.</x:v>
      </x:c>
      <x:c r="B24" s="64" t="n">
        <x:f>B22-B23</x:f>
        <x:v>41718857.14285714</x:v>
      </x:c>
      <x:c r="C24" s="64" t="n">
        <x:f>C22-C23</x:f>
        <x:v>41718857.14285714</x:v>
      </x:c>
      <x:c r="D24" s="64" t="n">
        <x:f>D22-D23</x:f>
        <x:v>41718857.14285714</x:v>
      </x:c>
      <x:c r="E24" s="64" t="n">
        <x:f>SUM(B24:D24)</x:f>
        <x:v>125156571.42857143</x:v>
      </x:c>
    </x:row>
    <x:row r="25">
      <x:c r="A25" t="str">
        <x:v>Себестоимость реализованного товара, руб.</x:v>
      </x:c>
      <x:c r="B25" s="64" t="n">
        <x:f>B21*('Вводные'!$B$25)</x:f>
        <x:v>17772989.00012064</x:v>
      </x:c>
      <x:c r="C25" s="64" t="n">
        <x:f>C21*('Вводные'!$B$25*(1+'Вводные'!$B$26))</x:f>
        <x:v>18661638.45012667</x:v>
      </x:c>
      <x:c r="D25" s="64" t="n">
        <x:f>D21*('Вводные'!$B$25*(1+'Вводные'!$B$26)^2)</x:f>
        <x:v>19594720.372633003</x:v>
      </x:c>
      <x:c r="E25" s="64" t="n">
        <x:f>SUM(B25:D25)</x:f>
        <x:v>56029347.82288031</x:v>
      </x:c>
    </x:row>
    <x:row r="26">
      <x:c r="A26" t="str">
        <x:v>Переменные расходы продаж, руб.</x:v>
      </x:c>
      <x:c r="B26" s="64" t="n">
        <x:f>B21*('Вводные'!$B$27)</x:f>
        <x:v>4557384</x:v>
      </x:c>
      <x:c r="C26" s="64" t="n">
        <x:f>C21*('Вводные'!$B$27*(1+'Вводные'!$B$28))</x:f>
        <x:v>4785253.2</x:v>
      </x:c>
      <x:c r="D26" s="64" t="n">
        <x:f>D21*('Вводные'!$B$27*(1+'Вводные'!$B$28)^2)</x:f>
        <x:v>5024515.86</x:v>
      </x:c>
      <x:c r="E26" s="64" t="n">
        <x:f>SUM(B26:D26)</x:f>
        <x:v>14367153.059999999</x:v>
      </x:c>
    </x:row>
    <x:row r="27">
      <x:c r="A27" t="str">
        <x:v>Постоянные расходы, руб.</x:v>
      </x:c>
      <x:c r="B27" s="64" t="n">
        <x:f>'Операционные расходы'!$B$10*12</x:f>
        <x:v>11400000</x:v>
      </x:c>
      <x:c r="C27" s="64" t="n">
        <x:f>'Операционные расходы'!$C$10*12</x:f>
        <x:v>12198000</x:v>
      </x:c>
      <x:c r="D27" s="64" t="n">
        <x:f>'Операционные расходы'!$D$10*12</x:f>
        <x:v>13051860</x:v>
      </x:c>
      <x:c r="E27" s="64" t="n">
        <x:f>SUM(B27:D27)</x:f>
        <x:v>36649860</x:v>
      </x:c>
    </x:row>
    <x:row r="28">
      <x:c r="A28" t="str">
        <x:v>Операционная прибыль, руб.</x:v>
      </x:c>
      <x:c r="B28" s="64" t="n">
        <x:f>B24-B25-B26-B27</x:f>
        <x:v>7988484.142736502</x:v>
      </x:c>
      <x:c r="C28" s="64" t="n">
        <x:f>C24-C25-C26-C27</x:f>
        <x:v>6073965.492730472</x:v>
      </x:c>
      <x:c r="D28" s="64" t="n">
        <x:f>D24-D25-D26-D27</x:f>
        <x:v>4047760.9102241397</x:v>
      </x:c>
      <x:c r="E28" s="64" t="n">
        <x:f>SUM(B28:D28)</x:f>
        <x:v>18110210.545691114</x:v>
      </x:c>
    </x:row>
    <x:row r="29">
      <x:c r="A29" t="str">
        <x:v>Проценты по займу, руб.</x:v>
      </x:c>
      <x:c r="B29" s="64" t="n">
        <x:f>SUM('Долг'!E5:E16)</x:f>
        <x:v>2335416.6666666674</x:v>
      </x:c>
      <x:c r="C29" s="64" t="n">
        <x:f>SUM('Долг'!E17:E28)</x:f>
        <x:v>1385416.6666666681</x:v>
      </x:c>
      <x:c r="D29" s="64" t="n">
        <x:f>SUM('Долг'!E29:E39)</x:f>
        <x:v>435416.6666666678</x:v>
      </x:c>
      <x:c r="E29" s="64" t="n">
        <x:f>SUM('Долг'!E4:E39)</x:f>
        <x:v>4393750.000000004</x:v>
      </x:c>
    </x:row>
    <x:row r="30">
      <x:c r="A30" t="str">
        <x:v>УСН 6%, руб.</x:v>
      </x:c>
      <x:c r="B30" s="64" t="n">
        <x:f>B24*'Вводные'!$B$31</x:f>
        <x:v>2503131.4285714286</x:v>
      </x:c>
      <x:c r="C30" s="64" t="n">
        <x:f>C24*'Вводные'!$B$31</x:f>
        <x:v>2503131.4285714286</x:v>
      </x:c>
      <x:c r="D30" s="64" t="n">
        <x:f>D24*'Вводные'!$B$31</x:f>
        <x:v>2503131.4285714286</x:v>
      </x:c>
      <x:c r="E30" s="64" t="n">
        <x:f>SUM(B30:D30)</x:f>
        <x:v>7509394.285714285</x:v>
      </x:c>
    </x:row>
    <x:row r="31">
      <x:c r="A31" t="str">
        <x:v>Чистая прибыль, руб.</x:v>
      </x:c>
      <x:c r="B31" s="64" t="n">
        <x:f>B28-B29-B30</x:f>
        <x:v>3149936.0474984054</x:v>
      </x:c>
      <x:c r="C31" s="64" t="n">
        <x:f>C28-C29-C30</x:f>
        <x:v>2185417.3974923757</x:v>
      </x:c>
      <x:c r="D31" s="64" t="n">
        <x:f>D28-D29-D30</x:f>
        <x:v>1109212.8149860431</x:v>
      </x:c>
      <x:c r="E31" s="64" t="n">
        <x:f>E28-E29-E30</x:f>
        <x:v>6207066.259976825</x:v>
      </x:c>
    </x:row>
    <x:row r="32">
      <x:c r="A32" t="str">
        <x:v>Предстартовые расходы, руб.</x:v>
      </x:c>
      <x:c r="B32" s="64" t="n">
        <x:v>0</x:v>
      </x:c>
      <x:c r="C32" s="64" t="n">
        <x:v>0</x:v>
      </x:c>
      <x:c r="D32" s="64" t="n">
        <x:v>0</x:v>
      </x:c>
      <x:c r="E32" s="64" t="n">
        <x:f>'Вводные'!B9</x:f>
        <x:v>900000</x:v>
      </x:c>
    </x:row>
    <x:row r="33">
      <x:c r="A33" s="72" t="str">
        <x:v>Результат проекта, руб.</x:v>
      </x:c>
      <x:c r="B33" s="73" t="n">
        <x:f>B31-B32</x:f>
        <x:v>3149936.0474984054</x:v>
      </x:c>
      <x:c r="C33" s="73" t="n">
        <x:f>C31-C32</x:f>
        <x:v>2185417.3974923757</x:v>
      </x:c>
      <x:c r="D33" s="73" t="n">
        <x:f>D31-D32</x:f>
        <x:v>1109212.8149860431</x:v>
      </x:c>
      <x:c r="E33" s="73" t="n">
        <x:f>E31-E32</x:f>
        <x:v>5307066.259976825</x:v>
      </x:c>
    </x:row>
    <x:row r="34">
      <x:c r="A34" t="str">
        <x:v>Операционная маржа</x:v>
      </x:c>
      <x:c r="B34" s="65" t="n">
        <x:f>IF(B24=0,0,B28/B24)</x:f>
        <x:v>0.19148377232342864</x:v>
      </x:c>
      <x:c r="C34" s="65" t="n">
        <x:f>IF(C24=0,0,C28/C24)</x:f>
        <x:v>0.1455928064359841</x:v>
      </x:c>
      <x:c r="D34" s="65" t="n">
        <x:f>IF(D24=0,0,D28/D24)</x:f>
        <x:v>0.09702473143891416</x:v>
      </x:c>
      <x:c r="E34" s="65" t="n">
        <x:f>IF(E24=0,0,E28/E24)</x:f>
        <x:v>0.14470043673277563</x:v>
      </x:c>
    </x:row>
    <x:row r="37">
      <x:c r="A37" s="10" t="str">
        <x:v>750 ПАР/МЕС. — С РЕЗЕРВОМ</x:v>
      </x:c>
      <x:c r="B37" s="10" t="str">
        <x:v>2027</x:v>
      </x:c>
      <x:c r="C37" s="10" t="str">
        <x:v>2028</x:v>
      </x:c>
      <x:c r="D37" s="10" t="str">
        <x:v>2029</x:v>
      </x:c>
      <x:c r="E37" s="10" t="str">
        <x:v>За 36 мес.</x:v>
      </x:c>
    </x:row>
    <x:row r="38">
      <x:c r="A38" t="str">
        <x:v>Продажи, пар</x:v>
      </x:c>
      <x:c r="B38" s="64" t="n">
        <x:f>SUM('План продаж'!F4:F15)</x:f>
        <x:v>9000</x:v>
      </x:c>
      <x:c r="C38" s="64" t="n">
        <x:f>SUM('План продаж'!F16:F27)</x:f>
        <x:v>9000</x:v>
      </x:c>
      <x:c r="D38" s="64" t="n">
        <x:f>SUM('План продаж'!F28:F39)</x:f>
        <x:v>9000</x:v>
      </x:c>
      <x:c r="E38" s="64" t="n">
        <x:f>SUM(B38:D38)</x:f>
        <x:v>27000</x:v>
      </x:c>
    </x:row>
    <x:row r="39">
      <x:c r="A39" t="str">
        <x:v>Выручка с НДС, руб.</x:v>
      </x:c>
      <x:c r="B39" s="64" t="n">
        <x:f>B38*'Вводные'!$B$21</x:f>
        <x:v>46800000</x:v>
      </x:c>
      <x:c r="C39" s="64" t="n">
        <x:f>C38*'Вводные'!$B$21</x:f>
        <x:v>46800000</x:v>
      </x:c>
      <x:c r="D39" s="64" t="n">
        <x:f>D38*'Вводные'!$B$21</x:f>
        <x:v>46800000</x:v>
      </x:c>
      <x:c r="E39" s="64" t="n">
        <x:f>SUM(B39:D39)</x:f>
        <x:v>140400000</x:v>
      </x:c>
    </x:row>
    <x:row r="40">
      <x:c r="A40" t="str">
        <x:v>НДС начисленный, руб.</x:v>
      </x:c>
      <x:c r="B40" s="64" t="n">
        <x:f>B39*'Вводные'!$B$32/(1+'Вводные'!$B$32)</x:f>
        <x:v>2228571.4285714286</x:v>
      </x:c>
      <x:c r="C40" s="64" t="n">
        <x:f>C39*'Вводные'!$B$32/(1+'Вводные'!$B$32)</x:f>
        <x:v>2228571.4285714286</x:v>
      </x:c>
      <x:c r="D40" s="64" t="n">
        <x:f>D39*'Вводные'!$B$32/(1+'Вводные'!$B$32)</x:f>
        <x:v>2228571.4285714286</x:v>
      </x:c>
      <x:c r="E40" s="64" t="n">
        <x:f>SUM(B40:D40)</x:f>
        <x:v>6685714.285714285</x:v>
      </x:c>
    </x:row>
    <x:row r="41">
      <x:c r="A41" t="str">
        <x:v>Выручка без НДС, руб.</x:v>
      </x:c>
      <x:c r="B41" s="64" t="n">
        <x:f>B39-B40</x:f>
        <x:v>44571428.571428575</x:v>
      </x:c>
      <x:c r="C41" s="64" t="n">
        <x:f>C39-C40</x:f>
        <x:v>44571428.571428575</x:v>
      </x:c>
      <x:c r="D41" s="64" t="n">
        <x:f>D39-D40</x:f>
        <x:v>44571428.571428575</x:v>
      </x:c>
      <x:c r="E41" s="64" t="n">
        <x:f>SUM(B41:D41)</x:f>
        <x:v>133714285.71428573</x:v>
      </x:c>
    </x:row>
    <x:row r="42">
      <x:c r="A42" t="str">
        <x:v>Себестоимость реализованного товара, руб.</x:v>
      </x:c>
      <x:c r="B42" s="64" t="n">
        <x:f>B38*('Вводные'!$B$25)</x:f>
        <x:v>18988236.11124</x:v>
      </x:c>
      <x:c r="C42" s="64" t="n">
        <x:f>C38*('Вводные'!$B$25*(1+'Вводные'!$B$26))</x:f>
        <x:v>19937647.916802</x:v>
      </x:c>
      <x:c r="D42" s="64" t="n">
        <x:f>D38*('Вводные'!$B$25*(1+'Вводные'!$B$26)^2)</x:f>
        <x:v>20934530.312642097</x:v>
      </x:c>
      <x:c r="E42" s="64" t="n">
        <x:f>SUM(B42:D42)</x:f>
        <x:v>59860414.3406841</x:v>
      </x:c>
    </x:row>
    <x:row r="43">
      <x:c r="A43" t="str">
        <x:v>Переменные расходы продаж, руб.</x:v>
      </x:c>
      <x:c r="B43" s="64" t="n">
        <x:f>B38*('Вводные'!$B$27)</x:f>
        <x:v>4869000</x:v>
      </x:c>
      <x:c r="C43" s="64" t="n">
        <x:f>C38*('Вводные'!$B$27*(1+'Вводные'!$B$28))</x:f>
        <x:v>5112450.000000001</x:v>
      </x:c>
      <x:c r="D43" s="64" t="n">
        <x:f>D38*('Вводные'!$B$27*(1+'Вводные'!$B$28)^2)</x:f>
        <x:v>5368072.5</x:v>
      </x:c>
      <x:c r="E43" s="64" t="n">
        <x:f>SUM(B43:D43)</x:f>
        <x:v>15349522.5</x:v>
      </x:c>
    </x:row>
    <x:row r="44">
      <x:c r="A44" t="str">
        <x:v>Постоянные расходы, руб.</x:v>
      </x:c>
      <x:c r="B44" s="64" t="n">
        <x:f>'Операционные расходы'!$B$10*12</x:f>
        <x:v>11400000</x:v>
      </x:c>
      <x:c r="C44" s="64" t="n">
        <x:f>'Операционные расходы'!$C$10*12</x:f>
        <x:v>12198000</x:v>
      </x:c>
      <x:c r="D44" s="64" t="n">
        <x:f>'Операционные расходы'!$D$10*12</x:f>
        <x:v>13051860</x:v>
      </x:c>
      <x:c r="E44" s="64" t="n">
        <x:f>SUM(B44:D44)</x:f>
        <x:v>36649860</x:v>
      </x:c>
    </x:row>
    <x:row r="45">
      <x:c r="A45" t="str">
        <x:v>Операционная прибыль, руб.</x:v>
      </x:c>
      <x:c r="B45" s="64" t="n">
        <x:f>B41-B42-B43-B44</x:f>
        <x:v>9314192.460188575</x:v>
      </x:c>
      <x:c r="C45" s="64" t="n">
        <x:f>C41-C42-C43-C44</x:f>
        <x:v>7323330.654626574</x:v>
      </x:c>
      <x:c r="D45" s="64" t="n">
        <x:f>D41-D42-D43-D44</x:f>
        <x:v>5216965.758786477</x:v>
      </x:c>
      <x:c r="E45" s="64" t="n">
        <x:f>SUM(B45:D45)</x:f>
        <x:v>21854488.873601627</x:v>
      </x:c>
    </x:row>
    <x:row r="46">
      <x:c r="A46" t="str">
        <x:v>Проценты по займу, руб.</x:v>
      </x:c>
      <x:c r="B46" s="64" t="n">
        <x:f>SUM('Долг'!E5:E16)</x:f>
        <x:v>2335416.6666666674</x:v>
      </x:c>
      <x:c r="C46" s="64" t="n">
        <x:f>SUM('Долг'!E17:E28)</x:f>
        <x:v>1385416.6666666681</x:v>
      </x:c>
      <x:c r="D46" s="64" t="n">
        <x:f>SUM('Долг'!E29:E39)</x:f>
        <x:v>435416.6666666678</x:v>
      </x:c>
      <x:c r="E46" s="64" t="n">
        <x:f>SUM('Долг'!E4:E39)</x:f>
        <x:v>4393750.000000004</x:v>
      </x:c>
    </x:row>
    <x:row r="47">
      <x:c r="A47" t="str">
        <x:v>УСН 6%, руб.</x:v>
      </x:c>
      <x:c r="B47" s="64" t="n">
        <x:f>B41*'Вводные'!$B$31</x:f>
        <x:v>2674285.7142857146</x:v>
      </x:c>
      <x:c r="C47" s="64" t="n">
        <x:f>C41*'Вводные'!$B$31</x:f>
        <x:v>2674285.7142857146</x:v>
      </x:c>
      <x:c r="D47" s="64" t="n">
        <x:f>D41*'Вводные'!$B$31</x:f>
        <x:v>2674285.7142857146</x:v>
      </x:c>
      <x:c r="E47" s="64" t="n">
        <x:f>SUM(B47:D47)</x:f>
        <x:v>8022857.142857144</x:v>
      </x:c>
    </x:row>
    <x:row r="48">
      <x:c r="A48" t="str">
        <x:v>Чистая прибыль, руб.</x:v>
      </x:c>
      <x:c r="B48" s="64" t="n">
        <x:f>B45-B46-B47</x:f>
        <x:v>4304490.079236193</x:v>
      </x:c>
      <x:c r="C48" s="64" t="n">
        <x:f>C45-C46-C47</x:f>
        <x:v>3263628.273674192</x:v>
      </x:c>
      <x:c r="D48" s="64" t="n">
        <x:f>D45-D46-D47</x:f>
        <x:v>2107263.3778340947</x:v>
      </x:c>
      <x:c r="E48" s="64" t="n">
        <x:f>E45-E46-E47</x:f>
        <x:v>9437881.73074448</x:v>
      </x:c>
    </x:row>
    <x:row r="49">
      <x:c r="A49" t="str">
        <x:v>Предстартовые расходы, руб.</x:v>
      </x:c>
      <x:c r="B49" s="64" t="n">
        <x:v>0</x:v>
      </x:c>
      <x:c r="C49" s="64" t="n">
        <x:v>0</x:v>
      </x:c>
      <x:c r="D49" s="64" t="n">
        <x:v>0</x:v>
      </x:c>
      <x:c r="E49" s="64" t="n">
        <x:f>'Вводные'!B9</x:f>
        <x:v>900000</x:v>
      </x:c>
    </x:row>
    <x:row r="50">
      <x:c r="A50" s="72" t="str">
        <x:v>Результат проекта, руб.</x:v>
      </x:c>
      <x:c r="B50" s="73" t="n">
        <x:f>B48-B49</x:f>
        <x:v>4304490.079236193</x:v>
      </x:c>
      <x:c r="C50" s="73" t="n">
        <x:f>C48-C49</x:f>
        <x:v>3263628.273674192</x:v>
      </x:c>
      <x:c r="D50" s="73" t="n">
        <x:f>D48-D49</x:f>
        <x:v>2107263.3778340947</x:v>
      </x:c>
      <x:c r="E50" s="73" t="n">
        <x:f>E48-E49</x:f>
        <x:v>8537881.73074448</x:v>
      </x:c>
    </x:row>
    <x:row r="51">
      <x:c r="A51" t="str">
        <x:v>Операционная маржа</x:v>
      </x:c>
      <x:c r="B51" s="65" t="n">
        <x:f>IF(B41=0,0,B45/B41)</x:f>
        <x:v>0.20897226673500008</x:v>
      </x:c>
      <x:c r="C51" s="65" t="n">
        <x:f>IF(C41=0,0,C45/C41)</x:f>
        <x:v>0.16430549545636544</x:v>
      </x:c>
      <x:c r="D51" s="65" t="n">
        <x:f>IF(D41=0,0,D45/D41)</x:f>
        <x:v>0.11704730869072223</x:v>
      </x:c>
      <x:c r="E51" s="65" t="n">
        <x:f>IF(E41=0,0,E45/E41)</x:f>
        <x:v>0.16344169029402925</x:v>
      </x:c>
    </x:row>
  </x:sheetData>
  <x:mergeCells>
    <x:mergeCell ref="A1:E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7" hidden="0" customWidth="1"/>
    <x:col min="3" max="3" width="14" hidden="0" customWidth="1"/>
    <x:col min="4" max="4" width="18" hidden="0" customWidth="1"/>
    <x:col min="5" max="5" width="18" hidden="0" customWidth="1"/>
    <x:col min="6" max="6" width="17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6" hidden="0" customWidth="1"/>
    <x:col min="12" max="12" width="20" hidden="0" customWidth="1"/>
    <x:col min="13" max="13" width="17" hidden="0" customWidth="1"/>
    <x:col min="14" max="14" width="18" hidden="0" customWidth="1"/>
    <x:col min="15" max="15" width="18" hidden="0" customWidth="1"/>
    <x:col min="16" max="16" width="17" hidden="0" customWidth="1"/>
    <x:col min="17" max="17" width="16" hidden="0" customWidth="1"/>
  </x:cols>
  <x:sheetData>
    <x:row r="1" ht="26" customHeight="1">
      <x:c r="A1" s="4" t="str">
        <x:v>ДЕНЕЖНЫЙ ПОТОК — БАЗОВЫЙ СЦЕНАРИЙ ПОСТАВКИ: 20+20 ДНЕЙ, ФАБРИКА 30/70, ОПТ ПЛАТИТ СРАЗУ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3">
      <x:c r="A3" s="50" t="str">
        <x:v>701 ПАР/МЕС. — НИЖЕ ПОРОГА</x:v>
      </x:c>
      <x:c r="B3" s="50" t="str">
        <x:v>Деньги на начало</x:v>
      </x:c>
      <x:c r="C3" s="50" t="str">
        <x:v>Заём</x:v>
      </x:c>
      <x:c r="D3" s="50" t="str">
        <x:v>Поступления от продаж</x:v>
      </x:c>
      <x:c r="E3" s="50" t="str">
        <x:v>Предстартовые расходы</x:v>
      </x:c>
      <x:c r="F3" s="50" t="str">
        <x:v>Постоянные расходы</x:v>
      </x:c>
      <x:c r="G3" s="50" t="str">
        <x:v>НДС</x:v>
      </x:c>
      <x:c r="H3" s="50" t="str">
        <x:v>УСН</x:v>
      </x:c>
      <x:c r="I3" s="50" t="str">
        <x:v>Проценты</x:v>
      </x:c>
      <x:c r="J3" s="50" t="str">
        <x:v>Тело займа</x:v>
      </x:c>
      <x:c r="K3" s="50" t="str">
        <x:v>Оплата заказа</x:v>
      </x:c>
      <x:c r="L3" s="50" t="str">
        <x:v>Оплата перед отправкой</x:v>
      </x:c>
      <x:c r="M3" s="50" t="str">
        <x:v>Оплата при приходе</x:v>
      </x:c>
      <x:c r="N3" s="50" t="str">
        <x:v>Переменные расходы</x:v>
      </x:c>
      <x:c r="O3" s="50" t="str">
        <x:v>Мин. внутри месяца</x:v>
      </x:c>
      <x:c r="P3" s="50" t="str">
        <x:v>Деньги на конец</x:v>
      </x:c>
      <x:c r="Q3" s="50" t="str">
        <x:v>Склад на конец, пар</x:v>
      </x:c>
    </x:row>
    <x:row r="4">
      <x:c r="A4" s="10" t="str">
        <x:v>Месяц</x:v>
      </x:c>
      <x:c r="B4" s="10" t="str">
        <x:v>Деньги на начало</x:v>
      </x:c>
      <x:c r="C4" s="10" t="str">
        <x:v>Заём</x:v>
      </x:c>
      <x:c r="D4" s="10" t="str">
        <x:v>Поступления от продаж</x:v>
      </x:c>
      <x:c r="E4" s="10" t="str">
        <x:v>Предстартовые расходы</x:v>
      </x:c>
      <x:c r="F4" s="10" t="str">
        <x:v>Постоянные расходы</x:v>
      </x:c>
      <x:c r="G4" s="10" t="str">
        <x:v>НДС</x:v>
      </x:c>
      <x:c r="H4" s="10" t="str">
        <x:v>УСН</x:v>
      </x:c>
      <x:c r="I4" s="10" t="str">
        <x:v>Проценты</x:v>
      </x:c>
      <x:c r="J4" s="10" t="str">
        <x:v>Тело займа</x:v>
      </x:c>
      <x:c r="K4" s="10" t="str">
        <x:v>Оплата заказа</x:v>
      </x:c>
      <x:c r="L4" s="10" t="str">
        <x:v>Оплата перед отправкой</x:v>
      </x:c>
      <x:c r="M4" s="10" t="str">
        <x:v>Оплата при приходе</x:v>
      </x:c>
      <x:c r="N4" s="10" t="str">
        <x:v>Переменные расходы</x:v>
      </x:c>
      <x:c r="O4" s="10" t="str">
        <x:v>Мин. внутри месяца</x:v>
      </x:c>
      <x:c r="P4" s="10" t="str">
        <x:v>Деньги на конец</x:v>
      </x:c>
      <x:c r="Q4" s="10" t="str">
        <x:v>Склад на конец, пар</x:v>
      </x:c>
    </x:row>
    <x:row r="5">
      <x:c r="A5" s="54" t="n">
        <x:v>46327</x:v>
      </x:c>
      <x:c r="B5" s="38" t="n">
        <x:f>'Вводные'!B8</x:f>
        <x:v>0</x:v>
      </x:c>
      <x:c r="C5" s="38" t="n">
        <x:f>IF(A5=DATE(2026,11,1),'Вводные'!$B$5,0)</x:f>
        <x:v>15000000</x:v>
      </x:c>
      <x:c r="D5" s="38" t="n">
        <x:v>0</x:v>
      </x:c>
      <x:c r="E5" s="38" t="n">
        <x:f>IF(A5=DATE(2026,11,1),'Вводные'!$B$9,0)</x:f>
        <x:v>900000</x:v>
      </x:c>
      <x:c r="F5" s="38" t="n">
        <x:v>0</x:v>
      </x:c>
      <x:c r="G5" s="38" t="n">
        <x:f>0</x:f>
        <x:v>0</x:v>
      </x:c>
      <x:c r="H5" s="38" t="n">
        <x:f>0</x:f>
        <x:v>0</x:v>
      </x:c>
      <x:c r="I5" s="38" t="n">
        <x:v>0</x:v>
      </x:c>
      <x:c r="J5" s="38" t="n">
        <x:v>0</x:v>
      </x:c>
      <x:c r="K5" s="38" t="n">
        <x:f>'Вводные'!$B$10*'Вводные'!$B$22*30%</x:f>
        <x:v>1170000</x:v>
      </x:c>
      <x:c r="L5" s="38" t="n">
        <x:v>0</x:v>
      </x:c>
      <x:c r="M5" s="38" t="n">
        <x:v>0</x:v>
      </x:c>
      <x:c r="N5" s="38" t="n">
        <x:v>0</x:v>
      </x:c>
      <x:c r="O5" s="38" t="n">
        <x:f>B5+C5-SUM(E5:M5)</x:f>
        <x:v>12930000</x:v>
      </x:c>
      <x:c r="P5" s="38" t="n">
        <x:f>O5+D5-N5</x:f>
        <x:v>12930000</x:v>
      </x:c>
      <x:c r="Q5" s="38" t="n">
        <x:v>0</x:v>
      </x:c>
    </x:row>
    <x:row r="6">
      <x:c r="A6" s="54" t="n">
        <x:v>46357</x:v>
      </x:c>
      <x:c r="B6" s="38" t="n">
        <x:f>P5</x:f>
        <x:v>12930000</x:v>
      </x:c>
      <x:c r="C6" s="38" t="n">
        <x:f>IF(A6=DATE(2026,11,1),'Вводные'!$B$5,0)</x:f>
        <x:v>0</x:v>
      </x:c>
      <x:c r="D6" s="38" t="n">
        <x:v>0</x:v>
      </x:c>
      <x:c r="E6" s="38" t="n">
        <x:f>IF(A6=DATE(2026,11,1),'Вводные'!$B$9,0)</x:f>
        <x:v>0</x:v>
      </x:c>
      <x:c r="F6" s="38" t="n">
        <x:v>0</x:v>
      </x:c>
      <x:c r="G6" s="38" t="n">
        <x:f>0</x:f>
        <x:v>0</x:v>
      </x:c>
      <x:c r="H6" s="38" t="n">
        <x:f>0</x:f>
        <x:v>0</x:v>
      </x:c>
      <x:c r="I6" s="38" t="n">
        <x:f>'Долг'!E4</x:f>
        <x:v>237500</x:v>
      </x:c>
      <x:c r="J6" s="38" t="n">
        <x:f>'Долг'!D4</x:f>
        <x:v>416666.6666666667</x:v>
      </x:c>
      <x:c r="K6" s="38" t="n">
        <x:v>0</x:v>
      </x:c>
      <x:c r="L6" s="38" t="n">
        <x:f>'Вводные'!$B$10*('Вводные'!$B$22*70%+'Вводные'!$B$23)</x:f>
        <x:v>3630000</x:v>
      </x:c>
      <x:c r="M6" s="38" t="n">
        <x:v>0</x:v>
      </x:c>
      <x:c r="N6" s="38" t="n">
        <x:v>0</x:v>
      </x:c>
      <x:c r="O6" s="38" t="n">
        <x:f>B6+C6-SUM(E6:M6)</x:f>
        <x:v>8645833.333333332</x:v>
      </x:c>
      <x:c r="P6" s="38" t="n">
        <x:f>O6+D6-N6</x:f>
        <x:v>8645833.333333332</x:v>
      </x:c>
      <x:c r="Q6" s="38" t="n">
        <x:v>0</x:v>
      </x:c>
    </x:row>
    <x:row r="7">
      <x:c r="A7" s="54" t="n">
        <x:v>46388</x:v>
      </x:c>
      <x:c r="B7" s="38" t="n">
        <x:f>P6</x:f>
        <x:v>8645833.333333332</x:v>
      </x:c>
      <x:c r="C7" s="38" t="n">
        <x:f>IF(A7=DATE(2026,11,1),'Вводные'!$B$5,0)</x:f>
        <x:v>0</x:v>
      </x:c>
      <x:c r="D7" s="38" t="n">
        <x:f>'План продаж'!G4</x:f>
        <x:v>2672800</x:v>
      </x:c>
      <x:c r="E7" s="38" t="n">
        <x:f>IF(A7=DATE(2026,11,1),'Вводные'!$B$9,0)</x:f>
        <x:v>0</x:v>
      </x:c>
      <x:c r="F7" s="38" t="n">
        <x:f>'Операционные расходы'!$B$10</x:f>
        <x:v>950000</x:v>
      </x:c>
      <x:c r="G7" s="38" t="n">
        <x:f>0</x:f>
        <x:v>0</x:v>
      </x:c>
      <x:c r="H7" s="38" t="n">
        <x:f>0</x:f>
        <x:v>0</x:v>
      </x:c>
      <x:c r="I7" s="38" t="n">
        <x:f>'Долг'!E5</x:f>
        <x:v>230902.77777777778</x:v>
      </x:c>
      <x:c r="J7" s="38" t="n">
        <x:f>'Долг'!D5</x:f>
        <x:v>416666.6666666667</x:v>
      </x:c>
      <x:c r="K7" s="38" t="n">
        <x:v>0</x:v>
      </x:c>
      <x:c r="L7" s="38" t="n">
        <x:v>0</x:v>
      </x:c>
      <x:c r="M7" s="38" t="n">
        <x:f>'Вводные'!$B$10*'Вводные'!$B$24</x:f>
        <x:v>1529412.03708</x:v>
      </x:c>
      <x:c r="N7" s="38" t="n">
        <x:f>'План продаж'!D4*('Вводные'!$B$27)</x:f>
        <x:v>278074</x:v>
      </x:c>
      <x:c r="O7" s="38" t="n">
        <x:f>B7+C7-SUM(E7:M7)</x:f>
        <x:v>5518851.851808888</x:v>
      </x:c>
      <x:c r="P7" s="38" t="n">
        <x:f>O7+D7-N7</x:f>
        <x:v>7913577.851808888</x:v>
      </x:c>
      <x:c r="Q7" s="38" t="n">
        <x:f>'Склад и закупки'!F4</x:f>
        <x:v>2486</x:v>
      </x:c>
    </x:row>
    <x:row r="8">
      <x:c r="A8" s="54" t="n">
        <x:v>46419</x:v>
      </x:c>
      <x:c r="B8" s="38" t="n">
        <x:f>P7</x:f>
        <x:v>7913577.851808888</x:v>
      </x:c>
      <x:c r="C8" s="38" t="n">
        <x:f>IF(A8=DATE(2026,11,1),'Вводные'!$B$5,0)</x:f>
        <x:v>0</x:v>
      </x:c>
      <x:c r="D8" s="38" t="n">
        <x:f>'План продаж'!G5</x:f>
        <x:v>2917200</x:v>
      </x:c>
      <x:c r="E8" s="38" t="n">
        <x:f>IF(A8=DATE(2026,11,1),'Вводные'!$B$9,0)</x:f>
        <x:v>0</x:v>
      </x:c>
      <x:c r="F8" s="38" t="n">
        <x:f>'Операционные расходы'!$B$10</x:f>
        <x:v>950000</x:v>
      </x:c>
      <x:c r="G8" s="38" t="n">
        <x:f>0</x:f>
        <x:v>0</x:v>
      </x:c>
      <x:c r="H8" s="38" t="n">
        <x:f>0</x:f>
        <x:v>0</x:v>
      </x:c>
      <x:c r="I8" s="38" t="n">
        <x:f>'Долг'!E6</x:f>
        <x:v>224305.5555555556</x:v>
      </x:c>
      <x:c r="J8" s="38" t="n">
        <x:f>'Долг'!D6</x:f>
        <x:v>416666.6666666667</x:v>
      </x:c>
      <x:c r="K8" s="38" t="n">
        <x:f>'Склад и закупки'!E7*('Вводные'!$B$22)*30%</x:f>
        <x:v>0</x:v>
      </x:c>
      <x:c r="L8" s="38" t="n">
        <x:f>'Склад и закупки'!E6*(('Вводные'!$B$22)*70%+('Вводные'!$B$23))</x:f>
        <x:v>0</x:v>
      </x:c>
      <x:c r="M8" s="38" t="n">
        <x:f>'Склад и закупки'!E5*('Вводные'!$B$24)</x:f>
        <x:v>0</x:v>
      </x:c>
      <x:c r="N8" s="38" t="n">
        <x:f>'План продаж'!D5*('Вводные'!$B$27)</x:f>
        <x:v>303501</x:v>
      </x:c>
      <x:c r="O8" s="38" t="n">
        <x:f>B8+C8-SUM(E8:M8)</x:f>
        <x:v>6322605.629586666</x:v>
      </x:c>
      <x:c r="P8" s="38" t="n">
        <x:f>O8+D8-N8</x:f>
        <x:v>8936304.629586667</x:v>
      </x:c>
      <x:c r="Q8" s="38" t="n">
        <x:f>'Склад и закупки'!F5</x:f>
        <x:v>1925</x:v>
      </x:c>
    </x:row>
    <x:row r="9">
      <x:c r="A9" s="54" t="n">
        <x:v>46447</x:v>
      </x:c>
      <x:c r="B9" s="38" t="n">
        <x:f>P8</x:f>
        <x:v>8936304.629586667</x:v>
      </x:c>
      <x:c r="C9" s="38" t="n">
        <x:f>IF(A9=DATE(2026,11,1),'Вводные'!$B$5,0)</x:f>
        <x:v>0</x:v>
      </x:c>
      <x:c r="D9" s="38" t="n">
        <x:f>'План продаж'!G6</x:f>
        <x:v>4009200</x:v>
      </x:c>
      <x:c r="E9" s="38" t="n">
        <x:f>IF(A9=DATE(2026,11,1),'Вводные'!$B$9,0)</x:f>
        <x:v>0</x:v>
      </x:c>
      <x:c r="F9" s="38" t="n">
        <x:f>'Операционные расходы'!$B$10</x:f>
        <x:v>950000</x:v>
      </x:c>
      <x:c r="G9" s="38" t="n">
        <x:f>0</x:f>
        <x:v>0</x:v>
      </x:c>
      <x:c r="H9" s="38" t="n">
        <x:f>0</x:f>
        <x:v>0</x:v>
      </x:c>
      <x:c r="I9" s="38" t="n">
        <x:f>'Долг'!E7</x:f>
        <x:v>217708.33333333337</x:v>
      </x:c>
      <x:c r="J9" s="38" t="n">
        <x:f>'Долг'!D7</x:f>
        <x:v>416666.6666666667</x:v>
      </x:c>
      <x:c r="K9" s="38" t="n">
        <x:f>'Склад и закупки'!E8*('Вводные'!$B$22)*30%</x:f>
        <x:v>390000</x:v>
      </x:c>
      <x:c r="L9" s="38" t="n">
        <x:f>'Склад и закупки'!E7*(('Вводные'!$B$22)*70%+('Вводные'!$B$23))</x:f>
        <x:v>0</x:v>
      </x:c>
      <x:c r="M9" s="38" t="n">
        <x:f>'Склад и закупки'!E6*('Вводные'!$B$24)</x:f>
        <x:v>0</x:v>
      </x:c>
      <x:c r="N9" s="38" t="n">
        <x:f>'План продаж'!D6*('Вводные'!$B$27)</x:f>
        <x:v>417111</x:v>
      </x:c>
      <x:c r="O9" s="38" t="n">
        <x:f>B9+C9-SUM(E9:M9)</x:f>
        <x:v>6961929.629586667</x:v>
      </x:c>
      <x:c r="P9" s="38" t="n">
        <x:f>O9+D9-N9</x:f>
        <x:v>10554018.629586667</x:v>
      </x:c>
      <x:c r="Q9" s="38" t="n">
        <x:f>'Склад и закупки'!F6</x:f>
        <x:v>1154</x:v>
      </x:c>
    </x:row>
    <x:row r="10">
      <x:c r="A10" s="54" t="n">
        <x:v>46478</x:v>
      </x:c>
      <x:c r="B10" s="38" t="n">
        <x:f>P9</x:f>
        <x:v>10554018.629586667</x:v>
      </x:c>
      <x:c r="C10" s="38" t="n">
        <x:f>IF(A10=DATE(2026,11,1),'Вводные'!$B$5,0)</x:f>
        <x:v>0</x:v>
      </x:c>
      <x:c r="D10" s="38" t="n">
        <x:f>'План продаж'!G7</x:f>
        <x:v>4373200</x:v>
      </x:c>
      <x:c r="E10" s="38" t="n">
        <x:f>IF(A10=DATE(2026,11,1),'Вводные'!$B$9,0)</x:f>
        <x:v>0</x:v>
      </x:c>
      <x:c r="F10" s="38" t="n">
        <x:f>'Операционные расходы'!$B$10</x:f>
        <x:v>950000</x:v>
      </x:c>
      <x:c r="G10" s="38" t="n">
        <x:f>('План продаж'!G4+'План продаж'!G5+'План продаж'!G6)*'Вводные'!$B$32/(1+'Вводные'!$B$32)/3</x:f>
        <x:v>152368.25396825396</x:v>
      </x:c>
      <x:c r="H10" s="38" t="n">
        <x:f>(('План продаж'!G4+'План продаж'!G5+'План продаж'!G6)/(1+'Вводные'!$B$32))*'Вводные'!$B$31</x:f>
        <x:v>548525.7142857142</x:v>
      </x:c>
      <x:c r="I10" s="38" t="n">
        <x:f>'Долг'!E8</x:f>
        <x:v>211111.11111111115</x:v>
      </x:c>
      <x:c r="J10" s="38" t="n">
        <x:f>'Долг'!D8</x:f>
        <x:v>416666.6666666667</x:v>
      </x:c>
      <x:c r="K10" s="38" t="n">
        <x:f>'Склад и закупки'!E9*('Вводные'!$B$22)*30%</x:f>
        <x:v>390000</x:v>
      </x:c>
      <x:c r="L10" s="38" t="n">
        <x:f>'Склад и закупки'!E8*(('Вводные'!$B$22)*70%+('Вводные'!$B$23))</x:f>
        <x:v>1210000</x:v>
      </x:c>
      <x:c r="M10" s="38" t="n">
        <x:f>'Склад и закупки'!E7*('Вводные'!$B$24)</x:f>
        <x:v>0</x:v>
      </x:c>
      <x:c r="N10" s="38" t="n">
        <x:f>'План продаж'!D7*('Вводные'!$B$27)</x:f>
        <x:v>454981</x:v>
      </x:c>
      <x:c r="O10" s="38" t="n">
        <x:f>B10+C10-SUM(E10:M10)</x:f>
        <x:v>6675346.883554921</x:v>
      </x:c>
      <x:c r="P10" s="38" t="n">
        <x:f>O10+D10-N10</x:f>
        <x:v>10593565.88355492</x:v>
      </x:c>
      <x:c r="Q10" s="38" t="n">
        <x:f>'Склад и закупки'!F7</x:f>
        <x:v>313</x:v>
      </x:c>
    </x:row>
    <x:row r="11">
      <x:c r="A11" s="54" t="n">
        <x:v>46508</x:v>
      </x:c>
      <x:c r="B11" s="38" t="n">
        <x:f>P10</x:f>
        <x:v>10593565.88355492</x:v>
      </x:c>
      <x:c r="C11" s="38" t="n">
        <x:f>IF(A11=DATE(2026,11,1),'Вводные'!$B$5,0)</x:f>
        <x:v>0</x:v>
      </x:c>
      <x:c r="D11" s="38" t="n">
        <x:f>'План продаж'!G8</x:f>
        <x:v>3525600</x:v>
      </x:c>
      <x:c r="E11" s="38" t="n">
        <x:f>IF(A11=DATE(2026,11,1),'Вводные'!$B$9,0)</x:f>
        <x:v>0</x:v>
      </x:c>
      <x:c r="F11" s="38" t="n">
        <x:f>'Операционные расходы'!$B$10</x:f>
        <x:v>950000</x:v>
      </x:c>
      <x:c r="G11" s="38" t="n">
        <x:f>('План продаж'!G4+'План продаж'!G5+'План продаж'!G6)*'Вводные'!$B$32/(1+'Вводные'!$B$32)/3</x:f>
        <x:v>152368.25396825396</x:v>
      </x:c>
      <x:c r="H11" s="38" t="n">
        <x:f>0</x:f>
        <x:v>0</x:v>
      </x:c>
      <x:c r="I11" s="38" t="n">
        <x:f>'Долг'!E9</x:f>
        <x:v>204513.88888888896</x:v>
      </x:c>
      <x:c r="J11" s="38" t="n">
        <x:f>'Долг'!D9</x:f>
        <x:v>416666.6666666667</x:v>
      </x:c>
      <x:c r="K11" s="38" t="n">
        <x:f>'Склад и закупки'!E10*('Вводные'!$B$22)*30%</x:f>
        <x:v>0</x:v>
      </x:c>
      <x:c r="L11" s="38" t="n">
        <x:f>'Склад и закупки'!E9*(('Вводные'!$B$22)*70%+('Вводные'!$B$23))</x:f>
        <x:v>1210000</x:v>
      </x:c>
      <x:c r="M11" s="38" t="n">
        <x:f>'Склад и закупки'!E8*('Вводные'!$B$24)</x:f>
        <x:v>509804.01236</x:v>
      </x:c>
      <x:c r="N11" s="38" t="n">
        <x:f>'План продаж'!D8*('Вводные'!$B$27)</x:f>
        <x:v>366798</x:v>
      </x:c>
      <x:c r="O11" s="38" t="n">
        <x:f>B11+C11-SUM(E11:M11)</x:f>
        <x:v>7150213.061671111</x:v>
      </x:c>
      <x:c r="P11" s="38" t="n">
        <x:f>O11+D11-N11</x:f>
        <x:v>10309015.061671112</x:v>
      </x:c>
      <x:c r="Q11" s="38" t="n">
        <x:f>'Склад и закупки'!F8</x:f>
        <x:v>635</x:v>
      </x:c>
    </x:row>
    <x:row r="12">
      <x:c r="A12" s="54" t="n">
        <x:v>46539</x:v>
      </x:c>
      <x:c r="B12" s="38" t="n">
        <x:f>P11</x:f>
        <x:v>10309015.061671112</x:v>
      </x:c>
      <x:c r="C12" s="38" t="n">
        <x:f>IF(A12=DATE(2026,11,1),'Вводные'!$B$5,0)</x:f>
        <x:v>0</x:v>
      </x:c>
      <x:c r="D12" s="38" t="n">
        <x:f>'План продаж'!G9</x:f>
        <x:v>3400800</x:v>
      </x:c>
      <x:c r="E12" s="38" t="n">
        <x:f>IF(A12=DATE(2026,11,1),'Вводные'!$B$9,0)</x:f>
        <x:v>0</x:v>
      </x:c>
      <x:c r="F12" s="38" t="n">
        <x:f>'Операционные расходы'!$B$10</x:f>
        <x:v>950000</x:v>
      </x:c>
      <x:c r="G12" s="38" t="n">
        <x:f>('План продаж'!G4+'План продаж'!G5+'План продаж'!G6)*'Вводные'!$B$32/(1+'Вводные'!$B$32)/3</x:f>
        <x:v>152368.25396825396</x:v>
      </x:c>
      <x:c r="H12" s="38" t="n">
        <x:f>0</x:f>
        <x:v>0</x:v>
      </x:c>
      <x:c r="I12" s="38" t="n">
        <x:f>'Долг'!E10</x:f>
        <x:v>197916.66666666674</x:v>
      </x:c>
      <x:c r="J12" s="38" t="n">
        <x:f>'Долг'!D10</x:f>
        <x:v>416666.6666666667</x:v>
      </x:c>
      <x:c r="K12" s="38" t="n">
        <x:f>'Склад и закупки'!E11*('Вводные'!$B$22)*30%</x:f>
        <x:v>390000</x:v>
      </x:c>
      <x:c r="L12" s="38" t="n">
        <x:f>'Склад и закупки'!E10*(('Вводные'!$B$22)*70%+('Вводные'!$B$23))</x:f>
        <x:v>0</x:v>
      </x:c>
      <x:c r="M12" s="38" t="n">
        <x:f>'Склад и закупки'!E9*('Вводные'!$B$24)</x:f>
        <x:v>509804.01236</x:v>
      </x:c>
      <x:c r="N12" s="38" t="n">
        <x:f>'План продаж'!D9*('Вводные'!$B$27)</x:f>
        <x:v>353814</x:v>
      </x:c>
      <x:c r="O12" s="38" t="n">
        <x:f>B12+C12-SUM(E12:M12)</x:f>
        <x:v>7692259.462009524</x:v>
      </x:c>
      <x:c r="P12" s="38" t="n">
        <x:f>O12+D12-N12</x:f>
        <x:v>10739245.462009523</x:v>
      </x:c>
      <x:c r="Q12" s="38" t="n">
        <x:f>'Склад и закупки'!F9</x:f>
        <x:v>981</x:v>
      </x:c>
    </x:row>
    <x:row r="13">
      <x:c r="A13" s="54" t="n">
        <x:v>46569</x:v>
      </x:c>
      <x:c r="B13" s="38" t="n">
        <x:f>P12</x:f>
        <x:v>10739245.462009523</x:v>
      </x:c>
      <x:c r="C13" s="38" t="n">
        <x:f>IF(A13=DATE(2026,11,1),'Вводные'!$B$5,0)</x:f>
        <x:v>0</x:v>
      </x:c>
      <x:c r="D13" s="38" t="n">
        <x:f>'План продаж'!G10</x:f>
        <x:v>3645200</x:v>
      </x:c>
      <x:c r="E13" s="38" t="n">
        <x:f>IF(A13=DATE(2026,11,1),'Вводные'!$B$9,0)</x:f>
        <x:v>0</x:v>
      </x:c>
      <x:c r="F13" s="38" t="n">
        <x:f>'Операционные расходы'!$B$10</x:f>
        <x:v>950000</x:v>
      </x:c>
      <x:c r="G13" s="38" t="n">
        <x:f>('План продаж'!G7+'План продаж'!G8+'План продаж'!G9)*'Вводные'!$B$32/(1+'Вводные'!$B$32)/3</x:f>
        <x:v>179358.73015873015</x:v>
      </x:c>
      <x:c r="H13" s="38" t="n">
        <x:f>(('План продаж'!G7+'План продаж'!G8+'План продаж'!G9)/(1+'Вводные'!$B$32))*'Вводные'!$B$31</x:f>
        <x:v>645691.4285714285</x:v>
      </x:c>
      <x:c r="I13" s="38" t="n">
        <x:f>'Долг'!E11</x:f>
        <x:v>191319.4444444445</x:v>
      </x:c>
      <x:c r="J13" s="38" t="n">
        <x:f>'Долг'!D11</x:f>
        <x:v>416666.6666666667</x:v>
      </x:c>
      <x:c r="K13" s="38" t="n">
        <x:f>'Склад и закупки'!E12*('Вводные'!$B$22)*30%</x:f>
        <x:v>390000</x:v>
      </x:c>
      <x:c r="L13" s="38" t="n">
        <x:f>'Склад и закупки'!E11*(('Вводные'!$B$22)*70%+('Вводные'!$B$23))</x:f>
        <x:v>1210000</x:v>
      </x:c>
      <x:c r="M13" s="38" t="n">
        <x:f>'Склад и закупки'!E10*('Вводные'!$B$24)</x:f>
        <x:v>0</x:v>
      </x:c>
      <x:c r="N13" s="38" t="n">
        <x:f>'План продаж'!D10*('Вводные'!$B$27)</x:f>
        <x:v>379241</x:v>
      </x:c>
      <x:c r="O13" s="38" t="n">
        <x:f>B13+C13-SUM(E13:M13)</x:f>
        <x:v>6756209.1921682535</x:v>
      </x:c>
      <x:c r="P13" s="38" t="n">
        <x:f>O13+D13-N13</x:f>
        <x:v>10022168.192168254</x:v>
      </x:c>
      <x:c r="Q13" s="38" t="n">
        <x:f>'Склад и закупки'!F10</x:f>
        <x:v>280</x:v>
      </x:c>
    </x:row>
    <x:row r="14">
      <x:c r="A14" s="54" t="n">
        <x:v>46600</x:v>
      </x:c>
      <x:c r="B14" s="38" t="n">
        <x:f>P13</x:f>
        <x:v>10022168.192168254</x:v>
      </x:c>
      <x:c r="C14" s="38" t="n">
        <x:f>IF(A14=DATE(2026,11,1),'Вводные'!$B$5,0)</x:f>
        <x:v>0</x:v>
      </x:c>
      <x:c r="D14" s="38" t="n">
        <x:f>'План продаж'!G11</x:f>
        <x:v>4373200</x:v>
      </x:c>
      <x:c r="E14" s="38" t="n">
        <x:f>IF(A14=DATE(2026,11,1),'Вводные'!$B$9,0)</x:f>
        <x:v>0</x:v>
      </x:c>
      <x:c r="F14" s="38" t="n">
        <x:f>'Операционные расходы'!$B$10</x:f>
        <x:v>950000</x:v>
      </x:c>
      <x:c r="G14" s="38" t="n">
        <x:f>('План продаж'!G7+'План продаж'!G8+'План продаж'!G9)*'Вводные'!$B$32/(1+'Вводные'!$B$32)/3</x:f>
        <x:v>179358.73015873015</x:v>
      </x:c>
      <x:c r="H14" s="38" t="n">
        <x:f>0</x:f>
        <x:v>0</x:v>
      </x:c>
      <x:c r="I14" s="38" t="n">
        <x:f>'Долг'!E12</x:f>
        <x:v>184722.22222222228</x:v>
      </x:c>
      <x:c r="J14" s="38" t="n">
        <x:f>'Долг'!D12</x:f>
        <x:v>416666.6666666667</x:v>
      </x:c>
      <x:c r="K14" s="38" t="n">
        <x:f>'Склад и закупки'!E13*('Вводные'!$B$22)*30%</x:f>
        <x:v>390000</x:v>
      </x:c>
      <x:c r="L14" s="38" t="n">
        <x:f>'Склад и закупки'!E12*(('Вводные'!$B$22)*70%+('Вводные'!$B$23))</x:f>
        <x:v>1210000</x:v>
      </x:c>
      <x:c r="M14" s="38" t="n">
        <x:f>'Склад и закупки'!E11*('Вводные'!$B$24)</x:f>
        <x:v>509804.01236</x:v>
      </x:c>
      <x:c r="N14" s="38" t="n">
        <x:f>'План продаж'!D11*('Вводные'!$B$27)</x:f>
        <x:v>454981</x:v>
      </x:c>
      <x:c r="O14" s="38" t="n">
        <x:f>B14+C14-SUM(E14:M14)</x:f>
        <x:v>6181616.560760635</x:v>
      </x:c>
      <x:c r="P14" s="38" t="n">
        <x:f>O14+D14-N14</x:f>
        <x:v>10099835.560760636</x:v>
      </x:c>
      <x:c r="Q14" s="38" t="n">
        <x:f>'Склад и закупки'!F11</x:f>
        <x:v>439</x:v>
      </x:c>
    </x:row>
    <x:row r="15">
      <x:c r="A15" s="54" t="n">
        <x:v>46631</x:v>
      </x:c>
      <x:c r="B15" s="38" t="n">
        <x:f>P14</x:f>
        <x:v>10099835.560760636</x:v>
      </x:c>
      <x:c r="C15" s="38" t="n">
        <x:f>IF(A15=DATE(2026,11,1),'Вводные'!$B$5,0)</x:f>
        <x:v>0</x:v>
      </x:c>
      <x:c r="D15" s="38" t="n">
        <x:f>'План продаж'!G12</x:f>
        <x:v>4253600</x:v>
      </x:c>
      <x:c r="E15" s="38" t="n">
        <x:f>IF(A15=DATE(2026,11,1),'Вводные'!$B$9,0)</x:f>
        <x:v>0</x:v>
      </x:c>
      <x:c r="F15" s="38" t="n">
        <x:f>'Операционные расходы'!$B$10</x:f>
        <x:v>950000</x:v>
      </x:c>
      <x:c r="G15" s="38" t="n">
        <x:f>('План продаж'!G7+'План продаж'!G8+'План продаж'!G9)*'Вводные'!$B$32/(1+'Вводные'!$B$32)/3</x:f>
        <x:v>179358.73015873015</x:v>
      </x:c>
      <x:c r="H15" s="38" t="n">
        <x:f>0</x:f>
        <x:v>0</x:v>
      </x:c>
      <x:c r="I15" s="38" t="n">
        <x:f>'Долг'!E13</x:f>
        <x:v>178125.0000000001</x:v>
      </x:c>
      <x:c r="J15" s="38" t="n">
        <x:f>'Долг'!D13</x:f>
        <x:v>416666.6666666667</x:v>
      </x:c>
      <x:c r="K15" s="38" t="n">
        <x:f>'Склад и закупки'!E14*('Вводные'!$B$22)*30%</x:f>
        <x:v>0</x:v>
      </x:c>
      <x:c r="L15" s="38" t="n">
        <x:f>'Склад и закупки'!E13*(('Вводные'!$B$22)*70%+('Вводные'!$B$23))</x:f>
        <x:v>1210000</x:v>
      </x:c>
      <x:c r="M15" s="38" t="n">
        <x:f>'Склад и закупки'!E12*('Вводные'!$B$24)</x:f>
        <x:v>509804.01236</x:v>
      </x:c>
      <x:c r="N15" s="38" t="n">
        <x:f>'План продаж'!D12*('Вводные'!$B$27)</x:f>
        <x:v>442538</x:v>
      </x:c>
      <x:c r="O15" s="38" t="n">
        <x:f>B15+C15-SUM(E15:M15)</x:f>
        <x:v>6655881.151575239</x:v>
      </x:c>
      <x:c r="P15" s="38" t="n">
        <x:f>O15+D15-N15</x:f>
        <x:v>10466943.15157524</x:v>
      </x:c>
      <x:c r="Q15" s="38" t="n">
        <x:f>'Склад и закупки'!F12</x:f>
        <x:v>621</x:v>
      </x:c>
    </x:row>
    <x:row r="16">
      <x:c r="A16" s="54" t="n">
        <x:v>46661</x:v>
      </x:c>
      <x:c r="B16" s="38" t="n">
        <x:f>P15</x:f>
        <x:v>10466943.15157524</x:v>
      </x:c>
      <x:c r="C16" s="38" t="n">
        <x:f>IF(A16=DATE(2026,11,1),'Вводные'!$B$5,0)</x:f>
        <x:v>0</x:v>
      </x:c>
      <x:c r="D16" s="38" t="n">
        <x:f>'План продаж'!G13</x:f>
        <x:v>3645200</x:v>
      </x:c>
      <x:c r="E16" s="38" t="n">
        <x:f>IF(A16=DATE(2026,11,1),'Вводные'!$B$9,0)</x:f>
        <x:v>0</x:v>
      </x:c>
      <x:c r="F16" s="38" t="n">
        <x:f>'Операционные расходы'!$B$10</x:f>
        <x:v>950000</x:v>
      </x:c>
      <x:c r="G16" s="38" t="n">
        <x:f>('План продаж'!G10+'План продаж'!G11+'План продаж'!G12)*'Вводные'!$B$32/(1+'Вводные'!$B$32)/3</x:f>
        <x:v>194793.65079365077</x:v>
      </x:c>
      <x:c r="H16" s="38" t="n">
        <x:f>(('План продаж'!G10+'План продаж'!G11+'План продаж'!G12)/(1+'Вводные'!$B$32))*'Вводные'!$B$31</x:f>
        <x:v>701257.1428571427</x:v>
      </x:c>
      <x:c r="I16" s="38" t="n">
        <x:f>'Долг'!E14</x:f>
        <x:v>171527.7777777779</x:v>
      </x:c>
      <x:c r="J16" s="38" t="n">
        <x:f>'Долг'!D14</x:f>
        <x:v>416666.6666666667</x:v>
      </x:c>
      <x:c r="K16" s="38" t="n">
        <x:f>'Склад и закупки'!E15*('Вводные'!$B$22)*30%</x:f>
        <x:v>390000</x:v>
      </x:c>
      <x:c r="L16" s="38" t="n">
        <x:f>'Склад и закупки'!E14*(('Вводные'!$B$22)*70%+('Вводные'!$B$23))</x:f>
        <x:v>0</x:v>
      </x:c>
      <x:c r="M16" s="38" t="n">
        <x:f>'Склад и закупки'!E13*('Вводные'!$B$24)</x:f>
        <x:v>509804.01236</x:v>
      </x:c>
      <x:c r="N16" s="38" t="n">
        <x:f>'План продаж'!D13*('Вводные'!$B$27)</x:f>
        <x:v>379241</x:v>
      </x:c>
      <x:c r="O16" s="38" t="n">
        <x:f>B16+C16-SUM(E16:M16)</x:f>
        <x:v>7132893.901120001</x:v>
      </x:c>
      <x:c r="P16" s="38" t="n">
        <x:f>O16+D16-N16</x:f>
        <x:v>10398852.901120001</x:v>
      </x:c>
      <x:c r="Q16" s="38" t="n">
        <x:f>'Склад и закупки'!F13</x:f>
        <x:v>920</x:v>
      </x:c>
    </x:row>
    <x:row r="17">
      <x:c r="A17" s="54" t="n">
        <x:v>46692</x:v>
      </x:c>
      <x:c r="B17" s="38" t="n">
        <x:f>P16</x:f>
        <x:v>10398852.901120001</x:v>
      </x:c>
      <x:c r="C17" s="38" t="n">
        <x:f>IF(A17=DATE(2026,11,1),'Вводные'!$B$5,0)</x:f>
        <x:v>0</x:v>
      </x:c>
      <x:c r="D17" s="38" t="n">
        <x:f>'План продаж'!G14</x:f>
        <x:v>3525600</x:v>
      </x:c>
      <x:c r="E17" s="38" t="n">
        <x:f>IF(A17=DATE(2026,11,1),'Вводные'!$B$9,0)</x:f>
        <x:v>0</x:v>
      </x:c>
      <x:c r="F17" s="38" t="n">
        <x:f>'Операционные расходы'!$B$10</x:f>
        <x:v>950000</x:v>
      </x:c>
      <x:c r="G17" s="38" t="n">
        <x:f>('План продаж'!G10+'План продаж'!G11+'План продаж'!G12)*'Вводные'!$B$32/(1+'Вводные'!$B$32)/3</x:f>
        <x:v>194793.65079365077</x:v>
      </x:c>
      <x:c r="H17" s="38" t="n">
        <x:f>0</x:f>
        <x:v>0</x:v>
      </x:c>
      <x:c r="I17" s="38" t="n">
        <x:f>'Долг'!E15</x:f>
        <x:v>164930.55555555565</x:v>
      </x:c>
      <x:c r="J17" s="38" t="n">
        <x:f>'Долг'!D15</x:f>
        <x:v>416666.6666666667</x:v>
      </x:c>
      <x:c r="K17" s="38" t="n">
        <x:f>'Склад и закупки'!E16*('Вводные'!$B$22*(1+'Вводные'!$B$26))*30%</x:f>
        <x:v>0</x:v>
      </x:c>
      <x:c r="L17" s="38" t="n">
        <x:f>'Склад и закупки'!E15*(('Вводные'!$B$22)*70%+('Вводные'!$B$23))</x:f>
        <x:v>1210000</x:v>
      </x:c>
      <x:c r="M17" s="38" t="n">
        <x:f>'Склад и закупки'!E14*('Вводные'!$B$24)</x:f>
        <x:v>0</x:v>
      </x:c>
      <x:c r="N17" s="38" t="n">
        <x:f>'План продаж'!D14*('Вводные'!$B$27)</x:f>
        <x:v>366798</x:v>
      </x:c>
      <x:c r="O17" s="38" t="n">
        <x:f>B17+C17-SUM(E17:M17)</x:f>
        <x:v>7462462.028104128</x:v>
      </x:c>
      <x:c r="P17" s="38" t="n">
        <x:f>O17+D17-N17</x:f>
        <x:v>10621264.028104128</x:v>
      </x:c>
      <x:c r="Q17" s="38" t="n">
        <x:f>'Склад и закупки'!F14</x:f>
        <x:v>242</x:v>
      </x:c>
    </x:row>
    <x:row r="18">
      <x:c r="A18" s="54" t="n">
        <x:v>46722</x:v>
      </x:c>
      <x:c r="B18" s="38" t="n">
        <x:f>P17</x:f>
        <x:v>10621264.028104128</x:v>
      </x:c>
      <x:c r="C18" s="38" t="n">
        <x:f>IF(A18=DATE(2026,11,1),'Вводные'!$B$5,0)</x:f>
        <x:v>0</x:v>
      </x:c>
      <x:c r="D18" s="38" t="n">
        <x:f>'План продаж'!G15</x:f>
        <x:v>3400800</x:v>
      </x:c>
      <x:c r="E18" s="38" t="n">
        <x:f>IF(A18=DATE(2026,11,1),'Вводные'!$B$9,0)</x:f>
        <x:v>0</x:v>
      </x:c>
      <x:c r="F18" s="38" t="n">
        <x:f>'Операционные расходы'!$B$10</x:f>
        <x:v>950000</x:v>
      </x:c>
      <x:c r="G18" s="38" t="n">
        <x:f>('План продаж'!G10+'План продаж'!G11+'План продаж'!G12)*'Вводные'!$B$32/(1+'Вводные'!$B$32)/3</x:f>
        <x:v>194793.65079365077</x:v>
      </x:c>
      <x:c r="H18" s="38" t="n">
        <x:f>0</x:f>
        <x:v>0</x:v>
      </x:c>
      <x:c r="I18" s="38" t="n">
        <x:f>'Долг'!E16</x:f>
        <x:v>158333.33333333346</x:v>
      </x:c>
      <x:c r="J18" s="38" t="n">
        <x:f>'Долг'!D16</x:f>
        <x:v>416666.6666666667</x:v>
      </x:c>
      <x:c r="K18" s="38" t="n">
        <x:f>'Склад и закупки'!E17*('Вводные'!$B$22*(1+'Вводные'!$B$26))*30%</x:f>
        <x:v>409500</x:v>
      </x:c>
      <x:c r="L18" s="38" t="n">
        <x:f>'Склад и закупки'!E16*(('Вводные'!$B$22*(1+'Вводные'!$B$26))*70%+('Вводные'!$B$23*(1+'Вводные'!$B$26)))</x:f>
        <x:v>0</x:v>
      </x:c>
      <x:c r="M18" s="38" t="n">
        <x:f>'Склад и закупки'!E15*('Вводные'!$B$24)</x:f>
        <x:v>509804.01236</x:v>
      </x:c>
      <x:c r="N18" s="38" t="n">
        <x:f>'План продаж'!D15*('Вводные'!$B$27)</x:f>
        <x:v>353814</x:v>
      </x:c>
      <x:c r="O18" s="38" t="n">
        <x:f>B18+C18-SUM(E18:M18)</x:f>
        <x:v>7982166.364950477</x:v>
      </x:c>
      <x:c r="P18" s="38" t="n">
        <x:f>O18+D18-N18</x:f>
        <x:v>11029152.364950478</x:v>
      </x:c>
      <x:c r="Q18" s="38" t="n">
        <x:f>'Склад и закупки'!F15</x:f>
        <x:v>588</x:v>
      </x:c>
    </x:row>
    <x:row r="19">
      <x:c r="A19" s="54" t="n">
        <x:v>46753</x:v>
      </x:c>
      <x:c r="B19" s="38" t="n">
        <x:f>P18</x:f>
        <x:v>11029152.364950478</x:v>
      </x:c>
      <x:c r="C19" s="38" t="n">
        <x:f>IF(A19=DATE(2026,11,1),'Вводные'!$B$5,0)</x:f>
        <x:v>0</x:v>
      </x:c>
      <x:c r="D19" s="38" t="n">
        <x:f>'План продаж'!G16</x:f>
        <x:v>2672800</x:v>
      </x:c>
      <x:c r="E19" s="38" t="n">
        <x:f>IF(A19=DATE(2026,11,1),'Вводные'!$B$9,0)</x:f>
        <x:v>0</x:v>
      </x:c>
      <x:c r="F19" s="38" t="n">
        <x:f>'Операционные расходы'!$C$10</x:f>
        <x:v>1016500</x:v>
      </x:c>
      <x:c r="G19" s="38" t="n">
        <x:f>('План продаж'!G13+'План продаж'!G14+'План продаж'!G15)*'Вводные'!$B$32/(1+'Вводные'!$B$32)/3</x:f>
        <x:v>167803.1746031746</x:v>
      </x:c>
      <x:c r="H19" s="38" t="n">
        <x:f>0</x:f>
        <x:v>0</x:v>
      </x:c>
      <x:c r="I19" s="38" t="n">
        <x:f>'Долг'!E17</x:f>
        <x:v>151736.11111111124</x:v>
      </x:c>
      <x:c r="J19" s="38" t="n">
        <x:f>'Долг'!D17</x:f>
        <x:v>416666.6666666667</x:v>
      </x:c>
      <x:c r="K19" s="38" t="n">
        <x:f>'Склад и закупки'!E18*('Вводные'!$B$22*(1+'Вводные'!$B$26))*30%</x:f>
        <x:v>409500</x:v>
      </x:c>
      <x:c r="L19" s="38" t="n">
        <x:f>'Склад и закупки'!E17*(('Вводные'!$B$22*(1+'Вводные'!$B$26))*70%+('Вводные'!$B$23*(1+'Вводные'!$B$26)))</x:f>
        <x:v>1270500</x:v>
      </x:c>
      <x:c r="M19" s="38" t="n">
        <x:f>'Склад и закупки'!E16*('Вводные'!$B$24*(1+'Вводные'!$B$26))</x:f>
        <x:v>0</x:v>
      </x:c>
      <x:c r="N19" s="38" t="n">
        <x:f>'План продаж'!D16*('Вводные'!$B$27*(1+'Вводные'!$B$28))</x:f>
        <x:v>291977.7</x:v>
      </x:c>
      <x:c r="O19" s="38" t="n">
        <x:f>B19+C19-SUM(E19:M19)</x:f>
        <x:v>7596446.412569526</x:v>
      </x:c>
      <x:c r="P19" s="38" t="n">
        <x:f>O19+D19-N19</x:f>
        <x:v>9977268.712569527</x:v>
      </x:c>
      <x:c r="Q19" s="38" t="n">
        <x:f>'Склад и закупки'!F16</x:f>
        <x:v>74</x:v>
      </x:c>
    </x:row>
    <x:row r="20">
      <x:c r="A20" s="54" t="n">
        <x:v>46784</x:v>
      </x:c>
      <x:c r="B20" s="38" t="n">
        <x:f>P19</x:f>
        <x:v>9977268.712569527</x:v>
      </x:c>
      <x:c r="C20" s="38" t="n">
        <x:f>IF(A20=DATE(2026,11,1),'Вводные'!$B$5,0)</x:f>
        <x:v>0</x:v>
      </x:c>
      <x:c r="D20" s="38" t="n">
        <x:f>'План продаж'!G17</x:f>
        <x:v>2917200</x:v>
      </x:c>
      <x:c r="E20" s="38" t="n">
        <x:f>IF(A20=DATE(2026,11,1),'Вводные'!$B$9,0)</x:f>
        <x:v>0</x:v>
      </x:c>
      <x:c r="F20" s="38" t="n">
        <x:f>'Операционные расходы'!$C$10</x:f>
        <x:v>1016500</x:v>
      </x:c>
      <x:c r="G20" s="38" t="n">
        <x:f>('План продаж'!G13+'План продаж'!G14+'План продаж'!G15)*'Вводные'!$B$32/(1+'Вводные'!$B$32)/3</x:f>
        <x:v>167803.1746031746</x:v>
      </x:c>
      <x:c r="H20" s="38" t="n">
        <x:f>0</x:f>
        <x:v>0</x:v>
      </x:c>
      <x:c r="I20" s="38" t="n">
        <x:f>'Долг'!E18</x:f>
        <x:v>145138.88888888902</x:v>
      </x:c>
      <x:c r="J20" s="38" t="n">
        <x:f>'Долг'!D18</x:f>
        <x:v>416666.6666666667</x:v>
      </x:c>
      <x:c r="K20" s="38" t="n">
        <x:f>'Склад и закупки'!E19*('Вводные'!$B$22*(1+'Вводные'!$B$26))*30%</x:f>
        <x:v>409500</x:v>
      </x:c>
      <x:c r="L20" s="38" t="n">
        <x:f>'Склад и закупки'!E18*(('Вводные'!$B$22*(1+'Вводные'!$B$26))*70%+('Вводные'!$B$23*(1+'Вводные'!$B$26)))</x:f>
        <x:v>1270500</x:v>
      </x:c>
      <x:c r="M20" s="38" t="n">
        <x:f>'Склад и закупки'!E17*('Вводные'!$B$24*(1+'Вводные'!$B$26))</x:f>
        <x:v>535294.212978</x:v>
      </x:c>
      <x:c r="N20" s="38" t="n">
        <x:f>'План продаж'!D17*('Вводные'!$B$27*(1+'Вводные'!$B$28))</x:f>
        <x:v>318676.05000000005</x:v>
      </x:c>
      <x:c r="O20" s="38" t="n">
        <x:f>B20+C20-SUM(E20:M20)</x:f>
        <x:v>6015865.769432797</x:v>
      </x:c>
      <x:c r="P20" s="38" t="n">
        <x:f>O20+D20-N20</x:f>
        <x:v>8614389.719432797</x:v>
      </x:c>
      <x:c r="Q20" s="38" t="n">
        <x:f>'Склад и закупки'!F17</x:f>
        <x:v>513</x:v>
      </x:c>
    </x:row>
    <x:row r="21">
      <x:c r="A21" s="54" t="n">
        <x:v>46813</x:v>
      </x:c>
      <x:c r="B21" s="38" t="n">
        <x:f>P20</x:f>
        <x:v>8614389.719432797</x:v>
      </x:c>
      <x:c r="C21" s="38" t="n">
        <x:f>IF(A21=DATE(2026,11,1),'Вводные'!$B$5,0)</x:f>
        <x:v>0</x:v>
      </x:c>
      <x:c r="D21" s="38" t="n">
        <x:f>'План продаж'!G18</x:f>
        <x:v>4009200</x:v>
      </x:c>
      <x:c r="E21" s="38" t="n">
        <x:f>IF(A21=DATE(2026,11,1),'Вводные'!$B$9,0)</x:f>
        <x:v>0</x:v>
      </x:c>
      <x:c r="F21" s="38" t="n">
        <x:f>'Операционные расходы'!$C$10</x:f>
        <x:v>1016500</x:v>
      </x:c>
      <x:c r="G21" s="38" t="n">
        <x:f>('План продаж'!G13+'План продаж'!G14+'План продаж'!G15)*'Вводные'!$B$32/(1+'Вводные'!$B$32)/3</x:f>
        <x:v>167803.1746031746</x:v>
      </x:c>
      <x:c r="H21" s="38" t="n">
        <x:f>0</x:f>
        <x:v>0</x:v>
      </x:c>
      <x:c r="I21" s="38" t="n">
        <x:f>'Долг'!E19</x:f>
        <x:v>138541.66666666683</x:v>
      </x:c>
      <x:c r="J21" s="38" t="n">
        <x:f>'Долг'!D19</x:f>
        <x:v>416666.6666666667</x:v>
      </x:c>
      <x:c r="K21" s="38" t="n">
        <x:f>'Склад и закупки'!E20*('Вводные'!$B$22*(1+'Вводные'!$B$26))*30%</x:f>
        <x:v>0</x:v>
      </x:c>
      <x:c r="L21" s="38" t="n">
        <x:f>'Склад и закупки'!E19*(('Вводные'!$B$22*(1+'Вводные'!$B$26))*70%+('Вводные'!$B$23*(1+'Вводные'!$B$26)))</x:f>
        <x:v>1270500</x:v>
      </x:c>
      <x:c r="M21" s="38" t="n">
        <x:f>'Склад и закупки'!E18*('Вводные'!$B$24*(1+'Вводные'!$B$26))</x:f>
        <x:v>535294.212978</x:v>
      </x:c>
      <x:c r="N21" s="38" t="n">
        <x:f>'План продаж'!D18*('Вводные'!$B$27*(1+'Вводные'!$B$28))</x:f>
        <x:v>437966.55000000005</x:v>
      </x:c>
      <x:c r="O21" s="38" t="n">
        <x:f>B21+C21-SUM(E21:M21)</x:f>
        <x:v>5069083.998518289</x:v>
      </x:c>
      <x:c r="P21" s="38" t="n">
        <x:f>O21+D21-N21</x:f>
        <x:v>8640317.448518287</x:v>
      </x:c>
      <x:c r="Q21" s="38" t="n">
        <x:f>'Склад и закупки'!F18</x:f>
        <x:v>742</x:v>
      </x:c>
    </x:row>
    <x:row r="22">
      <x:c r="A22" s="54" t="n">
        <x:v>46844</x:v>
      </x:c>
      <x:c r="B22" s="38" t="n">
        <x:f>P21</x:f>
        <x:v>8640317.448518287</x:v>
      </x:c>
      <x:c r="C22" s="38" t="n">
        <x:f>IF(A22=DATE(2026,11,1),'Вводные'!$B$5,0)</x:f>
        <x:v>0</x:v>
      </x:c>
      <x:c r="D22" s="38" t="n">
        <x:f>'План продаж'!G19</x:f>
        <x:v>4373200</x:v>
      </x:c>
      <x:c r="E22" s="38" t="n">
        <x:f>IF(A22=DATE(2026,11,1),'Вводные'!$B$9,0)</x:f>
        <x:v>0</x:v>
      </x:c>
      <x:c r="F22" s="38" t="n">
        <x:f>'Операционные расходы'!$C$10</x:f>
        <x:v>1016500</x:v>
      </x:c>
      <x:c r="G22" s="38" t="n">
        <x:f>('План продаж'!G16+'План продаж'!G17+'План продаж'!G18)*'Вводные'!$B$32/(1+'Вводные'!$B$32)/3</x:f>
        <x:v>152368.25396825396</x:v>
      </x:c>
      <x:c r="H22" s="38" t="n">
        <x:f>(('План продаж'!G13+'План продаж'!G14+'План продаж'!G15)/(1+'Вводные'!$B$32))*'Вводные'!$B$31+(('План продаж'!G16+'План продаж'!G17+'План продаж'!G18)/(1+'Вводные'!$B$32))*'Вводные'!$B$31</x:f>
        <x:v>1152617.1428571427</x:v>
      </x:c>
      <x:c r="I22" s="38" t="n">
        <x:f>'Долг'!E20</x:f>
        <x:v>131944.44444444458</x:v>
      </x:c>
      <x:c r="J22" s="38" t="n">
        <x:f>'Долг'!D20</x:f>
        <x:v>416666.6666666667</x:v>
      </x:c>
      <x:c r="K22" s="38" t="n">
        <x:f>'Склад и закупки'!E21*('Вводные'!$B$22*(1+'Вводные'!$B$26))*30%</x:f>
        <x:v>409500</x:v>
      </x:c>
      <x:c r="L22" s="38" t="n">
        <x:f>'Склад и закупки'!E20*(('Вводные'!$B$22*(1+'Вводные'!$B$26))*70%+('Вводные'!$B$23*(1+'Вводные'!$B$26)))</x:f>
        <x:v>0</x:v>
      </x:c>
      <x:c r="M22" s="38" t="n">
        <x:f>'Склад и закупки'!E19*('Вводные'!$B$24*(1+'Вводные'!$B$26))</x:f>
        <x:v>535294.212978</x:v>
      </x:c>
      <x:c r="N22" s="38" t="n">
        <x:f>'План продаж'!D19*('Вводные'!$B$27*(1+'Вводные'!$B$28))</x:f>
        <x:v>477730.05000000005</x:v>
      </x:c>
      <x:c r="O22" s="38" t="n">
        <x:f>B22+C22-SUM(E22:M22)</x:f>
        <x:v>4825426.72760378</x:v>
      </x:c>
      <x:c r="P22" s="38" t="n">
        <x:f>O22+D22-N22</x:f>
        <x:v>8720896.67760378</x:v>
      </x:c>
      <x:c r="Q22" s="38" t="n">
        <x:f>'Склад и закупки'!F19</x:f>
        <x:v>901</x:v>
      </x:c>
    </x:row>
    <x:row r="23">
      <x:c r="A23" s="54" t="n">
        <x:v>46874</x:v>
      </x:c>
      <x:c r="B23" s="38" t="n">
        <x:f>P22</x:f>
        <x:v>8720896.67760378</x:v>
      </x:c>
      <x:c r="C23" s="38" t="n">
        <x:f>IF(A23=DATE(2026,11,1),'Вводные'!$B$5,0)</x:f>
        <x:v>0</x:v>
      </x:c>
      <x:c r="D23" s="38" t="n">
        <x:f>'План продаж'!G20</x:f>
        <x:v>3525600</x:v>
      </x:c>
      <x:c r="E23" s="38" t="n">
        <x:f>IF(A23=DATE(2026,11,1),'Вводные'!$B$9,0)</x:f>
        <x:v>0</x:v>
      </x:c>
      <x:c r="F23" s="38" t="n">
        <x:f>'Операционные расходы'!$C$10</x:f>
        <x:v>1016500</x:v>
      </x:c>
      <x:c r="G23" s="38" t="n">
        <x:f>('План продаж'!G16+'План продаж'!G17+'План продаж'!G18)*'Вводные'!$B$32/(1+'Вводные'!$B$32)/3</x:f>
        <x:v>152368.25396825396</x:v>
      </x:c>
      <x:c r="H23" s="38" t="n">
        <x:f>0</x:f>
        <x:v>0</x:v>
      </x:c>
      <x:c r="I23" s="38" t="n">
        <x:f>'Долг'!E21</x:f>
        <x:v>125347.22222222236</x:v>
      </x:c>
      <x:c r="J23" s="38" t="n">
        <x:f>'Долг'!D21</x:f>
        <x:v>416666.6666666667</x:v>
      </x:c>
      <x:c r="K23" s="38" t="n">
        <x:f>'Склад и закупки'!E22*('Вводные'!$B$22*(1+'Вводные'!$B$26))*30%</x:f>
        <x:v>409500</x:v>
      </x:c>
      <x:c r="L23" s="38" t="n">
        <x:f>'Склад и закупки'!E21*(('Вводные'!$B$22*(1+'Вводные'!$B$26))*70%+('Вводные'!$B$23*(1+'Вводные'!$B$26)))</x:f>
        <x:v>1270500</x:v>
      </x:c>
      <x:c r="M23" s="38" t="n">
        <x:f>'Склад и закупки'!E20*('Вводные'!$B$24*(1+'Вводные'!$B$26))</x:f>
        <x:v>0</x:v>
      </x:c>
      <x:c r="N23" s="38" t="n">
        <x:f>'План продаж'!D20*('Вводные'!$B$27*(1+'Вводные'!$B$28))</x:f>
        <x:v>385137.9</x:v>
      </x:c>
      <x:c r="O23" s="38" t="n">
        <x:f>B23+C23-SUM(E23:M23)</x:f>
        <x:v>5330014.534746637</x:v>
      </x:c>
      <x:c r="P23" s="38" t="n">
        <x:f>O23+D23-N23</x:f>
        <x:v>8470476.634746635</x:v>
      </x:c>
      <x:c r="Q23" s="38" t="n">
        <x:f>'Склад и закупки'!F20</x:f>
        <x:v>223</x:v>
      </x:c>
    </x:row>
    <x:row r="24">
      <x:c r="A24" s="54" t="n">
        <x:v>46905</x:v>
      </x:c>
      <x:c r="B24" s="38" t="n">
        <x:f>P23</x:f>
        <x:v>8470476.634746635</x:v>
      </x:c>
      <x:c r="C24" s="38" t="n">
        <x:f>IF(A24=DATE(2026,11,1),'Вводные'!$B$5,0)</x:f>
        <x:v>0</x:v>
      </x:c>
      <x:c r="D24" s="38" t="n">
        <x:f>'План продаж'!G21</x:f>
        <x:v>3400800</x:v>
      </x:c>
      <x:c r="E24" s="38" t="n">
        <x:f>IF(A24=DATE(2026,11,1),'Вводные'!$B$9,0)</x:f>
        <x:v>0</x:v>
      </x:c>
      <x:c r="F24" s="38" t="n">
        <x:f>'Операционные расходы'!$C$10</x:f>
        <x:v>1016500</x:v>
      </x:c>
      <x:c r="G24" s="38" t="n">
        <x:f>('План продаж'!G16+'План продаж'!G17+'План продаж'!G18)*'Вводные'!$B$32/(1+'Вводные'!$B$32)/3</x:f>
        <x:v>152368.25396825396</x:v>
      </x:c>
      <x:c r="H24" s="38" t="n">
        <x:f>0</x:f>
        <x:v>0</x:v>
      </x:c>
      <x:c r="I24" s="38" t="n">
        <x:f>'Долг'!E22</x:f>
        <x:v>118750.00000000013</x:v>
      </x:c>
      <x:c r="J24" s="38" t="n">
        <x:f>'Долг'!D22</x:f>
        <x:v>416666.6666666667</x:v>
      </x:c>
      <x:c r="K24" s="38" t="n">
        <x:f>'Склад и закупки'!E23*('Вводные'!$B$22*(1+'Вводные'!$B$26))*30%</x:f>
        <x:v>0</x:v>
      </x:c>
      <x:c r="L24" s="38" t="n">
        <x:f>'Склад и закупки'!E22*(('Вводные'!$B$22*(1+'Вводные'!$B$26))*70%+('Вводные'!$B$23*(1+'Вводные'!$B$26)))</x:f>
        <x:v>1270500</x:v>
      </x:c>
      <x:c r="M24" s="38" t="n">
        <x:f>'Склад и закупки'!E21*('Вводные'!$B$24*(1+'Вводные'!$B$26))</x:f>
        <x:v>535294.212978</x:v>
      </x:c>
      <x:c r="N24" s="38" t="n">
        <x:f>'План продаж'!D21*('Вводные'!$B$27*(1+'Вводные'!$B$28))</x:f>
        <x:v>371504.70000000007</x:v>
      </x:c>
      <x:c r="O24" s="38" t="n">
        <x:f>B24+C24-SUM(E24:M24)</x:f>
        <x:v>4960397.501133715</x:v>
      </x:c>
      <x:c r="P24" s="38" t="n">
        <x:f>O24+D24-N24</x:f>
        <x:v>7989692.801133715</x:v>
      </x:c>
      <x:c r="Q24" s="38" t="n">
        <x:f>'Склад и закупки'!F21</x:f>
        <x:v>569</x:v>
      </x:c>
    </x:row>
    <x:row r="25">
      <x:c r="A25" s="54" t="n">
        <x:v>46935</x:v>
      </x:c>
      <x:c r="B25" s="38" t="n">
        <x:f>P24</x:f>
        <x:v>7989692.801133715</x:v>
      </x:c>
      <x:c r="C25" s="38" t="n">
        <x:f>IF(A25=DATE(2026,11,1),'Вводные'!$B$5,0)</x:f>
        <x:v>0</x:v>
      </x:c>
      <x:c r="D25" s="38" t="n">
        <x:f>'План продаж'!G22</x:f>
        <x:v>3645200</x:v>
      </x:c>
      <x:c r="E25" s="38" t="n">
        <x:f>IF(A25=DATE(2026,11,1),'Вводные'!$B$9,0)</x:f>
        <x:v>0</x:v>
      </x:c>
      <x:c r="F25" s="38" t="n">
        <x:f>'Операционные расходы'!$C$10</x:f>
        <x:v>1016500</x:v>
      </x:c>
      <x:c r="G25" s="38" t="n">
        <x:f>('План продаж'!G19+'План продаж'!G20+'План продаж'!G21)*'Вводные'!$B$32/(1+'Вводные'!$B$32)/3</x:f>
        <x:v>179358.73015873015</x:v>
      </x:c>
      <x:c r="H25" s="38" t="n">
        <x:f>(('План продаж'!G19+'План продаж'!G20+'План продаж'!G21)/(1+'Вводные'!$B$32))*'Вводные'!$B$31</x:f>
        <x:v>645691.4285714285</x:v>
      </x:c>
      <x:c r="I25" s="38" t="n">
        <x:f>'Долг'!E23</x:f>
        <x:v>112152.77777777791</x:v>
      </x:c>
      <x:c r="J25" s="38" t="n">
        <x:f>'Долг'!D23</x:f>
        <x:v>416666.6666666667</x:v>
      </x:c>
      <x:c r="K25" s="38" t="n">
        <x:f>'Склад и закупки'!E24*('Вводные'!$B$22*(1+'Вводные'!$B$26))*30%</x:f>
        <x:v>409500</x:v>
      </x:c>
      <x:c r="L25" s="38" t="n">
        <x:f>'Склад и закупки'!E23*(('Вводные'!$B$22*(1+'Вводные'!$B$26))*70%+('Вводные'!$B$23*(1+'Вводные'!$B$26)))</x:f>
        <x:v>0</x:v>
      </x:c>
      <x:c r="M25" s="38" t="n">
        <x:f>'Склад и закупки'!E22*('Вводные'!$B$24*(1+'Вводные'!$B$26))</x:f>
        <x:v>535294.212978</x:v>
      </x:c>
      <x:c r="N25" s="38" t="n">
        <x:f>'План продаж'!D22*('Вводные'!$B$27*(1+'Вводные'!$B$28))</x:f>
        <x:v>398203.05000000005</x:v>
      </x:c>
      <x:c r="O25" s="38" t="n">
        <x:f>B25+C25-SUM(E25:M25)</x:f>
        <x:v>4674528.984981111</x:v>
      </x:c>
      <x:c r="P25" s="38" t="n">
        <x:f>O25+D25-N25</x:f>
        <x:v>7921525.934981111</x:v>
      </x:c>
      <x:c r="Q25" s="38" t="n">
        <x:f>'Склад и закупки'!F22</x:f>
        <x:v>868</x:v>
      </x:c>
    </x:row>
    <x:row r="26">
      <x:c r="A26" s="54" t="n">
        <x:v>46966</x:v>
      </x:c>
      <x:c r="B26" s="38" t="n">
        <x:f>P25</x:f>
        <x:v>7921525.934981111</x:v>
      </x:c>
      <x:c r="C26" s="38" t="n">
        <x:f>IF(A26=DATE(2026,11,1),'Вводные'!$B$5,0)</x:f>
        <x:v>0</x:v>
      </x:c>
      <x:c r="D26" s="38" t="n">
        <x:f>'План продаж'!G23</x:f>
        <x:v>4373200</x:v>
      </x:c>
      <x:c r="E26" s="38" t="n">
        <x:f>IF(A26=DATE(2026,11,1),'Вводные'!$B$9,0)</x:f>
        <x:v>0</x:v>
      </x:c>
      <x:c r="F26" s="38" t="n">
        <x:f>'Операционные расходы'!$C$10</x:f>
        <x:v>1016500</x:v>
      </x:c>
      <x:c r="G26" s="38" t="n">
        <x:f>('План продаж'!G19+'План продаж'!G20+'План продаж'!G21)*'Вводные'!$B$32/(1+'Вводные'!$B$32)/3</x:f>
        <x:v>179358.73015873015</x:v>
      </x:c>
      <x:c r="H26" s="38" t="n">
        <x:f>0</x:f>
        <x:v>0</x:v>
      </x:c>
      <x:c r="I26" s="38" t="n">
        <x:f>'Долг'!E24</x:f>
        <x:v>105555.55555555568</x:v>
      </x:c>
      <x:c r="J26" s="38" t="n">
        <x:f>'Долг'!D24</x:f>
        <x:v>416666.6666666667</x:v>
      </x:c>
      <x:c r="K26" s="38" t="n">
        <x:f>'Склад и закупки'!E25*('Вводные'!$B$22*(1+'Вводные'!$B$26))*30%</x:f>
        <x:v>409500</x:v>
      </x:c>
      <x:c r="L26" s="38" t="n">
        <x:f>'Склад и закупки'!E24*(('Вводные'!$B$22*(1+'Вводные'!$B$26))*70%+('Вводные'!$B$23*(1+'Вводные'!$B$26)))</x:f>
        <x:v>1270500</x:v>
      </x:c>
      <x:c r="M26" s="38" t="n">
        <x:f>'Склад и закупки'!E23*('Вводные'!$B$24*(1+'Вводные'!$B$26))</x:f>
        <x:v>0</x:v>
      </x:c>
      <x:c r="N26" s="38" t="n">
        <x:f>'План продаж'!D23*('Вводные'!$B$27*(1+'Вводные'!$B$28))</x:f>
        <x:v>477730.05000000005</x:v>
      </x:c>
      <x:c r="O26" s="38" t="n">
        <x:f>B26+C26-SUM(E26:M26)</x:f>
        <x:v>4523444.982600159</x:v>
      </x:c>
      <x:c r="P26" s="38" t="n">
        <x:f>O26+D26-N26</x:f>
        <x:v>8418914.93260016</x:v>
      </x:c>
      <x:c r="Q26" s="38" t="n">
        <x:f>'Склад и закупки'!F23</x:f>
        <x:v>27</x:v>
      </x:c>
    </x:row>
    <x:row r="27">
      <x:c r="A27" s="54" t="n">
        <x:v>46997</x:v>
      </x:c>
      <x:c r="B27" s="38" t="n">
        <x:f>P26</x:f>
        <x:v>8418914.93260016</x:v>
      </x:c>
      <x:c r="C27" s="38" t="n">
        <x:f>IF(A27=DATE(2026,11,1),'Вводные'!$B$5,0)</x:f>
        <x:v>0</x:v>
      </x:c>
      <x:c r="D27" s="38" t="n">
        <x:f>'План продаж'!G24</x:f>
        <x:v>4253600</x:v>
      </x:c>
      <x:c r="E27" s="38" t="n">
        <x:f>IF(A27=DATE(2026,11,1),'Вводные'!$B$9,0)</x:f>
        <x:v>0</x:v>
      </x:c>
      <x:c r="F27" s="38" t="n">
        <x:f>'Операционные расходы'!$C$10</x:f>
        <x:v>1016500</x:v>
      </x:c>
      <x:c r="G27" s="38" t="n">
        <x:f>('План продаж'!G19+'План продаж'!G20+'План продаж'!G21)*'Вводные'!$B$32/(1+'Вводные'!$B$32)/3</x:f>
        <x:v>179358.73015873015</x:v>
      </x:c>
      <x:c r="H27" s="38" t="n">
        <x:f>0</x:f>
        <x:v>0</x:v>
      </x:c>
      <x:c r="I27" s="38" t="n">
        <x:f>'Долг'!E25</x:f>
        <x:v>98958.33333333344</x:v>
      </x:c>
      <x:c r="J27" s="38" t="n">
        <x:f>'Долг'!D25</x:f>
        <x:v>416666.6666666667</x:v>
      </x:c>
      <x:c r="K27" s="38" t="n">
        <x:f>'Склад и закупки'!E26*('Вводные'!$B$22*(1+'Вводные'!$B$26))*30%</x:f>
        <x:v>409500</x:v>
      </x:c>
      <x:c r="L27" s="38" t="n">
        <x:f>'Склад и закупки'!E25*(('Вводные'!$B$22*(1+'Вводные'!$B$26))*70%+('Вводные'!$B$23*(1+'Вводные'!$B$26)))</x:f>
        <x:v>1270500</x:v>
      </x:c>
      <x:c r="M27" s="38" t="n">
        <x:f>'Склад и закупки'!E24*('Вводные'!$B$24*(1+'Вводные'!$B$26))</x:f>
        <x:v>535294.212978</x:v>
      </x:c>
      <x:c r="N27" s="38" t="n">
        <x:f>'План продаж'!D24*('Вводные'!$B$27*(1+'Вводные'!$B$28))</x:f>
        <x:v>464664.9000000001</x:v>
      </x:c>
      <x:c r="O27" s="38" t="n">
        <x:f>B27+C27-SUM(E27:M27)</x:f>
        <x:v>4492136.989463429</x:v>
      </x:c>
      <x:c r="P27" s="38" t="n">
        <x:f>O27+D27-N27</x:f>
        <x:v>8281072.0894634295</x:v>
      </x:c>
      <x:c r="Q27" s="38" t="n">
        <x:f>'Склад и закупки'!F24</x:f>
        <x:v>209</x:v>
      </x:c>
    </x:row>
    <x:row r="28">
      <x:c r="A28" s="54" t="n">
        <x:v>47027</x:v>
      </x:c>
      <x:c r="B28" s="38" t="n">
        <x:f>P27</x:f>
        <x:v>8281072.0894634295</x:v>
      </x:c>
      <x:c r="C28" s="38" t="n">
        <x:f>IF(A28=DATE(2026,11,1),'Вводные'!$B$5,0)</x:f>
        <x:v>0</x:v>
      </x:c>
      <x:c r="D28" s="38" t="n">
        <x:f>'План продаж'!G25</x:f>
        <x:v>3645200</x:v>
      </x:c>
      <x:c r="E28" s="38" t="n">
        <x:f>IF(A28=DATE(2026,11,1),'Вводные'!$B$9,0)</x:f>
        <x:v>0</x:v>
      </x:c>
      <x:c r="F28" s="38" t="n">
        <x:f>'Операционные расходы'!$C$10</x:f>
        <x:v>1016500</x:v>
      </x:c>
      <x:c r="G28" s="38" t="n">
        <x:f>('План продаж'!G22+'План продаж'!G23+'План продаж'!G24)*'Вводные'!$B$32/(1+'Вводные'!$B$32)/3</x:f>
        <x:v>194793.65079365077</x:v>
      </x:c>
      <x:c r="H28" s="38" t="n">
        <x:f>(('План продаж'!G22+'План продаж'!G23+'План продаж'!G24)/(1+'Вводные'!$B$32))*'Вводные'!$B$31</x:f>
        <x:v>701257.1428571427</x:v>
      </x:c>
      <x:c r="I28" s="38" t="n">
        <x:f>'Долг'!E26</x:f>
        <x:v>92361.11111111123</x:v>
      </x:c>
      <x:c r="J28" s="38" t="n">
        <x:f>'Долг'!D26</x:f>
        <x:v>416666.6666666667</x:v>
      </x:c>
      <x:c r="K28" s="38" t="n">
        <x:f>'Склад и закупки'!E27*('Вводные'!$B$22*(1+'Вводные'!$B$26))*30%</x:f>
        <x:v>0</x:v>
      </x:c>
      <x:c r="L28" s="38" t="n">
        <x:f>'Склад и закупки'!E26*(('Вводные'!$B$22*(1+'Вводные'!$B$26))*70%+('Вводные'!$B$23*(1+'Вводные'!$B$26)))</x:f>
        <x:v>1270500</x:v>
      </x:c>
      <x:c r="M28" s="38" t="n">
        <x:f>'Склад и закупки'!E25*('Вводные'!$B$24*(1+'Вводные'!$B$26))</x:f>
        <x:v>535294.212978</x:v>
      </x:c>
      <x:c r="N28" s="38" t="n">
        <x:f>'План продаж'!D25*('Вводные'!$B$27*(1+'Вводные'!$B$28))</x:f>
        <x:v>398203.05000000005</x:v>
      </x:c>
      <x:c r="O28" s="38" t="n">
        <x:f>B28+C28-SUM(E28:M28)</x:f>
        <x:v>4053699.305056858</x:v>
      </x:c>
      <x:c r="P28" s="38" t="n">
        <x:f>O28+D28-N28</x:f>
        <x:v>7300696.255056858</x:v>
      </x:c>
      <x:c r="Q28" s="38" t="n">
        <x:f>'Склад и закупки'!F25</x:f>
        <x:v>508</x:v>
      </x:c>
    </x:row>
    <x:row r="29">
      <x:c r="A29" s="54" t="n">
        <x:v>47058</x:v>
      </x:c>
      <x:c r="B29" s="38" t="n">
        <x:f>P28</x:f>
        <x:v>7300696.255056858</x:v>
      </x:c>
      <x:c r="C29" s="38" t="n">
        <x:f>IF(A29=DATE(2026,11,1),'Вводные'!$B$5,0)</x:f>
        <x:v>0</x:v>
      </x:c>
      <x:c r="D29" s="38" t="n">
        <x:f>'План продаж'!G26</x:f>
        <x:v>3525600</x:v>
      </x:c>
      <x:c r="E29" s="38" t="n">
        <x:f>IF(A29=DATE(2026,11,1),'Вводные'!$B$9,0)</x:f>
        <x:v>0</x:v>
      </x:c>
      <x:c r="F29" s="38" t="n">
        <x:f>'Операционные расходы'!$C$10</x:f>
        <x:v>1016500</x:v>
      </x:c>
      <x:c r="G29" s="38" t="n">
        <x:f>('План продаж'!G22+'План продаж'!G23+'План продаж'!G24)*'Вводные'!$B$32/(1+'Вводные'!$B$32)/3</x:f>
        <x:v>194793.65079365077</x:v>
      </x:c>
      <x:c r="H29" s="38" t="n">
        <x:f>0</x:f>
        <x:v>0</x:v>
      </x:c>
      <x:c r="I29" s="38" t="n">
        <x:f>'Долг'!E27</x:f>
        <x:v>85763.888888889</x:v>
      </x:c>
      <x:c r="J29" s="38" t="n">
        <x:f>'Долг'!D27</x:f>
        <x:v>416666.6666666667</x:v>
      </x:c>
      <x:c r="K29" s="38" t="n">
        <x:f>'Склад и закупки'!E28*('Вводные'!$B$22*(1+'Вводные'!$B$26)^2)*30%</x:f>
        <x:v>429975</x:v>
      </x:c>
      <x:c r="L29" s="38" t="n">
        <x:f>'Склад и закупки'!E27*(('Вводные'!$B$22*(1+'Вводные'!$B$26))*70%+('Вводные'!$B$23*(1+'Вводные'!$B$26)))</x:f>
        <x:v>0</x:v>
      </x:c>
      <x:c r="M29" s="38" t="n">
        <x:f>'Склад и закупки'!E26*('Вводные'!$B$24*(1+'Вводные'!$B$26))</x:f>
        <x:v>535294.212978</x:v>
      </x:c>
      <x:c r="N29" s="38" t="n">
        <x:f>'План продаж'!D26*('Вводные'!$B$27*(1+'Вводные'!$B$28))</x:f>
        <x:v>385137.9</x:v>
      </x:c>
      <x:c r="O29" s="38" t="n">
        <x:f>B29+C29-SUM(E29:M29)</x:f>
        <x:v>4621702.835729652</x:v>
      </x:c>
      <x:c r="P29" s="38" t="n">
        <x:f>O29+D29-N29</x:f>
        <x:v>7762164.935729652</x:v>
      </x:c>
      <x:c r="Q29" s="38" t="n">
        <x:f>'Склад и закупки'!F26</x:f>
        <x:v>830</x:v>
      </x:c>
    </x:row>
    <x:row r="30">
      <x:c r="A30" s="54" t="n">
        <x:v>47088</x:v>
      </x:c>
      <x:c r="B30" s="38" t="n">
        <x:f>P29</x:f>
        <x:v>7762164.935729652</x:v>
      </x:c>
      <x:c r="C30" s="38" t="n">
        <x:f>IF(A30=DATE(2026,11,1),'Вводные'!$B$5,0)</x:f>
        <x:v>0</x:v>
      </x:c>
      <x:c r="D30" s="38" t="n">
        <x:f>'План продаж'!G27</x:f>
        <x:v>3400800</x:v>
      </x:c>
      <x:c r="E30" s="38" t="n">
        <x:f>IF(A30=DATE(2026,11,1),'Вводные'!$B$9,0)</x:f>
        <x:v>0</x:v>
      </x:c>
      <x:c r="F30" s="38" t="n">
        <x:f>'Операционные расходы'!$C$10</x:f>
        <x:v>1016500</x:v>
      </x:c>
      <x:c r="G30" s="38" t="n">
        <x:f>('План продаж'!G22+'План продаж'!G23+'План продаж'!G24)*'Вводные'!$B$32/(1+'Вводные'!$B$32)/3</x:f>
        <x:v>194793.65079365077</x:v>
      </x:c>
      <x:c r="H30" s="38" t="n">
        <x:f>0</x:f>
        <x:v>0</x:v>
      </x:c>
      <x:c r="I30" s="38" t="n">
        <x:f>'Долг'!E28</x:f>
        <x:v>79166.66666666677</x:v>
      </x:c>
      <x:c r="J30" s="38" t="n">
        <x:f>'Долг'!D28</x:f>
        <x:v>416666.6666666667</x:v>
      </x:c>
      <x:c r="K30" s="38" t="n">
        <x:f>'Склад и закупки'!E29*('Вводные'!$B$22*(1+'Вводные'!$B$26)^2)*30%</x:f>
        <x:v>0</x:v>
      </x:c>
      <x:c r="L30" s="38" t="n">
        <x:f>'Склад и закупки'!E28*(('Вводные'!$B$22*(1+'Вводные'!$B$26)^2)*70%+('Вводные'!$B$23*(1+'Вводные'!$B$26)^2))</x:f>
        <x:v>1334025</x:v>
      </x:c>
      <x:c r="M30" s="38" t="n">
        <x:f>'Склад и закупки'!E27*('Вводные'!$B$24*(1+'Вводные'!$B$26))</x:f>
        <x:v>0</x:v>
      </x:c>
      <x:c r="N30" s="38" t="n">
        <x:f>'План продаж'!D27*('Вводные'!$B$27*(1+'Вводные'!$B$28))</x:f>
        <x:v>371504.70000000007</x:v>
      </x:c>
      <x:c r="O30" s="38" t="n">
        <x:f>B30+C30-SUM(E30:M30)</x:f>
        <x:v>4721012.951602668</x:v>
      </x:c>
      <x:c r="P30" s="38" t="n">
        <x:f>O30+D30-N30</x:f>
        <x:v>7750308.251602667</x:v>
      </x:c>
      <x:c r="Q30" s="38" t="n">
        <x:f>'Склад и закупки'!F27</x:f>
        <x:v>176</x:v>
      </x:c>
    </x:row>
    <x:row r="31">
      <x:c r="A31" s="54" t="n">
        <x:v>47119</x:v>
      </x:c>
      <x:c r="B31" s="38" t="n">
        <x:f>P30</x:f>
        <x:v>7750308.251602667</x:v>
      </x:c>
      <x:c r="C31" s="38" t="n">
        <x:f>IF(A31=DATE(2026,11,1),'Вводные'!$B$5,0)</x:f>
        <x:v>0</x:v>
      </x:c>
      <x:c r="D31" s="38" t="n">
        <x:f>'План продаж'!G28</x:f>
        <x:v>2672800</x:v>
      </x:c>
      <x:c r="E31" s="38" t="n">
        <x:f>IF(A31=DATE(2026,11,1),'Вводные'!$B$9,0)</x:f>
        <x:v>0</x:v>
      </x:c>
      <x:c r="F31" s="38" t="n">
        <x:f>'Операционные расходы'!$D$10</x:f>
        <x:v>1087655</x:v>
      </x:c>
      <x:c r="G31" s="38" t="n">
        <x:f>('План продаж'!G25+'План продаж'!G26+'План продаж'!G27)*'Вводные'!$B$32/(1+'Вводные'!$B$32)/3</x:f>
        <x:v>167803.1746031746</x:v>
      </x:c>
      <x:c r="H31" s="38" t="n">
        <x:f>0</x:f>
        <x:v>0</x:v>
      </x:c>
      <x:c r="I31" s="38" t="n">
        <x:f>'Долг'!E29</x:f>
        <x:v>72569.44444444454</x:v>
      </x:c>
      <x:c r="J31" s="38" t="n">
        <x:f>'Долг'!D29</x:f>
        <x:v>416666.6666666667</x:v>
      </x:c>
      <x:c r="K31" s="38" t="n">
        <x:f>'Склад и закупки'!E30*('Вводные'!$B$22*(1+'Вводные'!$B$26)^2)*30%</x:f>
        <x:v>429975</x:v>
      </x:c>
      <x:c r="L31" s="38" t="n">
        <x:f>'Склад и закупки'!E29*(('Вводные'!$B$22*(1+'Вводные'!$B$26)^2)*70%+('Вводные'!$B$23*(1+'Вводные'!$B$26)^2))</x:f>
        <x:v>0</x:v>
      </x:c>
      <x:c r="M31" s="38" t="n">
        <x:f>'Склад и закупки'!E28*('Вводные'!$B$24*(1+'Вводные'!$B$26)^2)</x:f>
        <x:v>562058.9236269</x:v>
      </x:c>
      <x:c r="N31" s="38" t="n">
        <x:f>'План продаж'!D28*('Вводные'!$B$27*(1+'Вводные'!$B$28)^2)</x:f>
        <x:v>306576.585</x:v>
      </x:c>
      <x:c r="O31" s="38" t="n">
        <x:f>B31+C31-SUM(E31:M31)</x:f>
        <x:v>5013580.042261481</x:v>
      </x:c>
      <x:c r="P31" s="38" t="n">
        <x:f>O31+D31-N31</x:f>
        <x:v>7379803.457261481</x:v>
      </x:c>
      <x:c r="Q31" s="38" t="n">
        <x:f>'Склад и закупки'!F28</x:f>
        <x:v>662</x:v>
      </x:c>
    </x:row>
    <x:row r="32">
      <x:c r="A32" s="54" t="n">
        <x:v>47150</x:v>
      </x:c>
      <x:c r="B32" s="38" t="n">
        <x:f>P31</x:f>
        <x:v>7379803.457261481</x:v>
      </x:c>
      <x:c r="C32" s="38" t="n">
        <x:f>IF(A32=DATE(2026,11,1),'Вводные'!$B$5,0)</x:f>
        <x:v>0</x:v>
      </x:c>
      <x:c r="D32" s="38" t="n">
        <x:f>'План продаж'!G29</x:f>
        <x:v>2917200</x:v>
      </x:c>
      <x:c r="E32" s="38" t="n">
        <x:f>IF(A32=DATE(2026,11,1),'Вводные'!$B$9,0)</x:f>
        <x:v>0</x:v>
      </x:c>
      <x:c r="F32" s="38" t="n">
        <x:f>'Операционные расходы'!$D$10</x:f>
        <x:v>1087655</x:v>
      </x:c>
      <x:c r="G32" s="38" t="n">
        <x:f>('План продаж'!G25+'План продаж'!G26+'План продаж'!G27)*'Вводные'!$B$32/(1+'Вводные'!$B$32)/3</x:f>
        <x:v>167803.1746031746</x:v>
      </x:c>
      <x:c r="H32" s="38" t="n">
        <x:f>0</x:f>
        <x:v>0</x:v>
      </x:c>
      <x:c r="I32" s="38" t="n">
        <x:f>'Долг'!E30</x:f>
        <x:v>65972.22222222232</x:v>
      </x:c>
      <x:c r="J32" s="38" t="n">
        <x:f>'Долг'!D30</x:f>
        <x:v>416666.6666666667</x:v>
      </x:c>
      <x:c r="K32" s="38" t="n">
        <x:f>'Склад и закупки'!E31*('Вводные'!$B$22*(1+'Вводные'!$B$26)^2)*30%</x:f>
        <x:v>429975</x:v>
      </x:c>
      <x:c r="L32" s="38" t="n">
        <x:f>'Склад и закупки'!E30*(('Вводные'!$B$22*(1+'Вводные'!$B$26)^2)*70%+('Вводные'!$B$23*(1+'Вводные'!$B$26)^2))</x:f>
        <x:v>1334025</x:v>
      </x:c>
      <x:c r="M32" s="38" t="n">
        <x:f>'Склад и закупки'!E29*('Вводные'!$B$24*(1+'Вводные'!$B$26)^2)</x:f>
        <x:v>0</x:v>
      </x:c>
      <x:c r="N32" s="38" t="n">
        <x:f>'План продаж'!D29*('Вводные'!$B$27*(1+'Вводные'!$B$28)^2)</x:f>
        <x:v>334609.8525</x:v>
      </x:c>
      <x:c r="O32" s="38" t="n">
        <x:f>B32+C32-SUM(E32:M32)</x:f>
        <x:v>3877706.393769418</x:v>
      </x:c>
      <x:c r="P32" s="38" t="n">
        <x:f>O32+D32-N32</x:f>
        <x:v>6460296.541269418</x:v>
      </x:c>
      <x:c r="Q32" s="38" t="n">
        <x:f>'Склад и закупки'!F29</x:f>
        <x:v>101</x:v>
      </x:c>
    </x:row>
    <x:row r="33">
      <x:c r="A33" s="54" t="n">
        <x:v>47178</x:v>
      </x:c>
      <x:c r="B33" s="38" t="n">
        <x:f>P32</x:f>
        <x:v>6460296.541269418</x:v>
      </x:c>
      <x:c r="C33" s="38" t="n">
        <x:f>IF(A33=DATE(2026,11,1),'Вводные'!$B$5,0)</x:f>
        <x:v>0</x:v>
      </x:c>
      <x:c r="D33" s="38" t="n">
        <x:f>'План продаж'!G30</x:f>
        <x:v>4009200</x:v>
      </x:c>
      <x:c r="E33" s="38" t="n">
        <x:f>IF(A33=DATE(2026,11,1),'Вводные'!$B$9,0)</x:f>
        <x:v>0</x:v>
      </x:c>
      <x:c r="F33" s="38" t="n">
        <x:f>'Операционные расходы'!$D$10</x:f>
        <x:v>1087655</x:v>
      </x:c>
      <x:c r="G33" s="38" t="n">
        <x:f>('План продаж'!G25+'План продаж'!G26+'План продаж'!G27)*'Вводные'!$B$32/(1+'Вводные'!$B$32)/3</x:f>
        <x:v>167803.1746031746</x:v>
      </x:c>
      <x:c r="H33" s="38" t="n">
        <x:f>0</x:f>
        <x:v>0</x:v>
      </x:c>
      <x:c r="I33" s="38" t="n">
        <x:f>'Долг'!E31</x:f>
        <x:v>59375.00000000011</x:v>
      </x:c>
      <x:c r="J33" s="38" t="n">
        <x:f>'Долг'!D31</x:f>
        <x:v>416666.6666666667</x:v>
      </x:c>
      <x:c r="K33" s="38" t="n">
        <x:f>'Склад и закупки'!E32*('Вводные'!$B$22*(1+'Вводные'!$B$26)^2)*30%</x:f>
        <x:v>429975</x:v>
      </x:c>
      <x:c r="L33" s="38" t="n">
        <x:f>'Склад и закупки'!E31*(('Вводные'!$B$22*(1+'Вводные'!$B$26)^2)*70%+('Вводные'!$B$23*(1+'Вводные'!$B$26)^2))</x:f>
        <x:v>1334025</x:v>
      </x:c>
      <x:c r="M33" s="38" t="n">
        <x:f>'Склад и закупки'!E30*('Вводные'!$B$24*(1+'Вводные'!$B$26)^2)</x:f>
        <x:v>562058.9236269</x:v>
      </x:c>
      <x:c r="N33" s="38" t="n">
        <x:f>'План продаж'!D30*('Вводные'!$B$27*(1+'Вводные'!$B$28)^2)</x:f>
        <x:v>459864.8775</x:v>
      </x:c>
      <x:c r="O33" s="38" t="n">
        <x:f>B33+C33-SUM(E33:M33)</x:f>
        <x:v>2402737.7763726767</x:v>
      </x:c>
      <x:c r="P33" s="38" t="n">
        <x:f>O33+D33-N33</x:f>
        <x:v>5952072.898872676</x:v>
      </x:c>
      <x:c r="Q33" s="38" t="n">
        <x:f>'Склад и закупки'!F30</x:f>
        <x:v>330</x:v>
      </x:c>
    </x:row>
    <x:row r="34">
      <x:c r="A34" s="54" t="n">
        <x:v>47209</x:v>
      </x:c>
      <x:c r="B34" s="38" t="n">
        <x:f>P33</x:f>
        <x:v>5952072.898872676</x:v>
      </x:c>
      <x:c r="C34" s="38" t="n">
        <x:f>IF(A34=DATE(2026,11,1),'Вводные'!$B$5,0)</x:f>
        <x:v>0</x:v>
      </x:c>
      <x:c r="D34" s="38" t="n">
        <x:f>'План продаж'!G31</x:f>
        <x:v>4373200</x:v>
      </x:c>
      <x:c r="E34" s="38" t="n">
        <x:f>IF(A34=DATE(2026,11,1),'Вводные'!$B$9,0)</x:f>
        <x:v>0</x:v>
      </x:c>
      <x:c r="F34" s="38" t="n">
        <x:f>'Операционные расходы'!$D$10</x:f>
        <x:v>1087655</x:v>
      </x:c>
      <x:c r="G34" s="38" t="n">
        <x:f>('План продаж'!G28+'План продаж'!G29+'План продаж'!G30)*'Вводные'!$B$32/(1+'Вводные'!$B$32)/3</x:f>
        <x:v>152368.25396825396</x:v>
      </x:c>
      <x:c r="H34" s="38" t="n">
        <x:f>(('План продаж'!G25+'План продаж'!G26+'План продаж'!G27)/(1+'Вводные'!$B$32))*'Вводные'!$B$31+(('План продаж'!G28+'План продаж'!G29+'План продаж'!G30)/(1+'Вводные'!$B$32))*'Вводные'!$B$31</x:f>
        <x:v>1152617.1428571427</x:v>
      </x:c>
      <x:c r="I34" s="38" t="n">
        <x:f>'Долг'!E32</x:f>
        <x:v>52777.77777777789</x:v>
      </x:c>
      <x:c r="J34" s="38" t="n">
        <x:f>'Долг'!D32</x:f>
        <x:v>416666.6666666667</x:v>
      </x:c>
      <x:c r="K34" s="38" t="n">
        <x:f>'Склад и закупки'!E33*('Вводные'!$B$22*(1+'Вводные'!$B$26)^2)*30%</x:f>
        <x:v>0</x:v>
      </x:c>
      <x:c r="L34" s="38" t="n">
        <x:f>'Склад и закупки'!E32*(('Вводные'!$B$22*(1+'Вводные'!$B$26)^2)*70%+('Вводные'!$B$23*(1+'Вводные'!$B$26)^2))</x:f>
        <x:v>1334025</x:v>
      </x:c>
      <x:c r="M34" s="38" t="n">
        <x:f>'Склад и закупки'!E31*('Вводные'!$B$24*(1+'Вводные'!$B$26)^2)</x:f>
        <x:v>562058.9236269</x:v>
      </x:c>
      <x:c r="N34" s="38" t="n">
        <x:f>'План продаж'!D31*('Вводные'!$B$27*(1+'Вводные'!$B$28)^2)</x:f>
        <x:v>501616.5525</x:v>
      </x:c>
      <x:c r="O34" s="38" t="n">
        <x:f>B34+C34-SUM(E34:M34)</x:f>
        <x:v>1193904.1339759352</x:v>
      </x:c>
      <x:c r="P34" s="38" t="n">
        <x:f>O34+D34-N34</x:f>
        <x:v>5065487.581475935</x:v>
      </x:c>
      <x:c r="Q34" s="38" t="n">
        <x:f>'Склад и закупки'!F31</x:f>
        <x:v>489</x:v>
      </x:c>
    </x:row>
    <x:row r="35">
      <x:c r="A35" s="54" t="n">
        <x:v>47239</x:v>
      </x:c>
      <x:c r="B35" s="38" t="n">
        <x:f>P34</x:f>
        <x:v>5065487.581475935</x:v>
      </x:c>
      <x:c r="C35" s="38" t="n">
        <x:f>IF(A35=DATE(2026,11,1),'Вводные'!$B$5,0)</x:f>
        <x:v>0</x:v>
      </x:c>
      <x:c r="D35" s="38" t="n">
        <x:f>'План продаж'!G32</x:f>
        <x:v>3525600</x:v>
      </x:c>
      <x:c r="E35" s="38" t="n">
        <x:f>IF(A35=DATE(2026,11,1),'Вводные'!$B$9,0)</x:f>
        <x:v>0</x:v>
      </x:c>
      <x:c r="F35" s="38" t="n">
        <x:f>'Операционные расходы'!$D$10</x:f>
        <x:v>1087655</x:v>
      </x:c>
      <x:c r="G35" s="38" t="n">
        <x:f>('План продаж'!G28+'План продаж'!G29+'План продаж'!G30)*'Вводные'!$B$32/(1+'Вводные'!$B$32)/3</x:f>
        <x:v>152368.25396825396</x:v>
      </x:c>
      <x:c r="H35" s="38" t="n">
        <x:f>0</x:f>
        <x:v>0</x:v>
      </x:c>
      <x:c r="I35" s="38" t="n">
        <x:f>'Долг'!E33</x:f>
        <x:v>46180.55555555567</x:v>
      </x:c>
      <x:c r="J35" s="38" t="n">
        <x:f>'Долг'!D33</x:f>
        <x:v>416666.6666666667</x:v>
      </x:c>
      <x:c r="K35" s="38" t="n">
        <x:f>'Склад и закупки'!E34*('Вводные'!$B$22*(1+'Вводные'!$B$26)^2)*30%</x:f>
        <x:v>429975</x:v>
      </x:c>
      <x:c r="L35" s="38" t="n">
        <x:f>'Склад и закупки'!E33*(('Вводные'!$B$22*(1+'Вводные'!$B$26)^2)*70%+('Вводные'!$B$23*(1+'Вводные'!$B$26)^2))</x:f>
        <x:v>0</x:v>
      </x:c>
      <x:c r="M35" s="38" t="n">
        <x:f>'Склад и закупки'!E32*('Вводные'!$B$24*(1+'Вводные'!$B$26)^2)</x:f>
        <x:v>562058.9236269</x:v>
      </x:c>
      <x:c r="N35" s="38" t="n">
        <x:f>'План продаж'!D32*('Вводные'!$B$27*(1+'Вводные'!$B$28)^2)</x:f>
        <x:v>404394.795</x:v>
      </x:c>
      <x:c r="O35" s="38" t="n">
        <x:f>B35+C35-SUM(E35:M35)</x:f>
        <x:v>2370583.1816585585</x:v>
      </x:c>
      <x:c r="P35" s="38" t="n">
        <x:f>O35+D35-N35</x:f>
        <x:v>5491788.386658559</x:v>
      </x:c>
      <x:c r="Q35" s="38" t="n">
        <x:f>'Склад и закупки'!F32</x:f>
        <x:v>811</x:v>
      </x:c>
    </x:row>
    <x:row r="36">
      <x:c r="A36" s="54" t="n">
        <x:v>47270</x:v>
      </x:c>
      <x:c r="B36" s="38" t="n">
        <x:f>P35</x:f>
        <x:v>5491788.386658559</x:v>
      </x:c>
      <x:c r="C36" s="38" t="n">
        <x:f>IF(A36=DATE(2026,11,1),'Вводные'!$B$5,0)</x:f>
        <x:v>0</x:v>
      </x:c>
      <x:c r="D36" s="38" t="n">
        <x:f>'План продаж'!G33</x:f>
        <x:v>3400800</x:v>
      </x:c>
      <x:c r="E36" s="38" t="n">
        <x:f>IF(A36=DATE(2026,11,1),'Вводные'!$B$9,0)</x:f>
        <x:v>0</x:v>
      </x:c>
      <x:c r="F36" s="38" t="n">
        <x:f>'Операционные расходы'!$D$10</x:f>
        <x:v>1087655</x:v>
      </x:c>
      <x:c r="G36" s="38" t="n">
        <x:f>('План продаж'!G28+'План продаж'!G29+'План продаж'!G30)*'Вводные'!$B$32/(1+'Вводные'!$B$32)/3</x:f>
        <x:v>152368.25396825396</x:v>
      </x:c>
      <x:c r="H36" s="38" t="n">
        <x:f>0</x:f>
        <x:v>0</x:v>
      </x:c>
      <x:c r="I36" s="38" t="n">
        <x:f>'Долг'!E34</x:f>
        <x:v>39583.333333333445</x:v>
      </x:c>
      <x:c r="J36" s="38" t="n">
        <x:f>'Долг'!D34</x:f>
        <x:v>416666.6666666667</x:v>
      </x:c>
      <x:c r="K36" s="38" t="n">
        <x:f>'Склад и закупки'!E35*('Вводные'!$B$22*(1+'Вводные'!$B$26)^2)*30%</x:f>
        <x:v>429975</x:v>
      </x:c>
      <x:c r="L36" s="38" t="n">
        <x:f>'Склад и закупки'!E34*(('Вводные'!$B$22*(1+'Вводные'!$B$26)^2)*70%+('Вводные'!$B$23*(1+'Вводные'!$B$26)^2))</x:f>
        <x:v>1334025</x:v>
      </x:c>
      <x:c r="M36" s="38" t="n">
        <x:f>'Склад и закупки'!E33*('Вводные'!$B$24*(1+'Вводные'!$B$26)^2)</x:f>
        <x:v>0</x:v>
      </x:c>
      <x:c r="N36" s="38" t="n">
        <x:f>'План продаж'!D33*('Вводные'!$B$27*(1+'Вводные'!$B$28)^2)</x:f>
        <x:v>390079.935</x:v>
      </x:c>
      <x:c r="O36" s="38" t="n">
        <x:f>B36+C36-SUM(E36:M36)</x:f>
        <x:v>2031515.1326903044</x:v>
      </x:c>
      <x:c r="P36" s="38" t="n">
        <x:f>O36+D36-N36</x:f>
        <x:v>5042235.197690305</x:v>
      </x:c>
      <x:c r="Q36" s="38" t="n">
        <x:f>'Склад и закупки'!F33</x:f>
        <x:v>157</x:v>
      </x:c>
    </x:row>
    <x:row r="37">
      <x:c r="A37" s="54" t="n">
        <x:v>47300</x:v>
      </x:c>
      <x:c r="B37" s="38" t="n">
        <x:f>P36</x:f>
        <x:v>5042235.197690305</x:v>
      </x:c>
      <x:c r="C37" s="38" t="n">
        <x:f>IF(A37=DATE(2026,11,1),'Вводные'!$B$5,0)</x:f>
        <x:v>0</x:v>
      </x:c>
      <x:c r="D37" s="38" t="n">
        <x:f>'План продаж'!G34</x:f>
        <x:v>3645200</x:v>
      </x:c>
      <x:c r="E37" s="38" t="n">
        <x:f>IF(A37=DATE(2026,11,1),'Вводные'!$B$9,0)</x:f>
        <x:v>0</x:v>
      </x:c>
      <x:c r="F37" s="38" t="n">
        <x:f>'Операционные расходы'!$D$10</x:f>
        <x:v>1087655</x:v>
      </x:c>
      <x:c r="G37" s="38" t="n">
        <x:f>('План продаж'!G31+'План продаж'!G32+'План продаж'!G33)*'Вводные'!$B$32/(1+'Вводные'!$B$32)/3</x:f>
        <x:v>179358.73015873015</x:v>
      </x:c>
      <x:c r="H37" s="38" t="n">
        <x:f>(('План продаж'!G31+'План продаж'!G32+'План продаж'!G33)/(1+'Вводные'!$B$32))*'Вводные'!$B$31</x:f>
        <x:v>645691.4285714285</x:v>
      </x:c>
      <x:c r="I37" s="38" t="n">
        <x:f>'Долг'!E35</x:f>
        <x:v>32986.11111111122</x:v>
      </x:c>
      <x:c r="J37" s="38" t="n">
        <x:f>'Долг'!D35</x:f>
        <x:v>416666.6666666667</x:v>
      </x:c>
      <x:c r="K37" s="38" t="n">
        <x:f>'Склад и закупки'!E36*('Вводные'!$B$22*(1+'Вводные'!$B$26)^2)*30%</x:f>
        <x:v>429975</x:v>
      </x:c>
      <x:c r="L37" s="38" t="n">
        <x:f>'Склад и закупки'!E35*(('Вводные'!$B$22*(1+'Вводные'!$B$26)^2)*70%+('Вводные'!$B$23*(1+'Вводные'!$B$26)^2))</x:f>
        <x:v>1334025</x:v>
      </x:c>
      <x:c r="M37" s="38" t="n">
        <x:f>'Склад и закупки'!E34*('Вводные'!$B$24*(1+'Вводные'!$B$26)^2)</x:f>
        <x:v>562058.9236269</x:v>
      </x:c>
      <x:c r="N37" s="38" t="n">
        <x:f>'План продаж'!D34*('Вводные'!$B$27*(1+'Вводные'!$B$28)^2)</x:f>
        <x:v>418113.2025</x:v>
      </x:c>
      <x:c r="O37" s="38" t="n">
        <x:f>B37+C37-SUM(E37:M37)</x:f>
        <x:v>353818.337555469</x:v>
      </x:c>
      <x:c r="P37" s="38" t="n">
        <x:f>O37+D37-N37</x:f>
        <x:v>3580905.135055469</x:v>
      </x:c>
      <x:c r="Q37" s="38" t="n">
        <x:f>'Склад и закупки'!F34</x:f>
        <x:v>456</x:v>
      </x:c>
    </x:row>
    <x:row r="38">
      <x:c r="A38" s="54" t="n">
        <x:v>47331</x:v>
      </x:c>
      <x:c r="B38" s="38" t="n">
        <x:f>P37</x:f>
        <x:v>3580905.135055469</x:v>
      </x:c>
      <x:c r="C38" s="38" t="n">
        <x:f>IF(A38=DATE(2026,11,1),'Вводные'!$B$5,0)</x:f>
        <x:v>0</x:v>
      </x:c>
      <x:c r="D38" s="38" t="n">
        <x:f>'План продаж'!G35</x:f>
        <x:v>4373200</x:v>
      </x:c>
      <x:c r="E38" s="38" t="n">
        <x:f>IF(A38=DATE(2026,11,1),'Вводные'!$B$9,0)</x:f>
        <x:v>0</x:v>
      </x:c>
      <x:c r="F38" s="38" t="n">
        <x:f>'Операционные расходы'!$D$10</x:f>
        <x:v>1087655</x:v>
      </x:c>
      <x:c r="G38" s="38" t="n">
        <x:f>('План продаж'!G31+'План продаж'!G32+'План продаж'!G33)*'Вводные'!$B$32/(1+'Вводные'!$B$32)/3</x:f>
        <x:v>179358.73015873015</x:v>
      </x:c>
      <x:c r="H38" s="38" t="n">
        <x:f>0</x:f>
        <x:v>0</x:v>
      </x:c>
      <x:c r="I38" s="38" t="n">
        <x:f>'Долг'!E36</x:f>
        <x:v>26388.888888888996</x:v>
      </x:c>
      <x:c r="J38" s="38" t="n">
        <x:f>'Долг'!D36</x:f>
        <x:v>416666.6666666667</x:v>
      </x:c>
      <x:c r="K38" s="38" t="n">
        <x:f>'Склад и закупки'!E37*('Вводные'!$B$22*(1+'Вводные'!$B$26)^2)*30%</x:f>
        <x:v>0</x:v>
      </x:c>
      <x:c r="L38" s="38" t="n">
        <x:f>'Склад и закупки'!E36*(('Вводные'!$B$22*(1+'Вводные'!$B$26)^2)*70%+('Вводные'!$B$23*(1+'Вводные'!$B$26)^2))</x:f>
        <x:v>1334025</x:v>
      </x:c>
      <x:c r="M38" s="38" t="n">
        <x:f>'Склад и закупки'!E35*('Вводные'!$B$24*(1+'Вводные'!$B$26)^2)</x:f>
        <x:v>562058.9236269</x:v>
      </x:c>
      <x:c r="N38" s="38" t="n">
        <x:f>'План продаж'!D35*('Вводные'!$B$27*(1+'Вводные'!$B$28)^2)</x:f>
        <x:v>501616.5525</x:v>
      </x:c>
      <x:c r="O38" s="38" t="n">
        <x:f>B38+C38-SUM(E38:M38)</x:f>
        <x:v>-25248.074285717215</x:v>
      </x:c>
      <x:c r="P38" s="38" t="n">
        <x:f>O38+D38-N38</x:f>
        <x:v>3846335.373214282</x:v>
      </x:c>
      <x:c r="Q38" s="38" t="n">
        <x:f>'Склад и закупки'!F35</x:f>
        <x:v>615</x:v>
      </x:c>
    </x:row>
    <x:row r="39">
      <x:c r="A39" s="54" t="n">
        <x:v>47362</x:v>
      </x:c>
      <x:c r="B39" s="38" t="n">
        <x:f>P38</x:f>
        <x:v>3846335.373214282</x:v>
      </x:c>
      <x:c r="C39" s="38" t="n">
        <x:f>IF(A39=DATE(2026,11,1),'Вводные'!$B$5,0)</x:f>
        <x:v>0</x:v>
      </x:c>
      <x:c r="D39" s="38" t="n">
        <x:f>'План продаж'!G36</x:f>
        <x:v>4253600</x:v>
      </x:c>
      <x:c r="E39" s="38" t="n">
        <x:f>IF(A39=DATE(2026,11,1),'Вводные'!$B$9,0)</x:f>
        <x:v>0</x:v>
      </x:c>
      <x:c r="F39" s="38" t="n">
        <x:f>'Операционные расходы'!$D$10</x:f>
        <x:v>1087655</x:v>
      </x:c>
      <x:c r="G39" s="38" t="n">
        <x:f>('План продаж'!G31+'План продаж'!G32+'План продаж'!G33)*'Вводные'!$B$32/(1+'Вводные'!$B$32)/3</x:f>
        <x:v>179358.73015873015</x:v>
      </x:c>
      <x:c r="H39" s="38" t="n">
        <x:f>0</x:f>
        <x:v>0</x:v>
      </x:c>
      <x:c r="I39" s="38" t="n">
        <x:f>'Долг'!E37</x:f>
        <x:v>19791.666666666773</x:v>
      </x:c>
      <x:c r="J39" s="38" t="n">
        <x:f>'Долг'!D37</x:f>
        <x:v>416666.6666666667</x:v>
      </x:c>
      <x:c r="K39" s="38" t="n">
        <x:f>'Склад и закупки'!E38*('Вводные'!$B$22*(1+'Вводные'!$B$26)^2)*30%</x:f>
        <x:v>429975</x:v>
      </x:c>
      <x:c r="L39" s="38" t="n">
        <x:f>'Склад и закупки'!E37*(('Вводные'!$B$22*(1+'Вводные'!$B$26)^2)*70%+('Вводные'!$B$23*(1+'Вводные'!$B$26)^2))</x:f>
        <x:v>0</x:v>
      </x:c>
      <x:c r="M39" s="38" t="n">
        <x:f>'Склад и закупки'!E36*('Вводные'!$B$24*(1+'Вводные'!$B$26)^2)</x:f>
        <x:v>562058.9236269</x:v>
      </x:c>
      <x:c r="N39" s="38" t="n">
        <x:f>'План продаж'!D36*('Вводные'!$B$27*(1+'Вводные'!$B$28)^2)</x:f>
        <x:v>487898.14499999996</x:v>
      </x:c>
      <x:c r="O39" s="38" t="n">
        <x:f>B39+C39-SUM(E39:M39)</x:f>
        <x:v>1150829.386095319</x:v>
      </x:c>
      <x:c r="P39" s="38" t="n">
        <x:f>O39+D39-N39</x:f>
        <x:v>4916531.241095319</x:v>
      </x:c>
      <x:c r="Q39" s="38" t="n">
        <x:f>'Склад и закупки'!F36</x:f>
        <x:v>797</x:v>
      </x:c>
    </x:row>
    <x:row r="40">
      <x:c r="A40" s="54" t="n">
        <x:v>47392</x:v>
      </x:c>
      <x:c r="B40" s="38" t="n">
        <x:f>P39</x:f>
        <x:v>4916531.241095319</x:v>
      </x:c>
      <x:c r="C40" s="38" t="n">
        <x:f>IF(A40=DATE(2026,11,1),'Вводные'!$B$5,0)</x:f>
        <x:v>0</x:v>
      </x:c>
      <x:c r="D40" s="38" t="n">
        <x:f>'План продаж'!G37</x:f>
        <x:v>3645200</x:v>
      </x:c>
      <x:c r="E40" s="38" t="n">
        <x:f>IF(A40=DATE(2026,11,1),'Вводные'!$B$9,0)</x:f>
        <x:v>0</x:v>
      </x:c>
      <x:c r="F40" s="38" t="n">
        <x:f>'Операционные расходы'!$D$10</x:f>
        <x:v>1087655</x:v>
      </x:c>
      <x:c r="G40" s="38" t="n">
        <x:f>('План продаж'!G34+'План продаж'!G35+'План продаж'!G36)*'Вводные'!$B$32/(1+'Вводные'!$B$32)/3</x:f>
        <x:v>194793.65079365077</x:v>
      </x:c>
      <x:c r="H40" s="38" t="n">
        <x:f>(('План продаж'!G34+'План продаж'!G35+'План продаж'!G36)/(1+'Вводные'!$B$32))*'Вводные'!$B$31</x:f>
        <x:v>701257.1428571427</x:v>
      </x:c>
      <x:c r="I40" s="38" t="n">
        <x:f>'Долг'!E38</x:f>
        <x:v>13194.444444444549</x:v>
      </x:c>
      <x:c r="J40" s="38" t="n">
        <x:f>'Долг'!D38</x:f>
        <x:v>416666.6666666667</x:v>
      </x:c>
      <x:c r="K40" s="38" t="n">
        <x:f>'Склад и закупки'!E39*('Вводные'!$B$22*(1+'Вводные'!$B$26)^2)*30%</x:f>
        <x:v>429975</x:v>
      </x:c>
      <x:c r="L40" s="38" t="n">
        <x:f>'Склад и закупки'!E38*(('Вводные'!$B$22*(1+'Вводные'!$B$26)^2)*70%+('Вводные'!$B$23*(1+'Вводные'!$B$26)^2))</x:f>
        <x:v>1334025</x:v>
      </x:c>
      <x:c r="M40" s="38" t="n">
        <x:f>'Склад и закупки'!E37*('Вводные'!$B$24*(1+'Вводные'!$B$26)^2)</x:f>
        <x:v>0</x:v>
      </x:c>
      <x:c r="N40" s="38" t="n">
        <x:f>'План продаж'!D37*('Вводные'!$B$27*(1+'Вводные'!$B$28)^2)</x:f>
        <x:v>418113.2025</x:v>
      </x:c>
      <x:c r="O40" s="38" t="n">
        <x:f>B40+C40-SUM(E40:M40)</x:f>
        <x:v>738964.336333415</x:v>
      </x:c>
      <x:c r="P40" s="38" t="n">
        <x:f>O40+D40-N40</x:f>
        <x:v>3966051.1338334144</x:v>
      </x:c>
      <x:c r="Q40" s="38" t="n">
        <x:f>'Склад и закупки'!F37</x:f>
        <x:v>96</x:v>
      </x:c>
    </x:row>
    <x:row r="41">
      <x:c r="A41" s="54" t="n">
        <x:v>47423</x:v>
      </x:c>
      <x:c r="B41" s="38" t="n">
        <x:f>P40</x:f>
        <x:v>3966051.1338334144</x:v>
      </x:c>
      <x:c r="C41" s="38" t="n">
        <x:f>IF(A41=DATE(2026,11,1),'Вводные'!$B$5,0)</x:f>
        <x:v>0</x:v>
      </x:c>
      <x:c r="D41" s="38" t="n">
        <x:f>'План продаж'!G38</x:f>
        <x:v>3525600</x:v>
      </x:c>
      <x:c r="E41" s="38" t="n">
        <x:f>IF(A41=DATE(2026,11,1),'Вводные'!$B$9,0)</x:f>
        <x:v>0</x:v>
      </x:c>
      <x:c r="F41" s="38" t="n">
        <x:f>'Операционные расходы'!$D$10</x:f>
        <x:v>1087655</x:v>
      </x:c>
      <x:c r="G41" s="38" t="n">
        <x:f>('План продаж'!G34+'План продаж'!G35+'План продаж'!G36)*'Вводные'!$B$32/(1+'Вводные'!$B$32)/3</x:f>
        <x:v>194793.65079365077</x:v>
      </x:c>
      <x:c r="H41" s="38" t="n">
        <x:f>0</x:f>
        <x:v>0</x:v>
      </x:c>
      <x:c r="I41" s="38" t="n">
        <x:f>'Долг'!E39</x:f>
        <x:v>6597.222222222328</x:v>
      </x:c>
      <x:c r="J41" s="38" t="n">
        <x:f>'Долг'!D39</x:f>
        <x:v>416666.6666666667</x:v>
      </x:c>
      <x:c r="K41" s="38" t="n">
        <x:f>0</x:f>
        <x:v>0</x:v>
      </x:c>
      <x:c r="L41" s="38" t="n">
        <x:f>'Склад и закупки'!E39*(('Вводные'!$B$22*(1+'Вводные'!$B$26)^2)*70%+('Вводные'!$B$23*(1+'Вводные'!$B$26)^2))</x:f>
        <x:v>1334025</x:v>
      </x:c>
      <x:c r="M41" s="38" t="n">
        <x:f>'Склад и закупки'!E38*('Вводные'!$B$24*(1+'Вводные'!$B$26)^2)</x:f>
        <x:v>562058.9236269</x:v>
      </x:c>
      <x:c r="N41" s="38" t="n">
        <x:f>'План продаж'!D38*('Вводные'!$B$27*(1+'Вводные'!$B$28)^2)</x:f>
        <x:v>404394.795</x:v>
      </x:c>
      <x:c r="O41" s="38" t="n">
        <x:f>B41+C41-SUM(E41:M41)</x:f>
        <x:v>364254.6705239746</x:v>
      </x:c>
      <x:c r="P41" s="38" t="n">
        <x:f>O41+D41-N41</x:f>
        <x:v>3485459.8755239747</x:v>
      </x:c>
      <x:c r="Q41" s="38" t="n">
        <x:f>'Склад и закупки'!F38</x:f>
        <x:v>418</x:v>
      </x:c>
    </x:row>
    <x:row r="42">
      <x:c r="A42" s="54" t="n">
        <x:v>47453</x:v>
      </x:c>
      <x:c r="B42" s="38" t="n">
        <x:f>P41</x:f>
        <x:v>3485459.8755239747</x:v>
      </x:c>
      <x:c r="C42" s="38" t="n">
        <x:f>IF(A42=DATE(2026,11,1),'Вводные'!$B$5,0)</x:f>
        <x:v>0</x:v>
      </x:c>
      <x:c r="D42" s="38" t="n">
        <x:f>'План продаж'!G39</x:f>
        <x:v>3400800</x:v>
      </x:c>
      <x:c r="E42" s="38" t="n">
        <x:f>IF(A42=DATE(2026,11,1),'Вводные'!$B$9,0)</x:f>
        <x:v>0</x:v>
      </x:c>
      <x:c r="F42" s="38" t="n">
        <x:f>'Операционные расходы'!$D$10</x:f>
        <x:v>1087655</x:v>
      </x:c>
      <x:c r="G42" s="38" t="n">
        <x:f>('План продаж'!G34+'План продаж'!G35+'План продаж'!G36)*'Вводные'!$B$32/(1+'Вводные'!$B$32)/3</x:f>
        <x:v>194793.65079365077</x:v>
      </x:c>
      <x:c r="H42" s="38" t="n">
        <x:f>0</x:f>
        <x:v>0</x:v>
      </x:c>
      <x:c r="I42" s="38" t="n">
        <x:v>0</x:v>
      </x:c>
      <x:c r="J42" s="38" t="n">
        <x:v>0</x:v>
      </x:c>
      <x:c r="K42" s="38" t="n">
        <x:f>0</x:f>
        <x:v>0</x:v>
      </x:c>
      <x:c r="L42" s="38" t="n">
        <x:f>0</x:f>
        <x:v>0</x:v>
      </x:c>
      <x:c r="M42" s="38" t="n">
        <x:f>'Склад и закупки'!E39*('Вводные'!$B$24*(1+'Вводные'!$B$26)^2)</x:f>
        <x:v>562058.9236269</x:v>
      </x:c>
      <x:c r="N42" s="38" t="n">
        <x:f>'План продаж'!D39*('Вводные'!$B$27*(1+'Вводные'!$B$28)^2)</x:f>
        <x:v>390079.935</x:v>
      </x:c>
      <x:c r="O42" s="38" t="n">
        <x:f>B42+C42-SUM(E42:M42)</x:f>
        <x:v>1640952.301103424</x:v>
      </x:c>
      <x:c r="P42" s="38" t="n">
        <x:f>O42+D42-N42</x:f>
        <x:v>4651672.366103425</x:v>
      </x:c>
      <x:c r="Q42" s="38" t="n">
        <x:f>'Склад и закупки'!F39</x:f>
        <x:v>764</x:v>
      </x:c>
    </x:row>
    <x:row r="43">
      <x:c r="A43" s="54" t="n">
        <x:v>47484</x:v>
      </x:c>
      <x:c r="B43" s="38" t="n">
        <x:f>P42</x:f>
        <x:v>4651672.366103425</x:v>
      </x:c>
      <x:c r="C43" s="38" t="n">
        <x:f>IF(A43=DATE(2026,11,1),'Вводные'!$B$5,0)</x:f>
        <x:v>0</x:v>
      </x:c>
      <x:c r="D43" s="38" t="n">
        <x:v>0</x:v>
      </x:c>
      <x:c r="E43" s="38" t="n">
        <x:f>IF(A43=DATE(2026,11,1),'Вводные'!$B$9,0)</x:f>
        <x:v>0</x:v>
      </x:c>
      <x:c r="F43" s="38" t="n">
        <x:v>0</x:v>
      </x:c>
      <x:c r="G43" s="38" t="n">
        <x:f>('План продаж'!G37+'План продаж'!G38+'План продаж'!G39)*'Вводные'!$B$32/(1+'Вводные'!$B$32)/3</x:f>
        <x:v>167803.1746031746</x:v>
      </x:c>
      <x:c r="H43" s="38" t="n">
        <x:f>0</x:f>
        <x:v>0</x:v>
      </x:c>
      <x:c r="I43" s="38" t="n">
        <x:v>0</x:v>
      </x:c>
      <x:c r="J43" s="38" t="n">
        <x:v>0</x:v>
      </x:c>
      <x:c r="K43" s="38" t="n">
        <x:f>0</x:f>
        <x:v>0</x:v>
      </x:c>
      <x:c r="L43" s="38" t="n">
        <x:f>0</x:f>
        <x:v>0</x:v>
      </x:c>
      <x:c r="M43" s="38" t="n">
        <x:f>0</x:f>
        <x:v>0</x:v>
      </x:c>
      <x:c r="N43" s="38" t="n">
        <x:v>0</x:v>
      </x:c>
      <x:c r="O43" s="38" t="n">
        <x:f>B43+C43-SUM(E43:M43)</x:f>
        <x:v>4483869.19150025</x:v>
      </x:c>
      <x:c r="P43" s="38" t="n">
        <x:f>O43+D43-N43</x:f>
        <x:v>4483869.19150025</x:v>
      </x:c>
      <x:c r="Q43" s="38" t="n">
        <x:v>0</x:v>
      </x:c>
    </x:row>
    <x:row r="44">
      <x:c r="A44" s="54" t="n">
        <x:v>47515</x:v>
      </x:c>
      <x:c r="B44" s="38" t="n">
        <x:f>P43</x:f>
        <x:v>4483869.19150025</x:v>
      </x:c>
      <x:c r="C44" s="38" t="n">
        <x:f>IF(A44=DATE(2026,11,1),'Вводные'!$B$5,0)</x:f>
        <x:v>0</x:v>
      </x:c>
      <x:c r="D44" s="38" t="n">
        <x:v>0</x:v>
      </x:c>
      <x:c r="E44" s="38" t="n">
        <x:f>IF(A44=DATE(2026,11,1),'Вводные'!$B$9,0)</x:f>
        <x:v>0</x:v>
      </x:c>
      <x:c r="F44" s="38" t="n">
        <x:v>0</x:v>
      </x:c>
      <x:c r="G44" s="38" t="n">
        <x:f>('План продаж'!G37+'План продаж'!G38+'План продаж'!G39)*'Вводные'!$B$32/(1+'Вводные'!$B$32)/3</x:f>
        <x:v>167803.1746031746</x:v>
      </x:c>
      <x:c r="H44" s="38" t="n">
        <x:f>0</x:f>
        <x:v>0</x:v>
      </x:c>
      <x:c r="I44" s="38" t="n">
        <x:v>0</x:v>
      </x:c>
      <x:c r="J44" s="38" t="n">
        <x:v>0</x:v>
      </x:c>
      <x:c r="K44" s="38" t="n">
        <x:f>0</x:f>
        <x:v>0</x:v>
      </x:c>
      <x:c r="L44" s="38" t="n">
        <x:f>0</x:f>
        <x:v>0</x:v>
      </x:c>
      <x:c r="M44" s="38" t="n">
        <x:f>0</x:f>
        <x:v>0</x:v>
      </x:c>
      <x:c r="N44" s="38" t="n">
        <x:v>0</x:v>
      </x:c>
      <x:c r="O44" s="38" t="n">
        <x:f>B44+C44-SUM(E44:M44)</x:f>
        <x:v>4316066.016897076</x:v>
      </x:c>
      <x:c r="P44" s="38" t="n">
        <x:f>O44+D44-N44</x:f>
        <x:v>4316066.016897076</x:v>
      </x:c>
      <x:c r="Q44" s="38" t="n">
        <x:v>0</x:v>
      </x:c>
    </x:row>
    <x:row r="45">
      <x:c r="A45" s="54" t="n">
        <x:v>47543</x:v>
      </x:c>
      <x:c r="B45" s="38" t="n">
        <x:f>P44</x:f>
        <x:v>4316066.016897076</x:v>
      </x:c>
      <x:c r="C45" s="38" t="n">
        <x:f>IF(A45=DATE(2026,11,1),'Вводные'!$B$5,0)</x:f>
        <x:v>0</x:v>
      </x:c>
      <x:c r="D45" s="38" t="n">
        <x:v>0</x:v>
      </x:c>
      <x:c r="E45" s="38" t="n">
        <x:f>IF(A45=DATE(2026,11,1),'Вводные'!$B$9,0)</x:f>
        <x:v>0</x:v>
      </x:c>
      <x:c r="F45" s="38" t="n">
        <x:v>0</x:v>
      </x:c>
      <x:c r="G45" s="38" t="n">
        <x:f>('План продаж'!G37+'План продаж'!G38+'План продаж'!G39)*'Вводные'!$B$32/(1+'Вводные'!$B$32)/3</x:f>
        <x:v>167803.1746031746</x:v>
      </x:c>
      <x:c r="H45" s="38" t="n">
        <x:f>0</x:f>
        <x:v>0</x:v>
      </x:c>
      <x:c r="I45" s="38" t="n">
        <x:v>0</x:v>
      </x:c>
      <x:c r="J45" s="38" t="n">
        <x:v>0</x:v>
      </x:c>
      <x:c r="K45" s="38" t="n">
        <x:f>0</x:f>
        <x:v>0</x:v>
      </x:c>
      <x:c r="L45" s="38" t="n">
        <x:f>0</x:f>
        <x:v>0</x:v>
      </x:c>
      <x:c r="M45" s="38" t="n">
        <x:f>0</x:f>
        <x:v>0</x:v>
      </x:c>
      <x:c r="N45" s="38" t="n">
        <x:v>0</x:v>
      </x:c>
      <x:c r="O45" s="38" t="n">
        <x:f>B45+C45-SUM(E45:M45)</x:f>
        <x:v>4148262.8422939014</x:v>
      </x:c>
      <x:c r="P45" s="38" t="n">
        <x:f>O45+D45-N45</x:f>
        <x:v>4148262.8422939014</x:v>
      </x:c>
      <x:c r="Q45" s="38" t="n">
        <x:v>0</x:v>
      </x:c>
    </x:row>
    <x:row r="46">
      <x:c r="A46" s="54" t="n">
        <x:v>47574</x:v>
      </x:c>
      <x:c r="B46" s="38" t="n">
        <x:f>P45</x:f>
        <x:v>4148262.8422939014</x:v>
      </x:c>
      <x:c r="C46" s="38" t="n">
        <x:f>IF(A46=DATE(2026,11,1),'Вводные'!$B$5,0)</x:f>
        <x:v>0</x:v>
      </x:c>
      <x:c r="D46" s="38" t="n">
        <x:v>0</x:v>
      </x:c>
      <x:c r="E46" s="38" t="n">
        <x:f>IF(A46=DATE(2026,11,1),'Вводные'!$B$9,0)</x:f>
        <x:v>0</x:v>
      </x:c>
      <x:c r="F46" s="38" t="n">
        <x:v>0</x:v>
      </x:c>
      <x:c r="G46" s="38" t="n">
        <x:f>0</x:f>
        <x:v>0</x:v>
      </x:c>
      <x:c r="H46" s="38" t="n">
        <x:f>(('План продаж'!G37+'План продаж'!G38+'План продаж'!G39)/(1+'Вводные'!$B$32))*'Вводные'!$B$31</x:f>
        <x:v>604091.4285714285</x:v>
      </x:c>
      <x:c r="I46" s="38" t="n">
        <x:v>0</x:v>
      </x:c>
      <x:c r="J46" s="38" t="n">
        <x:v>0</x:v>
      </x:c>
      <x:c r="K46" s="38" t="n">
        <x:f>0</x:f>
        <x:v>0</x:v>
      </x:c>
      <x:c r="L46" s="38" t="n">
        <x:f>0</x:f>
        <x:v>0</x:v>
      </x:c>
      <x:c r="M46" s="38" t="n">
        <x:f>0</x:f>
        <x:v>0</x:v>
      </x:c>
      <x:c r="N46" s="38" t="n">
        <x:v>0</x:v>
      </x:c>
      <x:c r="O46" s="38" t="n">
        <x:f>B46+C46-SUM(E46:M46)</x:f>
        <x:v>3544171.4137224727</x:v>
      </x:c>
      <x:c r="P46" s="38" t="n">
        <x:f>O46+D46-N46</x:f>
        <x:v>3544171.4137224727</x:v>
      </x:c>
      <x:c r="Q46" s="38" t="n">
        <x:v>0</x:v>
      </x:c>
    </x:row>
    <x:row r="47">
      <x:c r="A47" s="50" t="str">
        <x:v>ИТОГО / МИНИМУМ</x:v>
      </x:c>
      <x:c r="B47" s="51"/>
      <x:c r="C47" s="51" t="n">
        <x:f>SUM(C5:C46)</x:f>
        <x:v>15000000</x:v>
      </x:c>
      <x:c r="D47" s="51" t="n">
        <x:f>SUM(D5:D46)</x:f>
        <x:v>131227200</x:v>
      </x:c>
      <x:c r="E47" s="51" t="n">
        <x:f>SUM(E5:E46)</x:f>
        <x:v>900000</x:v>
      </x:c>
      <x:c r="F47" s="51" t="n">
        <x:f>SUM(F5:F46)</x:f>
        <x:v>36649860</x:v>
      </x:c>
      <x:c r="G47" s="51" t="n">
        <x:f>SUM(G5:G46)</x:f>
        <x:v>6248914.2857142845</x:v>
      </x:c>
      <x:c r="H47" s="51" t="n">
        <x:f>SUM(H5:H46)</x:f>
        <x:v>7498697.142857142</x:v>
      </x:c>
      <x:c r="I47" s="51" t="n">
        <x:f>SUM(I5:I46)</x:f>
        <x:v>4393750.000000004</x:v>
      </x:c>
      <x:c r="J47" s="51" t="n">
        <x:f>SUM(J5:J46)</x:f>
        <x:v>14999999.999999993</x:v>
      </x:c>
      <x:c r="K47" s="51" t="n">
        <x:f>SUM(K5:K46)</x:f>
        <x:v>10655775</x:v>
      </x:c>
      <x:c r="L47" s="51" t="n">
        <x:f>SUM(L5:L46)</x:f>
        <x:v>33060225</x:v>
      </x:c>
      <x:c r="M47" s="51" t="n">
        <x:f>SUM(M5:M46)</x:f>
        <x:v>13929120.127706096</x:v>
      </x:c>
      <x:c r="N47" s="51" t="n">
        <x:f>SUM(N5:N46)</x:f>
        <x:v>14346687.030000001</x:v>
      </x:c>
      <x:c r="O47" s="51" t="n">
        <x:f>MIN(O5:O46)</x:f>
        <x:v>-25248.074285717215</x:v>
      </x:c>
      <x:c r="P47" s="51" t="n">
        <x:f>P46</x:f>
        <x:v>3544171.4137224727</x:v>
      </x:c>
      <x:c r="Q47" s="51" t="n">
        <x:f>Q42</x:f>
        <x:v>764</x:v>
      </x:c>
    </x:row>
    <x:row r="49">
      <x:c r="A49" s="50" t="str">
        <x:v>702 ПАР/МЕС. — МАТЕМАТИЧЕСКИЙ МИНИМУМ</x:v>
      </x:c>
      <x:c r="B49" s="50" t="str">
        <x:v>Деньги на начало</x:v>
      </x:c>
      <x:c r="C49" s="50" t="str">
        <x:v>Заём</x:v>
      </x:c>
      <x:c r="D49" s="50" t="str">
        <x:v>Поступления от продаж</x:v>
      </x:c>
      <x:c r="E49" s="50" t="str">
        <x:v>Предстартовые расходы</x:v>
      </x:c>
      <x:c r="F49" s="50" t="str">
        <x:v>Постоянные расходы</x:v>
      </x:c>
      <x:c r="G49" s="50" t="str">
        <x:v>НДС</x:v>
      </x:c>
      <x:c r="H49" s="50" t="str">
        <x:v>УСН</x:v>
      </x:c>
      <x:c r="I49" s="50" t="str">
        <x:v>Проценты</x:v>
      </x:c>
      <x:c r="J49" s="50" t="str">
        <x:v>Тело займа</x:v>
      </x:c>
      <x:c r="K49" s="50" t="str">
        <x:v>Оплата заказа</x:v>
      </x:c>
      <x:c r="L49" s="50" t="str">
        <x:v>Оплата перед отправкой</x:v>
      </x:c>
      <x:c r="M49" s="50" t="str">
        <x:v>Оплата при приходе</x:v>
      </x:c>
      <x:c r="N49" s="50" t="str">
        <x:v>Переменные расходы</x:v>
      </x:c>
      <x:c r="O49" s="50" t="str">
        <x:v>Мин. внутри месяца</x:v>
      </x:c>
      <x:c r="P49" s="50" t="str">
        <x:v>Деньги на конец</x:v>
      </x:c>
      <x:c r="Q49" s="50" t="str">
        <x:v>Склад на конец, пар</x:v>
      </x:c>
    </x:row>
    <x:row r="50">
      <x:c r="A50" s="10" t="str">
        <x:v>Месяц</x:v>
      </x:c>
      <x:c r="B50" s="10" t="str">
        <x:v>Деньги на начало</x:v>
      </x:c>
      <x:c r="C50" s="10" t="str">
        <x:v>Заём</x:v>
      </x:c>
      <x:c r="D50" s="10" t="str">
        <x:v>Поступления от продаж</x:v>
      </x:c>
      <x:c r="E50" s="10" t="str">
        <x:v>Предстартовые расходы</x:v>
      </x:c>
      <x:c r="F50" s="10" t="str">
        <x:v>Постоянные расходы</x:v>
      </x:c>
      <x:c r="G50" s="10" t="str">
        <x:v>НДС</x:v>
      </x:c>
      <x:c r="H50" s="10" t="str">
        <x:v>УСН</x:v>
      </x:c>
      <x:c r="I50" s="10" t="str">
        <x:v>Проценты</x:v>
      </x:c>
      <x:c r="J50" s="10" t="str">
        <x:v>Тело займа</x:v>
      </x:c>
      <x:c r="K50" s="10" t="str">
        <x:v>Оплата заказа</x:v>
      </x:c>
      <x:c r="L50" s="10" t="str">
        <x:v>Оплата перед отправкой</x:v>
      </x:c>
      <x:c r="M50" s="10" t="str">
        <x:v>Оплата при приходе</x:v>
      </x:c>
      <x:c r="N50" s="10" t="str">
        <x:v>Переменные расходы</x:v>
      </x:c>
      <x:c r="O50" s="10" t="str">
        <x:v>Мин. внутри месяца</x:v>
      </x:c>
      <x:c r="P50" s="10" t="str">
        <x:v>Деньги на конец</x:v>
      </x:c>
      <x:c r="Q50" s="10" t="str">
        <x:v>Склад на конец, пар</x:v>
      </x:c>
    </x:row>
    <x:row r="51">
      <x:c r="A51" s="54" t="n">
        <x:v>46327</x:v>
      </x:c>
      <x:c r="B51" s="38" t="n">
        <x:f>'Вводные'!B8</x:f>
        <x:v>0</x:v>
      </x:c>
      <x:c r="C51" s="38" t="n">
        <x:f>IF(A51=DATE(2026,11,1),'Вводные'!$B$5,0)</x:f>
        <x:v>15000000</x:v>
      </x:c>
      <x:c r="D51" s="38" t="n">
        <x:v>0</x:v>
      </x:c>
      <x:c r="E51" s="38" t="n">
        <x:f>IF(A51=DATE(2026,11,1),'Вводные'!$B$9,0)</x:f>
        <x:v>900000</x:v>
      </x:c>
      <x:c r="F51" s="38" t="n">
        <x:v>0</x:v>
      </x:c>
      <x:c r="G51" s="38" t="n">
        <x:f>0</x:f>
        <x:v>0</x:v>
      </x:c>
      <x:c r="H51" s="38" t="n">
        <x:f>0</x:f>
        <x:v>0</x:v>
      </x:c>
      <x:c r="I51" s="38" t="n">
        <x:v>0</x:v>
      </x:c>
      <x:c r="J51" s="38" t="n">
        <x:v>0</x:v>
      </x:c>
      <x:c r="K51" s="38" t="n">
        <x:f>'Вводные'!$B$10*'Вводные'!$B$22*30%</x:f>
        <x:v>1170000</x:v>
      </x:c>
      <x:c r="L51" s="38" t="n">
        <x:v>0</x:v>
      </x:c>
      <x:c r="M51" s="38" t="n">
        <x:v>0</x:v>
      </x:c>
      <x:c r="N51" s="38" t="n">
        <x:v>0</x:v>
      </x:c>
      <x:c r="O51" s="38" t="n">
        <x:f>B51+C51-SUM(E51:M51)</x:f>
        <x:v>12930000</x:v>
      </x:c>
      <x:c r="P51" s="38" t="n">
        <x:f>O51+D51-N51</x:f>
        <x:v>12930000</x:v>
      </x:c>
      <x:c r="Q51" s="38" t="n">
        <x:v>0</x:v>
      </x:c>
    </x:row>
    <x:row r="52">
      <x:c r="A52" s="54" t="n">
        <x:v>46357</x:v>
      </x:c>
      <x:c r="B52" s="38" t="n">
        <x:f>P51</x:f>
        <x:v>12930000</x:v>
      </x:c>
      <x:c r="C52" s="38" t="n">
        <x:f>IF(A52=DATE(2026,11,1),'Вводные'!$B$5,0)</x:f>
        <x:v>0</x:v>
      </x:c>
      <x:c r="D52" s="38" t="n">
        <x:v>0</x:v>
      </x:c>
      <x:c r="E52" s="38" t="n">
        <x:f>IF(A52=DATE(2026,11,1),'Вводные'!$B$9,0)</x:f>
        <x:v>0</x:v>
      </x:c>
      <x:c r="F52" s="38" t="n">
        <x:v>0</x:v>
      </x:c>
      <x:c r="G52" s="38" t="n">
        <x:f>0</x:f>
        <x:v>0</x:v>
      </x:c>
      <x:c r="H52" s="38" t="n">
        <x:f>0</x:f>
        <x:v>0</x:v>
      </x:c>
      <x:c r="I52" s="38" t="n">
        <x:f>'Долг'!E4</x:f>
        <x:v>237500</x:v>
      </x:c>
      <x:c r="J52" s="38" t="n">
        <x:f>'Долг'!D4</x:f>
        <x:v>416666.6666666667</x:v>
      </x:c>
      <x:c r="K52" s="38" t="n">
        <x:v>0</x:v>
      </x:c>
      <x:c r="L52" s="38" t="n">
        <x:f>'Вводные'!$B$10*('Вводные'!$B$22*70%+'Вводные'!$B$23)</x:f>
        <x:v>3630000</x:v>
      </x:c>
      <x:c r="M52" s="38" t="n">
        <x:v>0</x:v>
      </x:c>
      <x:c r="N52" s="38" t="n">
        <x:v>0</x:v>
      </x:c>
      <x:c r="O52" s="38" t="n">
        <x:f>B52+C52-SUM(E52:M52)</x:f>
        <x:v>8645833.333333332</x:v>
      </x:c>
      <x:c r="P52" s="38" t="n">
        <x:f>O52+D52-N52</x:f>
        <x:v>8645833.333333332</x:v>
      </x:c>
      <x:c r="Q52" s="38" t="n">
        <x:v>0</x:v>
      </x:c>
    </x:row>
    <x:row r="53">
      <x:c r="A53" s="54" t="n">
        <x:v>46388</x:v>
      </x:c>
      <x:c r="B53" s="38" t="n">
        <x:f>P52</x:f>
        <x:v>8645833.333333332</x:v>
      </x:c>
      <x:c r="C53" s="38" t="n">
        <x:f>IF(A53=DATE(2026,11,1),'Вводные'!$B$5,0)</x:f>
        <x:v>0</x:v>
      </x:c>
      <x:c r="D53" s="38" t="n">
        <x:f>'План продаж'!H4</x:f>
        <x:v>2678000</x:v>
      </x:c>
      <x:c r="E53" s="38" t="n">
        <x:f>IF(A53=DATE(2026,11,1),'Вводные'!$B$9,0)</x:f>
        <x:v>0</x:v>
      </x:c>
      <x:c r="F53" s="38" t="n">
        <x:f>'Операционные расходы'!$B$10</x:f>
        <x:v>950000</x:v>
      </x:c>
      <x:c r="G53" s="38" t="n">
        <x:f>0</x:f>
        <x:v>0</x:v>
      </x:c>
      <x:c r="H53" s="38" t="n">
        <x:f>0</x:f>
        <x:v>0</x:v>
      </x:c>
      <x:c r="I53" s="38" t="n">
        <x:f>'Долг'!E5</x:f>
        <x:v>230902.77777777778</x:v>
      </x:c>
      <x:c r="J53" s="38" t="n">
        <x:f>'Долг'!D5</x:f>
        <x:v>416666.6666666667</x:v>
      </x:c>
      <x:c r="K53" s="38" t="n">
        <x:v>0</x:v>
      </x:c>
      <x:c r="L53" s="38" t="n">
        <x:v>0</x:v>
      </x:c>
      <x:c r="M53" s="38" t="n">
        <x:f>'Вводные'!$B$10*'Вводные'!$B$24</x:f>
        <x:v>1529412.03708</x:v>
      </x:c>
      <x:c r="N53" s="38" t="n">
        <x:f>'План продаж'!E4*('Вводные'!$B$27)</x:f>
        <x:v>278615</x:v>
      </x:c>
      <x:c r="O53" s="38" t="n">
        <x:f>B53+C53-SUM(E53:M53)</x:f>
        <x:v>5518851.851808888</x:v>
      </x:c>
      <x:c r="P53" s="38" t="n">
        <x:f>O53+D53-N53</x:f>
        <x:v>7918236.851808888</x:v>
      </x:c>
      <x:c r="Q53" s="38" t="n">
        <x:f>'Склад и закупки'!J4</x:f>
        <x:v>2485</x:v>
      </x:c>
    </x:row>
    <x:row r="54">
      <x:c r="A54" s="54" t="n">
        <x:v>46419</x:v>
      </x:c>
      <x:c r="B54" s="38" t="n">
        <x:f>P53</x:f>
        <x:v>7918236.851808888</x:v>
      </x:c>
      <x:c r="C54" s="38" t="n">
        <x:f>IF(A54=DATE(2026,11,1),'Вводные'!$B$5,0)</x:f>
        <x:v>0</x:v>
      </x:c>
      <x:c r="D54" s="38" t="n">
        <x:f>'План продаж'!H5</x:f>
        <x:v>2922400</x:v>
      </x:c>
      <x:c r="E54" s="38" t="n">
        <x:f>IF(A54=DATE(2026,11,1),'Вводные'!$B$9,0)</x:f>
        <x:v>0</x:v>
      </x:c>
      <x:c r="F54" s="38" t="n">
        <x:f>'Операционные расходы'!$B$10</x:f>
        <x:v>950000</x:v>
      </x:c>
      <x:c r="G54" s="38" t="n">
        <x:f>0</x:f>
        <x:v>0</x:v>
      </x:c>
      <x:c r="H54" s="38" t="n">
        <x:f>0</x:f>
        <x:v>0</x:v>
      </x:c>
      <x:c r="I54" s="38" t="n">
        <x:f>'Долг'!E6</x:f>
        <x:v>224305.5555555556</x:v>
      </x:c>
      <x:c r="J54" s="38" t="n">
        <x:f>'Долг'!D6</x:f>
        <x:v>416666.6666666667</x:v>
      </x:c>
      <x:c r="K54" s="38" t="n">
        <x:f>'Склад и закупки'!I7*('Вводные'!$B$22)*30%</x:f>
        <x:v>0</x:v>
      </x:c>
      <x:c r="L54" s="38" t="n">
        <x:f>'Склад и закупки'!I6*(('Вводные'!$B$22)*70%+('Вводные'!$B$23))</x:f>
        <x:v>0</x:v>
      </x:c>
      <x:c r="M54" s="38" t="n">
        <x:f>'Склад и закупки'!I5*('Вводные'!$B$24)</x:f>
        <x:v>0</x:v>
      </x:c>
      <x:c r="N54" s="38" t="n">
        <x:f>'План продаж'!E5*('Вводные'!$B$27)</x:f>
        <x:v>304042</x:v>
      </x:c>
      <x:c r="O54" s="38" t="n">
        <x:f>B54+C54-SUM(E54:M54)</x:f>
        <x:v>6327264.629586666</x:v>
      </x:c>
      <x:c r="P54" s="38" t="n">
        <x:f>O54+D54-N54</x:f>
        <x:v>8945622.629586667</x:v>
      </x:c>
      <x:c r="Q54" s="38" t="n">
        <x:f>'Склад и закупки'!J5</x:f>
        <x:v>1923</x:v>
      </x:c>
    </x:row>
    <x:row r="55">
      <x:c r="A55" s="54" t="n">
        <x:v>46447</x:v>
      </x:c>
      <x:c r="B55" s="38" t="n">
        <x:f>P54</x:f>
        <x:v>8945622.629586667</x:v>
      </x:c>
      <x:c r="C55" s="38" t="n">
        <x:f>IF(A55=DATE(2026,11,1),'Вводные'!$B$5,0)</x:f>
        <x:v>0</x:v>
      </x:c>
      <x:c r="D55" s="38" t="n">
        <x:f>'План продаж'!H6</x:f>
        <x:v>4014400</x:v>
      </x:c>
      <x:c r="E55" s="38" t="n">
        <x:f>IF(A55=DATE(2026,11,1),'Вводные'!$B$9,0)</x:f>
        <x:v>0</x:v>
      </x:c>
      <x:c r="F55" s="38" t="n">
        <x:f>'Операционные расходы'!$B$10</x:f>
        <x:v>950000</x:v>
      </x:c>
      <x:c r="G55" s="38" t="n">
        <x:f>0</x:f>
        <x:v>0</x:v>
      </x:c>
      <x:c r="H55" s="38" t="n">
        <x:f>0</x:f>
        <x:v>0</x:v>
      </x:c>
      <x:c r="I55" s="38" t="n">
        <x:f>'Долг'!E7</x:f>
        <x:v>217708.33333333337</x:v>
      </x:c>
      <x:c r="J55" s="38" t="n">
        <x:f>'Долг'!D7</x:f>
        <x:v>416666.6666666667</x:v>
      </x:c>
      <x:c r="K55" s="38" t="n">
        <x:f>'Склад и закупки'!I8*('Вводные'!$B$22)*30%</x:f>
        <x:v>390000</x:v>
      </x:c>
      <x:c r="L55" s="38" t="n">
        <x:f>'Склад и закупки'!I7*(('Вводные'!$B$22)*70%+('Вводные'!$B$23))</x:f>
        <x:v>0</x:v>
      </x:c>
      <x:c r="M55" s="38" t="n">
        <x:f>'Склад и закупки'!I6*('Вводные'!$B$24)</x:f>
        <x:v>0</x:v>
      </x:c>
      <x:c r="N55" s="38" t="n">
        <x:f>'План продаж'!E6*('Вводные'!$B$27)</x:f>
        <x:v>417652</x:v>
      </x:c>
      <x:c r="O55" s="38" t="n">
        <x:f>B55+C55-SUM(E55:M55)</x:f>
        <x:v>6971247.629586667</x:v>
      </x:c>
      <x:c r="P55" s="38" t="n">
        <x:f>O55+D55-N55</x:f>
        <x:v>10567995.629586667</x:v>
      </x:c>
      <x:c r="Q55" s="38" t="n">
        <x:f>'Склад и закупки'!J6</x:f>
        <x:v>1151</x:v>
      </x:c>
    </x:row>
    <x:row r="56">
      <x:c r="A56" s="54" t="n">
        <x:v>46478</x:v>
      </x:c>
      <x:c r="B56" s="38" t="n">
        <x:f>P55</x:f>
        <x:v>10567995.629586667</x:v>
      </x:c>
      <x:c r="C56" s="38" t="n">
        <x:f>IF(A56=DATE(2026,11,1),'Вводные'!$B$5,0)</x:f>
        <x:v>0</x:v>
      </x:c>
      <x:c r="D56" s="38" t="n">
        <x:f>'План продаж'!H7</x:f>
        <x:v>4378400</x:v>
      </x:c>
      <x:c r="E56" s="38" t="n">
        <x:f>IF(A56=DATE(2026,11,1),'Вводные'!$B$9,0)</x:f>
        <x:v>0</x:v>
      </x:c>
      <x:c r="F56" s="38" t="n">
        <x:f>'Операционные расходы'!$B$10</x:f>
        <x:v>950000</x:v>
      </x:c>
      <x:c r="G56" s="38" t="n">
        <x:f>('План продаж'!H4+'План продаж'!H5+'План продаж'!H6)*'Вводные'!$B$32/(1+'Вводные'!$B$32)/3</x:f>
        <x:v>152615.87301587302</x:v>
      </x:c>
      <x:c r="H56" s="38" t="n">
        <x:f>(('План продаж'!H4+'План продаж'!H5+'План продаж'!H6)/(1+'Вводные'!$B$32))*'Вводные'!$B$31</x:f>
        <x:v>549417.1428571428</x:v>
      </x:c>
      <x:c r="I56" s="38" t="n">
        <x:f>'Долг'!E8</x:f>
        <x:v>211111.11111111115</x:v>
      </x:c>
      <x:c r="J56" s="38" t="n">
        <x:f>'Долг'!D8</x:f>
        <x:v>416666.6666666667</x:v>
      </x:c>
      <x:c r="K56" s="38" t="n">
        <x:f>'Склад и закупки'!I9*('Вводные'!$B$22)*30%</x:f>
        <x:v>390000</x:v>
      </x:c>
      <x:c r="L56" s="38" t="n">
        <x:f>'Склад и закупки'!I8*(('Вводные'!$B$22)*70%+('Вводные'!$B$23))</x:f>
        <x:v>1210000</x:v>
      </x:c>
      <x:c r="M56" s="38" t="n">
        <x:f>'Склад и закупки'!I7*('Вводные'!$B$24)</x:f>
        <x:v>0</x:v>
      </x:c>
      <x:c r="N56" s="38" t="n">
        <x:f>'План продаж'!E7*('Вводные'!$B$27)</x:f>
        <x:v>455522</x:v>
      </x:c>
      <x:c r="O56" s="38" t="n">
        <x:f>B56+C56-SUM(E56:M56)</x:f>
        <x:v>6688184.835935873</x:v>
      </x:c>
      <x:c r="P56" s="38" t="n">
        <x:f>O56+D56-N56</x:f>
        <x:v>10611062.835935872</x:v>
      </x:c>
      <x:c r="Q56" s="38" t="n">
        <x:f>'Склад и закупки'!J7</x:f>
        <x:v>309</x:v>
      </x:c>
    </x:row>
    <x:row r="57">
      <x:c r="A57" s="54" t="n">
        <x:v>46508</x:v>
      </x:c>
      <x:c r="B57" s="38" t="n">
        <x:f>P56</x:f>
        <x:v>10611062.835935872</x:v>
      </x:c>
      <x:c r="C57" s="38" t="n">
        <x:f>IF(A57=DATE(2026,11,1),'Вводные'!$B$5,0)</x:f>
        <x:v>0</x:v>
      </x:c>
      <x:c r="D57" s="38" t="n">
        <x:f>'План продаж'!H8</x:f>
        <x:v>3530800</x:v>
      </x:c>
      <x:c r="E57" s="38" t="n">
        <x:f>IF(A57=DATE(2026,11,1),'Вводные'!$B$9,0)</x:f>
        <x:v>0</x:v>
      </x:c>
      <x:c r="F57" s="38" t="n">
        <x:f>'Операционные расходы'!$B$10</x:f>
        <x:v>950000</x:v>
      </x:c>
      <x:c r="G57" s="38" t="n">
        <x:f>('План продаж'!H4+'План продаж'!H5+'План продаж'!H6)*'Вводные'!$B$32/(1+'Вводные'!$B$32)/3</x:f>
        <x:v>152615.87301587302</x:v>
      </x:c>
      <x:c r="H57" s="38" t="n">
        <x:f>0</x:f>
        <x:v>0</x:v>
      </x:c>
      <x:c r="I57" s="38" t="n">
        <x:f>'Долг'!E9</x:f>
        <x:v>204513.88888888896</x:v>
      </x:c>
      <x:c r="J57" s="38" t="n">
        <x:f>'Долг'!D9</x:f>
        <x:v>416666.6666666667</x:v>
      </x:c>
      <x:c r="K57" s="38" t="n">
        <x:f>'Склад и закупки'!I10*('Вводные'!$B$22)*30%</x:f>
        <x:v>0</x:v>
      </x:c>
      <x:c r="L57" s="38" t="n">
        <x:f>'Склад и закупки'!I9*(('Вводные'!$B$22)*70%+('Вводные'!$B$23))</x:f>
        <x:v>1210000</x:v>
      </x:c>
      <x:c r="M57" s="38" t="n">
        <x:f>'Склад и закупки'!I8*('Вводные'!$B$24)</x:f>
        <x:v>509804.01236</x:v>
      </x:c>
      <x:c r="N57" s="38" t="n">
        <x:f>'План продаж'!E8*('Вводные'!$B$27)</x:f>
        <x:v>367339</x:v>
      </x:c>
      <x:c r="O57" s="38" t="n">
        <x:f>B57+C57-SUM(E57:M57)</x:f>
        <x:v>7167462.395004443</x:v>
      </x:c>
      <x:c r="P57" s="38" t="n">
        <x:f>O57+D57-N57</x:f>
        <x:v>10330923.395004444</x:v>
      </x:c>
      <x:c r="Q57" s="38" t="n">
        <x:f>'Склад и закупки'!J8</x:f>
        <x:v>630</x:v>
      </x:c>
    </x:row>
    <x:row r="58">
      <x:c r="A58" s="54" t="n">
        <x:v>46539</x:v>
      </x:c>
      <x:c r="B58" s="38" t="n">
        <x:f>P57</x:f>
        <x:v>10330923.395004444</x:v>
      </x:c>
      <x:c r="C58" s="38" t="n">
        <x:f>IF(A58=DATE(2026,11,1),'Вводные'!$B$5,0)</x:f>
        <x:v>0</x:v>
      </x:c>
      <x:c r="D58" s="38" t="n">
        <x:f>'План продаж'!H9</x:f>
        <x:v>3406000</x:v>
      </x:c>
      <x:c r="E58" s="38" t="n">
        <x:f>IF(A58=DATE(2026,11,1),'Вводные'!$B$9,0)</x:f>
        <x:v>0</x:v>
      </x:c>
      <x:c r="F58" s="38" t="n">
        <x:f>'Операционные расходы'!$B$10</x:f>
        <x:v>950000</x:v>
      </x:c>
      <x:c r="G58" s="38" t="n">
        <x:f>('План продаж'!H4+'План продаж'!H5+'План продаж'!H6)*'Вводные'!$B$32/(1+'Вводные'!$B$32)/3</x:f>
        <x:v>152615.87301587302</x:v>
      </x:c>
      <x:c r="H58" s="38" t="n">
        <x:f>0</x:f>
        <x:v>0</x:v>
      </x:c>
      <x:c r="I58" s="38" t="n">
        <x:f>'Долг'!E10</x:f>
        <x:v>197916.66666666674</x:v>
      </x:c>
      <x:c r="J58" s="38" t="n">
        <x:f>'Долг'!D10</x:f>
        <x:v>416666.6666666667</x:v>
      </x:c>
      <x:c r="K58" s="38" t="n">
        <x:f>'Склад и закупки'!I11*('Вводные'!$B$22)*30%</x:f>
        <x:v>390000</x:v>
      </x:c>
      <x:c r="L58" s="38" t="n">
        <x:f>'Склад и закупки'!I10*(('Вводные'!$B$22)*70%+('Вводные'!$B$23))</x:f>
        <x:v>0</x:v>
      </x:c>
      <x:c r="M58" s="38" t="n">
        <x:f>'Склад и закупки'!I9*('Вводные'!$B$24)</x:f>
        <x:v>509804.01236</x:v>
      </x:c>
      <x:c r="N58" s="38" t="n">
        <x:f>'План продаж'!E9*('Вводные'!$B$27)</x:f>
        <x:v>354355</x:v>
      </x:c>
      <x:c r="O58" s="38" t="n">
        <x:f>B58+C58-SUM(E58:M58)</x:f>
        <x:v>7713920.176295238</x:v>
      </x:c>
      <x:c r="P58" s="38" t="n">
        <x:f>O58+D58-N58</x:f>
        <x:v>10765565.176295238</x:v>
      </x:c>
      <x:c r="Q58" s="38" t="n">
        <x:f>'Склад и закупки'!J9</x:f>
        <x:v>975</x:v>
      </x:c>
    </x:row>
    <x:row r="59">
      <x:c r="A59" s="54" t="n">
        <x:v>46569</x:v>
      </x:c>
      <x:c r="B59" s="38" t="n">
        <x:f>P58</x:f>
        <x:v>10765565.176295238</x:v>
      </x:c>
      <x:c r="C59" s="38" t="n">
        <x:f>IF(A59=DATE(2026,11,1),'Вводные'!$B$5,0)</x:f>
        <x:v>0</x:v>
      </x:c>
      <x:c r="D59" s="38" t="n">
        <x:f>'План продаж'!H10</x:f>
        <x:v>3650400</x:v>
      </x:c>
      <x:c r="E59" s="38" t="n">
        <x:f>IF(A59=DATE(2026,11,1),'Вводные'!$B$9,0)</x:f>
        <x:v>0</x:v>
      </x:c>
      <x:c r="F59" s="38" t="n">
        <x:f>'Операционные расходы'!$B$10</x:f>
        <x:v>950000</x:v>
      </x:c>
      <x:c r="G59" s="38" t="n">
        <x:f>('План продаж'!H7+'План продаж'!H8+'План продаж'!H9)*'Вводные'!$B$32/(1+'Вводные'!$B$32)/3</x:f>
        <x:v>179606.3492063492</x:v>
      </x:c>
      <x:c r="H59" s="38" t="n">
        <x:f>(('План продаж'!H7+'План продаж'!H8+'План продаж'!H9)/(1+'Вводные'!$B$32))*'Вводные'!$B$31</x:f>
        <x:v>646582.857142857</x:v>
      </x:c>
      <x:c r="I59" s="38" t="n">
        <x:f>'Долг'!E11</x:f>
        <x:v>191319.4444444445</x:v>
      </x:c>
      <x:c r="J59" s="38" t="n">
        <x:f>'Долг'!D11</x:f>
        <x:v>416666.6666666667</x:v>
      </x:c>
      <x:c r="K59" s="38" t="n">
        <x:f>'Склад и закупки'!I12*('Вводные'!$B$22)*30%</x:f>
        <x:v>390000</x:v>
      </x:c>
      <x:c r="L59" s="38" t="n">
        <x:f>'Склад и закупки'!I11*(('Вводные'!$B$22)*70%+('Вводные'!$B$23))</x:f>
        <x:v>1210000</x:v>
      </x:c>
      <x:c r="M59" s="38" t="n">
        <x:f>'Склад и закупки'!I10*('Вводные'!$B$24)</x:f>
        <x:v>0</x:v>
      </x:c>
      <x:c r="N59" s="38" t="n">
        <x:f>'План продаж'!E10*('Вводные'!$B$27)</x:f>
        <x:v>379782</x:v>
      </x:c>
      <x:c r="O59" s="38" t="n">
        <x:f>B59+C59-SUM(E59:M59)</x:f>
        <x:v>6781389.85883492</x:v>
      </x:c>
      <x:c r="P59" s="38" t="n">
        <x:f>O59+D59-N59</x:f>
        <x:v>10052007.85883492</x:v>
      </x:c>
      <x:c r="Q59" s="38" t="n">
        <x:f>'Склад и закупки'!J10</x:f>
        <x:v>273</x:v>
      </x:c>
    </x:row>
    <x:row r="60">
      <x:c r="A60" s="54" t="n">
        <x:v>46600</x:v>
      </x:c>
      <x:c r="B60" s="38" t="n">
        <x:f>P59</x:f>
        <x:v>10052007.85883492</x:v>
      </x:c>
      <x:c r="C60" s="38" t="n">
        <x:f>IF(A60=DATE(2026,11,1),'Вводные'!$B$5,0)</x:f>
        <x:v>0</x:v>
      </x:c>
      <x:c r="D60" s="38" t="n">
        <x:f>'План продаж'!H11</x:f>
        <x:v>4378400</x:v>
      </x:c>
      <x:c r="E60" s="38" t="n">
        <x:f>IF(A60=DATE(2026,11,1),'Вводные'!$B$9,0)</x:f>
        <x:v>0</x:v>
      </x:c>
      <x:c r="F60" s="38" t="n">
        <x:f>'Операционные расходы'!$B$10</x:f>
        <x:v>950000</x:v>
      </x:c>
      <x:c r="G60" s="38" t="n">
        <x:f>('План продаж'!H7+'План продаж'!H8+'План продаж'!H9)*'Вводные'!$B$32/(1+'Вводные'!$B$32)/3</x:f>
        <x:v>179606.3492063492</x:v>
      </x:c>
      <x:c r="H60" s="38" t="n">
        <x:f>0</x:f>
        <x:v>0</x:v>
      </x:c>
      <x:c r="I60" s="38" t="n">
        <x:f>'Долг'!E12</x:f>
        <x:v>184722.22222222228</x:v>
      </x:c>
      <x:c r="J60" s="38" t="n">
        <x:f>'Долг'!D12</x:f>
        <x:v>416666.6666666667</x:v>
      </x:c>
      <x:c r="K60" s="38" t="n">
        <x:f>'Склад и закупки'!I13*('Вводные'!$B$22)*30%</x:f>
        <x:v>390000</x:v>
      </x:c>
      <x:c r="L60" s="38" t="n">
        <x:f>'Склад и закупки'!I12*(('Вводные'!$B$22)*70%+('Вводные'!$B$23))</x:f>
        <x:v>1210000</x:v>
      </x:c>
      <x:c r="M60" s="38" t="n">
        <x:f>'Склад и закупки'!I11*('Вводные'!$B$24)</x:f>
        <x:v>509804.01236</x:v>
      </x:c>
      <x:c r="N60" s="38" t="n">
        <x:f>'План продаж'!E11*('Вводные'!$B$27)</x:f>
        <x:v>455522</x:v>
      </x:c>
      <x:c r="O60" s="38" t="n">
        <x:f>B60+C60-SUM(E60:M60)</x:f>
        <x:v>6211208.6083796825</x:v>
      </x:c>
      <x:c r="P60" s="38" t="n">
        <x:f>O60+D60-N60</x:f>
        <x:v>10134086.608379683</x:v>
      </x:c>
      <x:c r="Q60" s="38" t="n">
        <x:f>'Склад и закупки'!J11</x:f>
        <x:v>431</x:v>
      </x:c>
    </x:row>
    <x:row r="61">
      <x:c r="A61" s="54" t="n">
        <x:v>46631</x:v>
      </x:c>
      <x:c r="B61" s="38" t="n">
        <x:f>P60</x:f>
        <x:v>10134086.608379683</x:v>
      </x:c>
      <x:c r="C61" s="38" t="n">
        <x:f>IF(A61=DATE(2026,11,1),'Вводные'!$B$5,0)</x:f>
        <x:v>0</x:v>
      </x:c>
      <x:c r="D61" s="38" t="n">
        <x:f>'План продаж'!H12</x:f>
        <x:v>4258800</x:v>
      </x:c>
      <x:c r="E61" s="38" t="n">
        <x:f>IF(A61=DATE(2026,11,1),'Вводные'!$B$9,0)</x:f>
        <x:v>0</x:v>
      </x:c>
      <x:c r="F61" s="38" t="n">
        <x:f>'Операционные расходы'!$B$10</x:f>
        <x:v>950000</x:v>
      </x:c>
      <x:c r="G61" s="38" t="n">
        <x:f>('План продаж'!H7+'План продаж'!H8+'План продаж'!H9)*'Вводные'!$B$32/(1+'Вводные'!$B$32)/3</x:f>
        <x:v>179606.3492063492</x:v>
      </x:c>
      <x:c r="H61" s="38" t="n">
        <x:f>0</x:f>
        <x:v>0</x:v>
      </x:c>
      <x:c r="I61" s="38" t="n">
        <x:f>'Долг'!E13</x:f>
        <x:v>178125.0000000001</x:v>
      </x:c>
      <x:c r="J61" s="38" t="n">
        <x:f>'Долг'!D13</x:f>
        <x:v>416666.6666666667</x:v>
      </x:c>
      <x:c r="K61" s="38" t="n">
        <x:f>'Склад и закупки'!I14*('Вводные'!$B$22)*30%</x:f>
        <x:v>0</x:v>
      </x:c>
      <x:c r="L61" s="38" t="n">
        <x:f>'Склад и закупки'!I13*(('Вводные'!$B$22)*70%+('Вводные'!$B$23))</x:f>
        <x:v>1210000</x:v>
      </x:c>
      <x:c r="M61" s="38" t="n">
        <x:f>'Склад и закупки'!I12*('Вводные'!$B$24)</x:f>
        <x:v>509804.01236</x:v>
      </x:c>
      <x:c r="N61" s="38" t="n">
        <x:f>'План продаж'!E12*('Вводные'!$B$27)</x:f>
        <x:v>443079</x:v>
      </x:c>
      <x:c r="O61" s="38" t="n">
        <x:f>B61+C61-SUM(E61:M61)</x:f>
        <x:v>6689884.580146667</x:v>
      </x:c>
      <x:c r="P61" s="38" t="n">
        <x:f>O61+D61-N61</x:f>
        <x:v>10505605.580146667</x:v>
      </x:c>
      <x:c r="Q61" s="38" t="n">
        <x:f>'Склад и закупки'!J12</x:f>
        <x:v>612</x:v>
      </x:c>
    </x:row>
    <x:row r="62">
      <x:c r="A62" s="54" t="n">
        <x:v>46661</x:v>
      </x:c>
      <x:c r="B62" s="38" t="n">
        <x:f>P61</x:f>
        <x:v>10505605.580146667</x:v>
      </x:c>
      <x:c r="C62" s="38" t="n">
        <x:f>IF(A62=DATE(2026,11,1),'Вводные'!$B$5,0)</x:f>
        <x:v>0</x:v>
      </x:c>
      <x:c r="D62" s="38" t="n">
        <x:f>'План продаж'!H13</x:f>
        <x:v>3650400</x:v>
      </x:c>
      <x:c r="E62" s="38" t="n">
        <x:f>IF(A62=DATE(2026,11,1),'Вводные'!$B$9,0)</x:f>
        <x:v>0</x:v>
      </x:c>
      <x:c r="F62" s="38" t="n">
        <x:f>'Операционные расходы'!$B$10</x:f>
        <x:v>950000</x:v>
      </x:c>
      <x:c r="G62" s="38" t="n">
        <x:f>('План продаж'!H10+'План продаж'!H11+'План продаж'!H12)*'Вводные'!$B$32/(1+'Вводные'!$B$32)/3</x:f>
        <x:v>195041.26984126982</x:v>
      </x:c>
      <x:c r="H62" s="38" t="n">
        <x:f>(('План продаж'!H10+'План продаж'!H11+'План продаж'!H12)/(1+'Вводные'!$B$32))*'Вводные'!$B$31</x:f>
        <x:v>702148.5714285714</x:v>
      </x:c>
      <x:c r="I62" s="38" t="n">
        <x:f>'Долг'!E14</x:f>
        <x:v>171527.7777777779</x:v>
      </x:c>
      <x:c r="J62" s="38" t="n">
        <x:f>'Долг'!D14</x:f>
        <x:v>416666.6666666667</x:v>
      </x:c>
      <x:c r="K62" s="38" t="n">
        <x:f>'Склад и закупки'!I15*('Вводные'!$B$22)*30%</x:f>
        <x:v>390000</x:v>
      </x:c>
      <x:c r="L62" s="38" t="n">
        <x:f>'Склад и закупки'!I14*(('Вводные'!$B$22)*70%+('Вводные'!$B$23))</x:f>
        <x:v>0</x:v>
      </x:c>
      <x:c r="M62" s="38" t="n">
        <x:f>'Склад и закупки'!I13*('Вводные'!$B$24)</x:f>
        <x:v>509804.01236</x:v>
      </x:c>
      <x:c r="N62" s="38" t="n">
        <x:f>'План продаж'!E13*('Вводные'!$B$27)</x:f>
        <x:v>379782</x:v>
      </x:c>
      <x:c r="O62" s="38" t="n">
        <x:f>B62+C62-SUM(E62:M62)</x:f>
        <x:v>7170417.28207238</x:v>
      </x:c>
      <x:c r="P62" s="38" t="n">
        <x:f>O62+D62-N62</x:f>
        <x:v>10441035.28207238</x:v>
      </x:c>
      <x:c r="Q62" s="38" t="n">
        <x:f>'Склад и закупки'!J13</x:f>
        <x:v>910</x:v>
      </x:c>
    </x:row>
    <x:row r="63">
      <x:c r="A63" s="54" t="n">
        <x:v>46692</x:v>
      </x:c>
      <x:c r="B63" s="38" t="n">
        <x:f>P62</x:f>
        <x:v>10441035.28207238</x:v>
      </x:c>
      <x:c r="C63" s="38" t="n">
        <x:f>IF(A63=DATE(2026,11,1),'Вводные'!$B$5,0)</x:f>
        <x:v>0</x:v>
      </x:c>
      <x:c r="D63" s="38" t="n">
        <x:f>'План продаж'!H14</x:f>
        <x:v>3530800</x:v>
      </x:c>
      <x:c r="E63" s="38" t="n">
        <x:f>IF(A63=DATE(2026,11,1),'Вводные'!$B$9,0)</x:f>
        <x:v>0</x:v>
      </x:c>
      <x:c r="F63" s="38" t="n">
        <x:f>'Операционные расходы'!$B$10</x:f>
        <x:v>950000</x:v>
      </x:c>
      <x:c r="G63" s="38" t="n">
        <x:f>('План продаж'!H10+'План продаж'!H11+'План продаж'!H12)*'Вводные'!$B$32/(1+'Вводные'!$B$32)/3</x:f>
        <x:v>195041.26984126982</x:v>
      </x:c>
      <x:c r="H63" s="38" t="n">
        <x:f>0</x:f>
        <x:v>0</x:v>
      </x:c>
      <x:c r="I63" s="38" t="n">
        <x:f>'Долг'!E15</x:f>
        <x:v>164930.55555555565</x:v>
      </x:c>
      <x:c r="J63" s="38" t="n">
        <x:f>'Долг'!D15</x:f>
        <x:v>416666.6666666667</x:v>
      </x:c>
      <x:c r="K63" s="38" t="n">
        <x:f>'Склад и закупки'!I16*('Вводные'!$B$22*(1+'Вводные'!$B$26))*30%</x:f>
        <x:v>0</x:v>
      </x:c>
      <x:c r="L63" s="38" t="n">
        <x:f>'Склад и закупки'!I15*(('Вводные'!$B$22)*70%+('Вводные'!$B$23))</x:f>
        <x:v>1210000</x:v>
      </x:c>
      <x:c r="M63" s="38" t="n">
        <x:f>'Склад и закупки'!I14*('Вводные'!$B$24)</x:f>
        <x:v>0</x:v>
      </x:c>
      <x:c r="N63" s="38" t="n">
        <x:f>'План продаж'!E14*('Вводные'!$B$27)</x:f>
        <x:v>367339</x:v>
      </x:c>
      <x:c r="O63" s="38" t="n">
        <x:f>B63+C63-SUM(E63:M63)</x:f>
        <x:v>7504396.790008888</x:v>
      </x:c>
      <x:c r="P63" s="38" t="n">
        <x:f>O63+D63-N63</x:f>
        <x:v>10667857.790008888</x:v>
      </x:c>
      <x:c r="Q63" s="38" t="n">
        <x:f>'Склад и закупки'!J14</x:f>
        <x:v>231</x:v>
      </x:c>
    </x:row>
    <x:row r="64">
      <x:c r="A64" s="54" t="n">
        <x:v>46722</x:v>
      </x:c>
      <x:c r="B64" s="38" t="n">
        <x:f>P63</x:f>
        <x:v>10667857.790008888</x:v>
      </x:c>
      <x:c r="C64" s="38" t="n">
        <x:f>IF(A64=DATE(2026,11,1),'Вводные'!$B$5,0)</x:f>
        <x:v>0</x:v>
      </x:c>
      <x:c r="D64" s="38" t="n">
        <x:f>'План продаж'!H15</x:f>
        <x:v>3406000</x:v>
      </x:c>
      <x:c r="E64" s="38" t="n">
        <x:f>IF(A64=DATE(2026,11,1),'Вводные'!$B$9,0)</x:f>
        <x:v>0</x:v>
      </x:c>
      <x:c r="F64" s="38" t="n">
        <x:f>'Операционные расходы'!$B$10</x:f>
        <x:v>950000</x:v>
      </x:c>
      <x:c r="G64" s="38" t="n">
        <x:f>('План продаж'!H10+'План продаж'!H11+'План продаж'!H12)*'Вводные'!$B$32/(1+'Вводные'!$B$32)/3</x:f>
        <x:v>195041.26984126982</x:v>
      </x:c>
      <x:c r="H64" s="38" t="n">
        <x:f>0</x:f>
        <x:v>0</x:v>
      </x:c>
      <x:c r="I64" s="38" t="n">
        <x:f>'Долг'!E16</x:f>
        <x:v>158333.33333333346</x:v>
      </x:c>
      <x:c r="J64" s="38" t="n">
        <x:f>'Долг'!D16</x:f>
        <x:v>416666.6666666667</x:v>
      </x:c>
      <x:c r="K64" s="38" t="n">
        <x:f>'Склад и закупки'!I17*('Вводные'!$B$22*(1+'Вводные'!$B$26))*30%</x:f>
        <x:v>409500</x:v>
      </x:c>
      <x:c r="L64" s="38" t="n">
        <x:f>'Склад и закупки'!I16*(('Вводные'!$B$22*(1+'Вводные'!$B$26))*70%+('Вводные'!$B$23*(1+'Вводные'!$B$26)))</x:f>
        <x:v>0</x:v>
      </x:c>
      <x:c r="M64" s="38" t="n">
        <x:f>'Склад и закупки'!I15*('Вводные'!$B$24)</x:f>
        <x:v>509804.01236</x:v>
      </x:c>
      <x:c r="N64" s="38" t="n">
        <x:f>'План продаж'!E15*('Вводные'!$B$27)</x:f>
        <x:v>354355</x:v>
      </x:c>
      <x:c r="O64" s="38" t="n">
        <x:f>B64+C64-SUM(E64:M64)</x:f>
        <x:v>8028512.507807618</x:v>
      </x:c>
      <x:c r="P64" s="38" t="n">
        <x:f>O64+D64-N64</x:f>
        <x:v>11080157.507807618</x:v>
      </x:c>
      <x:c r="Q64" s="38" t="n">
        <x:f>'Склад и закупки'!J15</x:f>
        <x:v>576</x:v>
      </x:c>
    </x:row>
    <x:row r="65">
      <x:c r="A65" s="54" t="n">
        <x:v>46753</x:v>
      </x:c>
      <x:c r="B65" s="38" t="n">
        <x:f>P64</x:f>
        <x:v>11080157.507807618</x:v>
      </x:c>
      <x:c r="C65" s="38" t="n">
        <x:f>IF(A65=DATE(2026,11,1),'Вводные'!$B$5,0)</x:f>
        <x:v>0</x:v>
      </x:c>
      <x:c r="D65" s="38" t="n">
        <x:f>'План продаж'!H16</x:f>
        <x:v>2678000</x:v>
      </x:c>
      <x:c r="E65" s="38" t="n">
        <x:f>IF(A65=DATE(2026,11,1),'Вводные'!$B$9,0)</x:f>
        <x:v>0</x:v>
      </x:c>
      <x:c r="F65" s="38" t="n">
        <x:f>'Операционные расходы'!$C$10</x:f>
        <x:v>1016500</x:v>
      </x:c>
      <x:c r="G65" s="38" t="n">
        <x:f>('План продаж'!H13+'План продаж'!H14+'План продаж'!H15)*'Вводные'!$B$32/(1+'Вводные'!$B$32)/3</x:f>
        <x:v>168050.79365079364</x:v>
      </x:c>
      <x:c r="H65" s="38" t="n">
        <x:f>0</x:f>
        <x:v>0</x:v>
      </x:c>
      <x:c r="I65" s="38" t="n">
        <x:f>'Долг'!E17</x:f>
        <x:v>151736.11111111124</x:v>
      </x:c>
      <x:c r="J65" s="38" t="n">
        <x:f>'Долг'!D17</x:f>
        <x:v>416666.6666666667</x:v>
      </x:c>
      <x:c r="K65" s="38" t="n">
        <x:f>'Склад и закупки'!I18*('Вводные'!$B$22*(1+'Вводные'!$B$26))*30%</x:f>
        <x:v>409500</x:v>
      </x:c>
      <x:c r="L65" s="38" t="n">
        <x:f>'Склад и закупки'!I17*(('Вводные'!$B$22*(1+'Вводные'!$B$26))*70%+('Вводные'!$B$23*(1+'Вводные'!$B$26)))</x:f>
        <x:v>1270500</x:v>
      </x:c>
      <x:c r="M65" s="38" t="n">
        <x:f>'Склад и закупки'!I16*('Вводные'!$B$24*(1+'Вводные'!$B$26))</x:f>
        <x:v>0</x:v>
      </x:c>
      <x:c r="N65" s="38" t="n">
        <x:f>'План продаж'!E16*('Вводные'!$B$27*(1+'Вводные'!$B$28))</x:f>
        <x:v>292545.75000000006</x:v>
      </x:c>
      <x:c r="O65" s="38" t="n">
        <x:f>B65+C65-SUM(E65:M65)</x:f>
        <x:v>7647203.936379046</x:v>
      </x:c>
      <x:c r="P65" s="38" t="n">
        <x:f>O65+D65-N65</x:f>
        <x:v>10032658.186379045</x:v>
      </x:c>
      <x:c r="Q65" s="38" t="n">
        <x:f>'Склад и закупки'!J16</x:f>
        <x:v>61</x:v>
      </x:c>
    </x:row>
    <x:row r="66">
      <x:c r="A66" s="54" t="n">
        <x:v>46784</x:v>
      </x:c>
      <x:c r="B66" s="38" t="n">
        <x:f>P65</x:f>
        <x:v>10032658.186379045</x:v>
      </x:c>
      <x:c r="C66" s="38" t="n">
        <x:f>IF(A66=DATE(2026,11,1),'Вводные'!$B$5,0)</x:f>
        <x:v>0</x:v>
      </x:c>
      <x:c r="D66" s="38" t="n">
        <x:f>'План продаж'!H17</x:f>
        <x:v>2922400</x:v>
      </x:c>
      <x:c r="E66" s="38" t="n">
        <x:f>IF(A66=DATE(2026,11,1),'Вводные'!$B$9,0)</x:f>
        <x:v>0</x:v>
      </x:c>
      <x:c r="F66" s="38" t="n">
        <x:f>'Операционные расходы'!$C$10</x:f>
        <x:v>1016500</x:v>
      </x:c>
      <x:c r="G66" s="38" t="n">
        <x:f>('План продаж'!H13+'План продаж'!H14+'План продаж'!H15)*'Вводные'!$B$32/(1+'Вводные'!$B$32)/3</x:f>
        <x:v>168050.79365079364</x:v>
      </x:c>
      <x:c r="H66" s="38" t="n">
        <x:f>0</x:f>
        <x:v>0</x:v>
      </x:c>
      <x:c r="I66" s="38" t="n">
        <x:f>'Долг'!E18</x:f>
        <x:v>145138.88888888902</x:v>
      </x:c>
      <x:c r="J66" s="38" t="n">
        <x:f>'Долг'!D18</x:f>
        <x:v>416666.6666666667</x:v>
      </x:c>
      <x:c r="K66" s="38" t="n">
        <x:f>'Склад и закупки'!I19*('Вводные'!$B$22*(1+'Вводные'!$B$26))*30%</x:f>
        <x:v>409500</x:v>
      </x:c>
      <x:c r="L66" s="38" t="n">
        <x:f>'Склад и закупки'!I18*(('Вводные'!$B$22*(1+'Вводные'!$B$26))*70%+('Вводные'!$B$23*(1+'Вводные'!$B$26)))</x:f>
        <x:v>1270500</x:v>
      </x:c>
      <x:c r="M66" s="38" t="n">
        <x:f>'Склад и закупки'!I17*('Вводные'!$B$24*(1+'Вводные'!$B$26))</x:f>
        <x:v>535294.212978</x:v>
      </x:c>
      <x:c r="N66" s="38" t="n">
        <x:f>'План продаж'!E17*('Вводные'!$B$27*(1+'Вводные'!$B$28))</x:f>
        <x:v>319244.10000000003</x:v>
      </x:c>
      <x:c r="O66" s="38" t="n">
        <x:f>B66+C66-SUM(E66:M66)</x:f>
        <x:v>6071007.624194696</x:v>
      </x:c>
      <x:c r="P66" s="38" t="n">
        <x:f>O66+D66-N66</x:f>
        <x:v>8674163.524194697</x:v>
      </x:c>
      <x:c r="Q66" s="38" t="n">
        <x:f>'Склад и закупки'!J17</x:f>
        <x:v>499</x:v>
      </x:c>
    </x:row>
    <x:row r="67">
      <x:c r="A67" s="54" t="n">
        <x:v>46813</x:v>
      </x:c>
      <x:c r="B67" s="38" t="n">
        <x:f>P66</x:f>
        <x:v>8674163.524194697</x:v>
      </x:c>
      <x:c r="C67" s="38" t="n">
        <x:f>IF(A67=DATE(2026,11,1),'Вводные'!$B$5,0)</x:f>
        <x:v>0</x:v>
      </x:c>
      <x:c r="D67" s="38" t="n">
        <x:f>'План продаж'!H18</x:f>
        <x:v>4014400</x:v>
      </x:c>
      <x:c r="E67" s="38" t="n">
        <x:f>IF(A67=DATE(2026,11,1),'Вводные'!$B$9,0)</x:f>
        <x:v>0</x:v>
      </x:c>
      <x:c r="F67" s="38" t="n">
        <x:f>'Операционные расходы'!$C$10</x:f>
        <x:v>1016500</x:v>
      </x:c>
      <x:c r="G67" s="38" t="n">
        <x:f>('План продаж'!H13+'План продаж'!H14+'План продаж'!H15)*'Вводные'!$B$32/(1+'Вводные'!$B$32)/3</x:f>
        <x:v>168050.79365079364</x:v>
      </x:c>
      <x:c r="H67" s="38" t="n">
        <x:f>0</x:f>
        <x:v>0</x:v>
      </x:c>
      <x:c r="I67" s="38" t="n">
        <x:f>'Долг'!E19</x:f>
        <x:v>138541.66666666683</x:v>
      </x:c>
      <x:c r="J67" s="38" t="n">
        <x:f>'Долг'!D19</x:f>
        <x:v>416666.6666666667</x:v>
      </x:c>
      <x:c r="K67" s="38" t="n">
        <x:f>'Склад и закупки'!I20*('Вводные'!$B$22*(1+'Вводные'!$B$26))*30%</x:f>
        <x:v>0</x:v>
      </x:c>
      <x:c r="L67" s="38" t="n">
        <x:f>'Склад и закупки'!I19*(('Вводные'!$B$22*(1+'Вводные'!$B$26))*70%+('Вводные'!$B$23*(1+'Вводные'!$B$26)))</x:f>
        <x:v>1270500</x:v>
      </x:c>
      <x:c r="M67" s="38" t="n">
        <x:f>'Склад и закупки'!I18*('Вводные'!$B$24*(1+'Вводные'!$B$26))</x:f>
        <x:v>535294.212978</x:v>
      </x:c>
      <x:c r="N67" s="38" t="n">
        <x:f>'План продаж'!E18*('Вводные'!$B$27*(1+'Вводные'!$B$28))</x:f>
        <x:v>438534.60000000003</x:v>
      </x:c>
      <x:c r="O67" s="38" t="n">
        <x:f>B67+C67-SUM(E67:M67)</x:f>
        <x:v>5128610.18423257</x:v>
      </x:c>
      <x:c r="P67" s="38" t="n">
        <x:f>O67+D67-N67</x:f>
        <x:v>8704475.58423257</x:v>
      </x:c>
      <x:c r="Q67" s="38" t="n">
        <x:f>'Склад и закупки'!J18</x:f>
        <x:v>727</x:v>
      </x:c>
    </x:row>
    <x:row r="68">
      <x:c r="A68" s="54" t="n">
        <x:v>46844</x:v>
      </x:c>
      <x:c r="B68" s="38" t="n">
        <x:f>P67</x:f>
        <x:v>8704475.58423257</x:v>
      </x:c>
      <x:c r="C68" s="38" t="n">
        <x:f>IF(A68=DATE(2026,11,1),'Вводные'!$B$5,0)</x:f>
        <x:v>0</x:v>
      </x:c>
      <x:c r="D68" s="38" t="n">
        <x:f>'План продаж'!H19</x:f>
        <x:v>4378400</x:v>
      </x:c>
      <x:c r="E68" s="38" t="n">
        <x:f>IF(A68=DATE(2026,11,1),'Вводные'!$B$9,0)</x:f>
        <x:v>0</x:v>
      </x:c>
      <x:c r="F68" s="38" t="n">
        <x:f>'Операционные расходы'!$C$10</x:f>
        <x:v>1016500</x:v>
      </x:c>
      <x:c r="G68" s="38" t="n">
        <x:f>('План продаж'!H16+'План продаж'!H17+'План продаж'!H18)*'Вводные'!$B$32/(1+'Вводные'!$B$32)/3</x:f>
        <x:v>152615.87301587302</x:v>
      </x:c>
      <x:c r="H68" s="38" t="n">
        <x:f>(('План продаж'!H13+'План продаж'!H14+'План продаж'!H15)/(1+'Вводные'!$B$32))*'Вводные'!$B$31+(('План продаж'!H16+'План продаж'!H17+'План продаж'!H18)/(1+'Вводные'!$B$32))*'Вводные'!$B$31</x:f>
        <x:v>1154400</x:v>
      </x:c>
      <x:c r="I68" s="38" t="n">
        <x:f>'Долг'!E20</x:f>
        <x:v>131944.44444444458</x:v>
      </x:c>
      <x:c r="J68" s="38" t="n">
        <x:f>'Долг'!D20</x:f>
        <x:v>416666.6666666667</x:v>
      </x:c>
      <x:c r="K68" s="38" t="n">
        <x:f>'Склад и закупки'!I21*('Вводные'!$B$22*(1+'Вводные'!$B$26))*30%</x:f>
        <x:v>409500</x:v>
      </x:c>
      <x:c r="L68" s="38" t="n">
        <x:f>'Склад и закупки'!I20*(('Вводные'!$B$22*(1+'Вводные'!$B$26))*70%+('Вводные'!$B$23*(1+'Вводные'!$B$26)))</x:f>
        <x:v>0</x:v>
      </x:c>
      <x:c r="M68" s="38" t="n">
        <x:f>'Склад и закупки'!I19*('Вводные'!$B$24*(1+'Вводные'!$B$26))</x:f>
        <x:v>535294.212978</x:v>
      </x:c>
      <x:c r="N68" s="38" t="n">
        <x:f>'План продаж'!E19*('Вводные'!$B$27*(1+'Вводные'!$B$28))</x:f>
        <x:v>478298.10000000003</x:v>
      </x:c>
      <x:c r="O68" s="38" t="n">
        <x:f>B68+C68-SUM(E68:M68)</x:f>
        <x:v>4887554.387127587</x:v>
      </x:c>
      <x:c r="P68" s="38" t="n">
        <x:f>O68+D68-N68</x:f>
        <x:v>8787656.287127586</x:v>
      </x:c>
      <x:c r="Q68" s="38" t="n">
        <x:f>'Склад и закупки'!J19</x:f>
        <x:v>885</x:v>
      </x:c>
    </x:row>
    <x:row r="69">
      <x:c r="A69" s="54" t="n">
        <x:v>46874</x:v>
      </x:c>
      <x:c r="B69" s="38" t="n">
        <x:f>P68</x:f>
        <x:v>8787656.287127586</x:v>
      </x:c>
      <x:c r="C69" s="38" t="n">
        <x:f>IF(A69=DATE(2026,11,1),'Вводные'!$B$5,0)</x:f>
        <x:v>0</x:v>
      </x:c>
      <x:c r="D69" s="38" t="n">
        <x:f>'План продаж'!H20</x:f>
        <x:v>3530800</x:v>
      </x:c>
      <x:c r="E69" s="38" t="n">
        <x:f>IF(A69=DATE(2026,11,1),'Вводные'!$B$9,0)</x:f>
        <x:v>0</x:v>
      </x:c>
      <x:c r="F69" s="38" t="n">
        <x:f>'Операционные расходы'!$C$10</x:f>
        <x:v>1016500</x:v>
      </x:c>
      <x:c r="G69" s="38" t="n">
        <x:f>('План продаж'!H16+'План продаж'!H17+'План продаж'!H18)*'Вводные'!$B$32/(1+'Вводные'!$B$32)/3</x:f>
        <x:v>152615.87301587302</x:v>
      </x:c>
      <x:c r="H69" s="38" t="n">
        <x:f>0</x:f>
        <x:v>0</x:v>
      </x:c>
      <x:c r="I69" s="38" t="n">
        <x:f>'Долг'!E21</x:f>
        <x:v>125347.22222222236</x:v>
      </x:c>
      <x:c r="J69" s="38" t="n">
        <x:f>'Долг'!D21</x:f>
        <x:v>416666.6666666667</x:v>
      </x:c>
      <x:c r="K69" s="38" t="n">
        <x:f>'Склад и закупки'!I22*('Вводные'!$B$22*(1+'Вводные'!$B$26))*30%</x:f>
        <x:v>409500</x:v>
      </x:c>
      <x:c r="L69" s="38" t="n">
        <x:f>'Склад и закупки'!I21*(('Вводные'!$B$22*(1+'Вводные'!$B$26))*70%+('Вводные'!$B$23*(1+'Вводные'!$B$26)))</x:f>
        <x:v>1270500</x:v>
      </x:c>
      <x:c r="M69" s="38" t="n">
        <x:f>'Склад и закупки'!I20*('Вводные'!$B$24*(1+'Вводные'!$B$26))</x:f>
        <x:v>0</x:v>
      </x:c>
      <x:c r="N69" s="38" t="n">
        <x:f>'План продаж'!E20*('Вводные'!$B$27*(1+'Вводные'!$B$28))</x:f>
        <x:v>385705.95000000007</x:v>
      </x:c>
      <x:c r="O69" s="38" t="n">
        <x:f>B69+C69-SUM(E69:M69)</x:f>
        <x:v>5396526.525222824</x:v>
      </x:c>
      <x:c r="P69" s="38" t="n">
        <x:f>O69+D69-N69</x:f>
        <x:v>8541620.575222824</x:v>
      </x:c>
      <x:c r="Q69" s="38" t="n">
        <x:f>'Склад и закупки'!J20</x:f>
        <x:v>206</x:v>
      </x:c>
    </x:row>
    <x:row r="70">
      <x:c r="A70" s="54" t="n">
        <x:v>46905</x:v>
      </x:c>
      <x:c r="B70" s="38" t="n">
        <x:f>P69</x:f>
        <x:v>8541620.575222824</x:v>
      </x:c>
      <x:c r="C70" s="38" t="n">
        <x:f>IF(A70=DATE(2026,11,1),'Вводные'!$B$5,0)</x:f>
        <x:v>0</x:v>
      </x:c>
      <x:c r="D70" s="38" t="n">
        <x:f>'План продаж'!H21</x:f>
        <x:v>3406000</x:v>
      </x:c>
      <x:c r="E70" s="38" t="n">
        <x:f>IF(A70=DATE(2026,11,1),'Вводные'!$B$9,0)</x:f>
        <x:v>0</x:v>
      </x:c>
      <x:c r="F70" s="38" t="n">
        <x:f>'Операционные расходы'!$C$10</x:f>
        <x:v>1016500</x:v>
      </x:c>
      <x:c r="G70" s="38" t="n">
        <x:f>('План продаж'!H16+'План продаж'!H17+'План продаж'!H18)*'Вводные'!$B$32/(1+'Вводные'!$B$32)/3</x:f>
        <x:v>152615.87301587302</x:v>
      </x:c>
      <x:c r="H70" s="38" t="n">
        <x:f>0</x:f>
        <x:v>0</x:v>
      </x:c>
      <x:c r="I70" s="38" t="n">
        <x:f>'Долг'!E22</x:f>
        <x:v>118750.00000000013</x:v>
      </x:c>
      <x:c r="J70" s="38" t="n">
        <x:f>'Долг'!D22</x:f>
        <x:v>416666.6666666667</x:v>
      </x:c>
      <x:c r="K70" s="38" t="n">
        <x:f>'Склад и закупки'!I23*('Вводные'!$B$22*(1+'Вводные'!$B$26))*30%</x:f>
        <x:v>0</x:v>
      </x:c>
      <x:c r="L70" s="38" t="n">
        <x:f>'Склад и закупки'!I22*(('Вводные'!$B$22*(1+'Вводные'!$B$26))*70%+('Вводные'!$B$23*(1+'Вводные'!$B$26)))</x:f>
        <x:v>1270500</x:v>
      </x:c>
      <x:c r="M70" s="38" t="n">
        <x:f>'Склад и закупки'!I21*('Вводные'!$B$24*(1+'Вводные'!$B$26))</x:f>
        <x:v>535294.212978</x:v>
      </x:c>
      <x:c r="N70" s="38" t="n">
        <x:f>'План продаж'!E21*('Вводные'!$B$27*(1+'Вводные'!$B$28))</x:f>
        <x:v>372072.75000000006</x:v>
      </x:c>
      <x:c r="O70" s="38" t="n">
        <x:f>B70+C70-SUM(E70:M70)</x:f>
        <x:v>5031293.822562284</x:v>
      </x:c>
      <x:c r="P70" s="38" t="n">
        <x:f>O70+D70-N70</x:f>
        <x:v>8065221.072562285</x:v>
      </x:c>
      <x:c r="Q70" s="38" t="n">
        <x:f>'Склад и закупки'!J21</x:f>
        <x:v>551</x:v>
      </x:c>
    </x:row>
    <x:row r="71">
      <x:c r="A71" s="54" t="n">
        <x:v>46935</x:v>
      </x:c>
      <x:c r="B71" s="38" t="n">
        <x:f>P70</x:f>
        <x:v>8065221.072562285</x:v>
      </x:c>
      <x:c r="C71" s="38" t="n">
        <x:f>IF(A71=DATE(2026,11,1),'Вводные'!$B$5,0)</x:f>
        <x:v>0</x:v>
      </x:c>
      <x:c r="D71" s="38" t="n">
        <x:f>'План продаж'!H22</x:f>
        <x:v>3650400</x:v>
      </x:c>
      <x:c r="E71" s="38" t="n">
        <x:f>IF(A71=DATE(2026,11,1),'Вводные'!$B$9,0)</x:f>
        <x:v>0</x:v>
      </x:c>
      <x:c r="F71" s="38" t="n">
        <x:f>'Операционные расходы'!$C$10</x:f>
        <x:v>1016500</x:v>
      </x:c>
      <x:c r="G71" s="38" t="n">
        <x:f>('План продаж'!H19+'План продаж'!H20+'План продаж'!H21)*'Вводные'!$B$32/(1+'Вводные'!$B$32)/3</x:f>
        <x:v>179606.3492063492</x:v>
      </x:c>
      <x:c r="H71" s="38" t="n">
        <x:f>(('План продаж'!H19+'План продаж'!H20+'План продаж'!H21)/(1+'Вводные'!$B$32))*'Вводные'!$B$31</x:f>
        <x:v>646582.857142857</x:v>
      </x:c>
      <x:c r="I71" s="38" t="n">
        <x:f>'Долг'!E23</x:f>
        <x:v>112152.77777777791</x:v>
      </x:c>
      <x:c r="J71" s="38" t="n">
        <x:f>'Долг'!D23</x:f>
        <x:v>416666.6666666667</x:v>
      </x:c>
      <x:c r="K71" s="38" t="n">
        <x:f>'Склад и закупки'!I24*('Вводные'!$B$22*(1+'Вводные'!$B$26))*30%</x:f>
        <x:v>409500</x:v>
      </x:c>
      <x:c r="L71" s="38" t="n">
        <x:f>'Склад и закупки'!I23*(('Вводные'!$B$22*(1+'Вводные'!$B$26))*70%+('Вводные'!$B$23*(1+'Вводные'!$B$26)))</x:f>
        <x:v>0</x:v>
      </x:c>
      <x:c r="M71" s="38" t="n">
        <x:f>'Склад и закупки'!I22*('Вводные'!$B$24*(1+'Вводные'!$B$26))</x:f>
        <x:v>535294.212978</x:v>
      </x:c>
      <x:c r="N71" s="38" t="n">
        <x:f>'План продаж'!E22*('Вводные'!$B$27*(1+'Вводные'!$B$28))</x:f>
        <x:v>398771.10000000003</x:v>
      </x:c>
      <x:c r="O71" s="38" t="n">
        <x:f>B71+C71-SUM(E71:M71)</x:f>
        <x:v>4748918.208790634</x:v>
      </x:c>
      <x:c r="P71" s="38" t="n">
        <x:f>O71+D71-N71</x:f>
        <x:v>8000547.108790634</x:v>
      </x:c>
      <x:c r="Q71" s="38" t="n">
        <x:f>'Склад и закупки'!J22</x:f>
        <x:v>849</x:v>
      </x:c>
    </x:row>
    <x:row r="72">
      <x:c r="A72" s="54" t="n">
        <x:v>46966</x:v>
      </x:c>
      <x:c r="B72" s="38" t="n">
        <x:f>P71</x:f>
        <x:v>8000547.108790634</x:v>
      </x:c>
      <x:c r="C72" s="38" t="n">
        <x:f>IF(A72=DATE(2026,11,1),'Вводные'!$B$5,0)</x:f>
        <x:v>0</x:v>
      </x:c>
      <x:c r="D72" s="38" t="n">
        <x:f>'План продаж'!H23</x:f>
        <x:v>4378400</x:v>
      </x:c>
      <x:c r="E72" s="38" t="n">
        <x:f>IF(A72=DATE(2026,11,1),'Вводные'!$B$9,0)</x:f>
        <x:v>0</x:v>
      </x:c>
      <x:c r="F72" s="38" t="n">
        <x:f>'Операционные расходы'!$C$10</x:f>
        <x:v>1016500</x:v>
      </x:c>
      <x:c r="G72" s="38" t="n">
        <x:f>('План продаж'!H19+'План продаж'!H20+'План продаж'!H21)*'Вводные'!$B$32/(1+'Вводные'!$B$32)/3</x:f>
        <x:v>179606.3492063492</x:v>
      </x:c>
      <x:c r="H72" s="38" t="n">
        <x:f>0</x:f>
        <x:v>0</x:v>
      </x:c>
      <x:c r="I72" s="38" t="n">
        <x:f>'Долг'!E24</x:f>
        <x:v>105555.55555555568</x:v>
      </x:c>
      <x:c r="J72" s="38" t="n">
        <x:f>'Долг'!D24</x:f>
        <x:v>416666.6666666667</x:v>
      </x:c>
      <x:c r="K72" s="38" t="n">
        <x:f>'Склад и закупки'!I25*('Вводные'!$B$22*(1+'Вводные'!$B$26))*30%</x:f>
        <x:v>409500</x:v>
      </x:c>
      <x:c r="L72" s="38" t="n">
        <x:f>'Склад и закупки'!I24*(('Вводные'!$B$22*(1+'Вводные'!$B$26))*70%+('Вводные'!$B$23*(1+'Вводные'!$B$26)))</x:f>
        <x:v>1270500</x:v>
      </x:c>
      <x:c r="M72" s="38" t="n">
        <x:f>'Склад и закупки'!I23*('Вводные'!$B$24*(1+'Вводные'!$B$26))</x:f>
        <x:v>0</x:v>
      </x:c>
      <x:c r="N72" s="38" t="n">
        <x:f>'План продаж'!E23*('Вводные'!$B$27*(1+'Вводные'!$B$28))</x:f>
        <x:v>478298.10000000003</x:v>
      </x:c>
      <x:c r="O72" s="38" t="n">
        <x:f>B72+C72-SUM(E72:M72)</x:f>
        <x:v>4602218.537362062</x:v>
      </x:c>
      <x:c r="P72" s="38" t="n">
        <x:f>O72+D72-N72</x:f>
        <x:v>8502320.437362062</x:v>
      </x:c>
      <x:c r="Q72" s="38" t="n">
        <x:f>'Склад и закупки'!J23</x:f>
        <x:v>7</x:v>
      </x:c>
    </x:row>
    <x:row r="73">
      <x:c r="A73" s="54" t="n">
        <x:v>46997</x:v>
      </x:c>
      <x:c r="B73" s="38" t="n">
        <x:f>P72</x:f>
        <x:v>8502320.437362062</x:v>
      </x:c>
      <x:c r="C73" s="38" t="n">
        <x:f>IF(A73=DATE(2026,11,1),'Вводные'!$B$5,0)</x:f>
        <x:v>0</x:v>
      </x:c>
      <x:c r="D73" s="38" t="n">
        <x:f>'План продаж'!H24</x:f>
        <x:v>4258800</x:v>
      </x:c>
      <x:c r="E73" s="38" t="n">
        <x:f>IF(A73=DATE(2026,11,1),'Вводные'!$B$9,0)</x:f>
        <x:v>0</x:v>
      </x:c>
      <x:c r="F73" s="38" t="n">
        <x:f>'Операционные расходы'!$C$10</x:f>
        <x:v>1016500</x:v>
      </x:c>
      <x:c r="G73" s="38" t="n">
        <x:f>('План продаж'!H19+'План продаж'!H20+'План продаж'!H21)*'Вводные'!$B$32/(1+'Вводные'!$B$32)/3</x:f>
        <x:v>179606.3492063492</x:v>
      </x:c>
      <x:c r="H73" s="38" t="n">
        <x:f>0</x:f>
        <x:v>0</x:v>
      </x:c>
      <x:c r="I73" s="38" t="n">
        <x:f>'Долг'!E25</x:f>
        <x:v>98958.33333333344</x:v>
      </x:c>
      <x:c r="J73" s="38" t="n">
        <x:f>'Долг'!D25</x:f>
        <x:v>416666.6666666667</x:v>
      </x:c>
      <x:c r="K73" s="38" t="n">
        <x:f>'Склад и закупки'!I26*('Вводные'!$B$22*(1+'Вводные'!$B$26))*30%</x:f>
        <x:v>409500</x:v>
      </x:c>
      <x:c r="L73" s="38" t="n">
        <x:f>'Склад и закупки'!I25*(('Вводные'!$B$22*(1+'Вводные'!$B$26))*70%+('Вводные'!$B$23*(1+'Вводные'!$B$26)))</x:f>
        <x:v>1270500</x:v>
      </x:c>
      <x:c r="M73" s="38" t="n">
        <x:f>'Склад и закупки'!I24*('Вводные'!$B$24*(1+'Вводные'!$B$26))</x:f>
        <x:v>535294.212978</x:v>
      </x:c>
      <x:c r="N73" s="38" t="n">
        <x:f>'План продаж'!E24*('Вводные'!$B$27*(1+'Вводные'!$B$28))</x:f>
        <x:v>465232.95000000007</x:v>
      </x:c>
      <x:c r="O73" s="38" t="n">
        <x:f>B73+C73-SUM(E73:M73)</x:f>
        <x:v>4575294.875177712</x:v>
      </x:c>
      <x:c r="P73" s="38" t="n">
        <x:f>O73+D73-N73</x:f>
        <x:v>8368861.925177711</x:v>
      </x:c>
      <x:c r="Q73" s="38" t="n">
        <x:f>'Склад и закупки'!J24</x:f>
        <x:v>188</x:v>
      </x:c>
    </x:row>
    <x:row r="74">
      <x:c r="A74" s="54" t="n">
        <x:v>47027</x:v>
      </x:c>
      <x:c r="B74" s="38" t="n">
        <x:f>P73</x:f>
        <x:v>8368861.925177711</x:v>
      </x:c>
      <x:c r="C74" s="38" t="n">
        <x:f>IF(A74=DATE(2026,11,1),'Вводные'!$B$5,0)</x:f>
        <x:v>0</x:v>
      </x:c>
      <x:c r="D74" s="38" t="n">
        <x:f>'План продаж'!H25</x:f>
        <x:v>3650400</x:v>
      </x:c>
      <x:c r="E74" s="38" t="n">
        <x:f>IF(A74=DATE(2026,11,1),'Вводные'!$B$9,0)</x:f>
        <x:v>0</x:v>
      </x:c>
      <x:c r="F74" s="38" t="n">
        <x:f>'Операционные расходы'!$C$10</x:f>
        <x:v>1016500</x:v>
      </x:c>
      <x:c r="G74" s="38" t="n">
        <x:f>('План продаж'!H22+'План продаж'!H23+'План продаж'!H24)*'Вводные'!$B$32/(1+'Вводные'!$B$32)/3</x:f>
        <x:v>195041.26984126982</x:v>
      </x:c>
      <x:c r="H74" s="38" t="n">
        <x:f>(('План продаж'!H22+'План продаж'!H23+'План продаж'!H24)/(1+'Вводные'!$B$32))*'Вводные'!$B$31</x:f>
        <x:v>702148.5714285714</x:v>
      </x:c>
      <x:c r="I74" s="38" t="n">
        <x:f>'Долг'!E26</x:f>
        <x:v>92361.11111111123</x:v>
      </x:c>
      <x:c r="J74" s="38" t="n">
        <x:f>'Долг'!D26</x:f>
        <x:v>416666.6666666667</x:v>
      </x:c>
      <x:c r="K74" s="38" t="n">
        <x:f>'Склад и закупки'!I27*('Вводные'!$B$22*(1+'Вводные'!$B$26))*30%</x:f>
        <x:v>0</x:v>
      </x:c>
      <x:c r="L74" s="38" t="n">
        <x:f>'Склад и закупки'!I26*(('Вводные'!$B$22*(1+'Вводные'!$B$26))*70%+('Вводные'!$B$23*(1+'Вводные'!$B$26)))</x:f>
        <x:v>1270500</x:v>
      </x:c>
      <x:c r="M74" s="38" t="n">
        <x:f>'Склад и закупки'!I25*('Вводные'!$B$24*(1+'Вводные'!$B$26))</x:f>
        <x:v>535294.212978</x:v>
      </x:c>
      <x:c r="N74" s="38" t="n">
        <x:f>'План продаж'!E25*('Вводные'!$B$27*(1+'Вводные'!$B$28))</x:f>
        <x:v>398771.10000000003</x:v>
      </x:c>
      <x:c r="O74" s="38" t="n">
        <x:f>B74+C74-SUM(E74:M74)</x:f>
        <x:v>4140350.093152092</x:v>
      </x:c>
      <x:c r="P74" s="38" t="n">
        <x:f>O74+D74-N74</x:f>
        <x:v>7391978.993152092</x:v>
      </x:c>
      <x:c r="Q74" s="38" t="n">
        <x:f>'Склад и закупки'!J25</x:f>
        <x:v>486</x:v>
      </x:c>
    </x:row>
    <x:row r="75">
      <x:c r="A75" s="54" t="n">
        <x:v>47058</x:v>
      </x:c>
      <x:c r="B75" s="38" t="n">
        <x:f>P74</x:f>
        <x:v>7391978.993152092</x:v>
      </x:c>
      <x:c r="C75" s="38" t="n">
        <x:f>IF(A75=DATE(2026,11,1),'Вводные'!$B$5,0)</x:f>
        <x:v>0</x:v>
      </x:c>
      <x:c r="D75" s="38" t="n">
        <x:f>'План продаж'!H26</x:f>
        <x:v>3530800</x:v>
      </x:c>
      <x:c r="E75" s="38" t="n">
        <x:f>IF(A75=DATE(2026,11,1),'Вводные'!$B$9,0)</x:f>
        <x:v>0</x:v>
      </x:c>
      <x:c r="F75" s="38" t="n">
        <x:f>'Операционные расходы'!$C$10</x:f>
        <x:v>1016500</x:v>
      </x:c>
      <x:c r="G75" s="38" t="n">
        <x:f>('План продаж'!H22+'План продаж'!H23+'План продаж'!H24)*'Вводные'!$B$32/(1+'Вводные'!$B$32)/3</x:f>
        <x:v>195041.26984126982</x:v>
      </x:c>
      <x:c r="H75" s="38" t="n">
        <x:f>0</x:f>
        <x:v>0</x:v>
      </x:c>
      <x:c r="I75" s="38" t="n">
        <x:f>'Долг'!E27</x:f>
        <x:v>85763.888888889</x:v>
      </x:c>
      <x:c r="J75" s="38" t="n">
        <x:f>'Долг'!D27</x:f>
        <x:v>416666.6666666667</x:v>
      </x:c>
      <x:c r="K75" s="38" t="n">
        <x:f>'Склад и закупки'!I28*('Вводные'!$B$22*(1+'Вводные'!$B$26)^2)*30%</x:f>
        <x:v>429975</x:v>
      </x:c>
      <x:c r="L75" s="38" t="n">
        <x:f>'Склад и закупки'!I27*(('Вводные'!$B$22*(1+'Вводные'!$B$26))*70%+('Вводные'!$B$23*(1+'Вводные'!$B$26)))</x:f>
        <x:v>0</x:v>
      </x:c>
      <x:c r="M75" s="38" t="n">
        <x:f>'Склад и закупки'!I26*('Вводные'!$B$24*(1+'Вводные'!$B$26))</x:f>
        <x:v>535294.212978</x:v>
      </x:c>
      <x:c r="N75" s="38" t="n">
        <x:f>'План продаж'!E26*('Вводные'!$B$27*(1+'Вводные'!$B$28))</x:f>
        <x:v>385705.95000000007</x:v>
      </x:c>
      <x:c r="O75" s="38" t="n">
        <x:f>B75+C75-SUM(E75:M75)</x:f>
        <x:v>4712737.954777267</x:v>
      </x:c>
      <x:c r="P75" s="38" t="n">
        <x:f>O75+D75-N75</x:f>
        <x:v>7857832.004777267</x:v>
      </x:c>
      <x:c r="Q75" s="38" t="n">
        <x:f>'Склад и закупки'!J26</x:f>
        <x:v>807</x:v>
      </x:c>
    </x:row>
    <x:row r="76">
      <x:c r="A76" s="54" t="n">
        <x:v>47088</x:v>
      </x:c>
      <x:c r="B76" s="38" t="n">
        <x:f>P75</x:f>
        <x:v>7857832.004777267</x:v>
      </x:c>
      <x:c r="C76" s="38" t="n">
        <x:f>IF(A76=DATE(2026,11,1),'Вводные'!$B$5,0)</x:f>
        <x:v>0</x:v>
      </x:c>
      <x:c r="D76" s="38" t="n">
        <x:f>'План продаж'!H27</x:f>
        <x:v>3406000</x:v>
      </x:c>
      <x:c r="E76" s="38" t="n">
        <x:f>IF(A76=DATE(2026,11,1),'Вводные'!$B$9,0)</x:f>
        <x:v>0</x:v>
      </x:c>
      <x:c r="F76" s="38" t="n">
        <x:f>'Операционные расходы'!$C$10</x:f>
        <x:v>1016500</x:v>
      </x:c>
      <x:c r="G76" s="38" t="n">
        <x:f>('План продаж'!H22+'План продаж'!H23+'План продаж'!H24)*'Вводные'!$B$32/(1+'Вводные'!$B$32)/3</x:f>
        <x:v>195041.26984126982</x:v>
      </x:c>
      <x:c r="H76" s="38" t="n">
        <x:f>0</x:f>
        <x:v>0</x:v>
      </x:c>
      <x:c r="I76" s="38" t="n">
        <x:f>'Долг'!E28</x:f>
        <x:v>79166.66666666677</x:v>
      </x:c>
      <x:c r="J76" s="38" t="n">
        <x:f>'Долг'!D28</x:f>
        <x:v>416666.6666666667</x:v>
      </x:c>
      <x:c r="K76" s="38" t="n">
        <x:f>'Склад и закупки'!I29*('Вводные'!$B$22*(1+'Вводные'!$B$26)^2)*30%</x:f>
        <x:v>0</x:v>
      </x:c>
      <x:c r="L76" s="38" t="n">
        <x:f>'Склад и закупки'!I28*(('Вводные'!$B$22*(1+'Вводные'!$B$26)^2)*70%+('Вводные'!$B$23*(1+'Вводные'!$B$26)^2))</x:f>
        <x:v>1334025</x:v>
      </x:c>
      <x:c r="M76" s="38" t="n">
        <x:f>'Склад и закупки'!I27*('Вводные'!$B$24*(1+'Вводные'!$B$26))</x:f>
        <x:v>0</x:v>
      </x:c>
      <x:c r="N76" s="38" t="n">
        <x:f>'План продаж'!E27*('Вводные'!$B$27*(1+'Вводные'!$B$28))</x:f>
        <x:v>372072.75000000006</x:v>
      </x:c>
      <x:c r="O76" s="38" t="n">
        <x:f>B76+C76-SUM(E76:M76)</x:f>
        <x:v>4816432.401602663</x:v>
      </x:c>
      <x:c r="P76" s="38" t="n">
        <x:f>O76+D76-N76</x:f>
        <x:v>7850359.651602663</x:v>
      </x:c>
      <x:c r="Q76" s="38" t="n">
        <x:f>'Склад и закупки'!J27</x:f>
        <x:v>152</x:v>
      </x:c>
    </x:row>
    <x:row r="77">
      <x:c r="A77" s="54" t="n">
        <x:v>47119</x:v>
      </x:c>
      <x:c r="B77" s="38" t="n">
        <x:f>P76</x:f>
        <x:v>7850359.651602663</x:v>
      </x:c>
      <x:c r="C77" s="38" t="n">
        <x:f>IF(A77=DATE(2026,11,1),'Вводные'!$B$5,0)</x:f>
        <x:v>0</x:v>
      </x:c>
      <x:c r="D77" s="38" t="n">
        <x:f>'План продаж'!H28</x:f>
        <x:v>2678000</x:v>
      </x:c>
      <x:c r="E77" s="38" t="n">
        <x:f>IF(A77=DATE(2026,11,1),'Вводные'!$B$9,0)</x:f>
        <x:v>0</x:v>
      </x:c>
      <x:c r="F77" s="38" t="n">
        <x:f>'Операционные расходы'!$D$10</x:f>
        <x:v>1087655</x:v>
      </x:c>
      <x:c r="G77" s="38" t="n">
        <x:f>('План продаж'!H25+'План продаж'!H26+'План продаж'!H27)*'Вводные'!$B$32/(1+'Вводные'!$B$32)/3</x:f>
        <x:v>168050.79365079364</x:v>
      </x:c>
      <x:c r="H77" s="38" t="n">
        <x:f>0</x:f>
        <x:v>0</x:v>
      </x:c>
      <x:c r="I77" s="38" t="n">
        <x:f>'Долг'!E29</x:f>
        <x:v>72569.44444444454</x:v>
      </x:c>
      <x:c r="J77" s="38" t="n">
        <x:f>'Долг'!D29</x:f>
        <x:v>416666.6666666667</x:v>
      </x:c>
      <x:c r="K77" s="38" t="n">
        <x:f>'Склад и закупки'!I30*('Вводные'!$B$22*(1+'Вводные'!$B$26)^2)*30%</x:f>
        <x:v>429975</x:v>
      </x:c>
      <x:c r="L77" s="38" t="n">
        <x:f>'Склад и закупки'!I29*(('Вводные'!$B$22*(1+'Вводные'!$B$26)^2)*70%+('Вводные'!$B$23*(1+'Вводные'!$B$26)^2))</x:f>
        <x:v>0</x:v>
      </x:c>
      <x:c r="M77" s="38" t="n">
        <x:f>'Склад и закупки'!I28*('Вводные'!$B$24*(1+'Вводные'!$B$26)^2)</x:f>
        <x:v>562058.9236269</x:v>
      </x:c>
      <x:c r="N77" s="38" t="n">
        <x:f>'План продаж'!E28*('Вводные'!$B$27*(1+'Вводные'!$B$28)^2)</x:f>
        <x:v>307173.0375</x:v>
      </x:c>
      <x:c r="O77" s="38" t="n">
        <x:f>B77+C77-SUM(E77:M77)</x:f>
        <x:v>5113383.8232138585</x:v>
      </x:c>
      <x:c r="P77" s="38" t="n">
        <x:f>O77+D77-N77</x:f>
        <x:v>7484210.785713859</x:v>
      </x:c>
      <x:c r="Q77" s="38" t="n">
        <x:f>'Склад и закупки'!J28</x:f>
        <x:v>637</x:v>
      </x:c>
    </x:row>
    <x:row r="78">
      <x:c r="A78" s="54" t="n">
        <x:v>47150</x:v>
      </x:c>
      <x:c r="B78" s="38" t="n">
        <x:f>P77</x:f>
        <x:v>7484210.785713859</x:v>
      </x:c>
      <x:c r="C78" s="38" t="n">
        <x:f>IF(A78=DATE(2026,11,1),'Вводные'!$B$5,0)</x:f>
        <x:v>0</x:v>
      </x:c>
      <x:c r="D78" s="38" t="n">
        <x:f>'План продаж'!H29</x:f>
        <x:v>2922400</x:v>
      </x:c>
      <x:c r="E78" s="38" t="n">
        <x:f>IF(A78=DATE(2026,11,1),'Вводные'!$B$9,0)</x:f>
        <x:v>0</x:v>
      </x:c>
      <x:c r="F78" s="38" t="n">
        <x:f>'Операционные расходы'!$D$10</x:f>
        <x:v>1087655</x:v>
      </x:c>
      <x:c r="G78" s="38" t="n">
        <x:f>('План продаж'!H25+'План продаж'!H26+'План продаж'!H27)*'Вводные'!$B$32/(1+'Вводные'!$B$32)/3</x:f>
        <x:v>168050.79365079364</x:v>
      </x:c>
      <x:c r="H78" s="38" t="n">
        <x:f>0</x:f>
        <x:v>0</x:v>
      </x:c>
      <x:c r="I78" s="38" t="n">
        <x:f>'Долг'!E30</x:f>
        <x:v>65972.22222222232</x:v>
      </x:c>
      <x:c r="J78" s="38" t="n">
        <x:f>'Долг'!D30</x:f>
        <x:v>416666.6666666667</x:v>
      </x:c>
      <x:c r="K78" s="38" t="n">
        <x:f>'Склад и закупки'!I31*('Вводные'!$B$22*(1+'Вводные'!$B$26)^2)*30%</x:f>
        <x:v>429975</x:v>
      </x:c>
      <x:c r="L78" s="38" t="n">
        <x:f>'Склад и закупки'!I30*(('Вводные'!$B$22*(1+'Вводные'!$B$26)^2)*70%+('Вводные'!$B$23*(1+'Вводные'!$B$26)^2))</x:f>
        <x:v>1334025</x:v>
      </x:c>
      <x:c r="M78" s="38" t="n">
        <x:f>'Склад и закупки'!I29*('Вводные'!$B$24*(1+'Вводные'!$B$26)^2)</x:f>
        <x:v>0</x:v>
      </x:c>
      <x:c r="N78" s="38" t="n">
        <x:f>'План продаж'!E29*('Вводные'!$B$27*(1+'Вводные'!$B$28)^2)</x:f>
        <x:v>335206.305</x:v>
      </x:c>
      <x:c r="O78" s="38" t="n">
        <x:f>B78+C78-SUM(E78:M78)</x:f>
        <x:v>3981866.103174176</x:v>
      </x:c>
      <x:c r="P78" s="38" t="n">
        <x:f>O78+D78-N78</x:f>
        <x:v>6569059.798174176</x:v>
      </x:c>
      <x:c r="Q78" s="38" t="n">
        <x:f>'Склад и закупки'!J29</x:f>
        <x:v>75</x:v>
      </x:c>
    </x:row>
    <x:row r="79">
      <x:c r="A79" s="54" t="n">
        <x:v>47178</x:v>
      </x:c>
      <x:c r="B79" s="38" t="n">
        <x:f>P78</x:f>
        <x:v>6569059.798174176</x:v>
      </x:c>
      <x:c r="C79" s="38" t="n">
        <x:f>IF(A79=DATE(2026,11,1),'Вводные'!$B$5,0)</x:f>
        <x:v>0</x:v>
      </x:c>
      <x:c r="D79" s="38" t="n">
        <x:f>'План продаж'!H30</x:f>
        <x:v>4014400</x:v>
      </x:c>
      <x:c r="E79" s="38" t="n">
        <x:f>IF(A79=DATE(2026,11,1),'Вводные'!$B$9,0)</x:f>
        <x:v>0</x:v>
      </x:c>
      <x:c r="F79" s="38" t="n">
        <x:f>'Операционные расходы'!$D$10</x:f>
        <x:v>1087655</x:v>
      </x:c>
      <x:c r="G79" s="38" t="n">
        <x:f>('План продаж'!H25+'План продаж'!H26+'План продаж'!H27)*'Вводные'!$B$32/(1+'Вводные'!$B$32)/3</x:f>
        <x:v>168050.79365079364</x:v>
      </x:c>
      <x:c r="H79" s="38" t="n">
        <x:f>0</x:f>
        <x:v>0</x:v>
      </x:c>
      <x:c r="I79" s="38" t="n">
        <x:f>'Долг'!E31</x:f>
        <x:v>59375.00000000011</x:v>
      </x:c>
      <x:c r="J79" s="38" t="n">
        <x:f>'Долг'!D31</x:f>
        <x:v>416666.6666666667</x:v>
      </x:c>
      <x:c r="K79" s="38" t="n">
        <x:f>'Склад и закупки'!I32*('Вводные'!$B$22*(1+'Вводные'!$B$26)^2)*30%</x:f>
        <x:v>429975</x:v>
      </x:c>
      <x:c r="L79" s="38" t="n">
        <x:f>'Склад и закупки'!I31*(('Вводные'!$B$22*(1+'Вводные'!$B$26)^2)*70%+('Вводные'!$B$23*(1+'Вводные'!$B$26)^2))</x:f>
        <x:v>1334025</x:v>
      </x:c>
      <x:c r="M79" s="38" t="n">
        <x:f>'Склад и закупки'!I30*('Вводные'!$B$24*(1+'Вводные'!$B$26)^2)</x:f>
        <x:v>562058.9236269</x:v>
      </x:c>
      <x:c r="N79" s="38" t="n">
        <x:f>'План продаж'!E30*('Вводные'!$B$27*(1+'Вводные'!$B$28)^2)</x:f>
        <x:v>460461.33</x:v>
      </x:c>
      <x:c r="O79" s="38" t="n">
        <x:f>B79+C79-SUM(E79:M79)</x:f>
        <x:v>2511253.414229816</x:v>
      </x:c>
      <x:c r="P79" s="38" t="n">
        <x:f>O79+D79-N79</x:f>
        <x:v>6065192.084229816</x:v>
      </x:c>
      <x:c r="Q79" s="38" t="n">
        <x:f>'Склад и закупки'!J30</x:f>
        <x:v>303</x:v>
      </x:c>
    </x:row>
    <x:row r="80">
      <x:c r="A80" s="54" t="n">
        <x:v>47209</x:v>
      </x:c>
      <x:c r="B80" s="38" t="n">
        <x:f>P79</x:f>
        <x:v>6065192.084229816</x:v>
      </x:c>
      <x:c r="C80" s="38" t="n">
        <x:f>IF(A80=DATE(2026,11,1),'Вводные'!$B$5,0)</x:f>
        <x:v>0</x:v>
      </x:c>
      <x:c r="D80" s="38" t="n">
        <x:f>'План продаж'!H31</x:f>
        <x:v>4378400</x:v>
      </x:c>
      <x:c r="E80" s="38" t="n">
        <x:f>IF(A80=DATE(2026,11,1),'Вводные'!$B$9,0)</x:f>
        <x:v>0</x:v>
      </x:c>
      <x:c r="F80" s="38" t="n">
        <x:f>'Операционные расходы'!$D$10</x:f>
        <x:v>1087655</x:v>
      </x:c>
      <x:c r="G80" s="38" t="n">
        <x:f>('План продаж'!H28+'План продаж'!H29+'План продаж'!H30)*'Вводные'!$B$32/(1+'Вводные'!$B$32)/3</x:f>
        <x:v>152615.87301587302</x:v>
      </x:c>
      <x:c r="H80" s="38" t="n">
        <x:f>(('План продаж'!H25+'План продаж'!H26+'План продаж'!H27)/(1+'Вводные'!$B$32))*'Вводные'!$B$31+(('План продаж'!H28+'План продаж'!H29+'План продаж'!H30)/(1+'Вводные'!$B$32))*'Вводные'!$B$31</x:f>
        <x:v>1154400</x:v>
      </x:c>
      <x:c r="I80" s="38" t="n">
        <x:f>'Долг'!E32</x:f>
        <x:v>52777.77777777789</x:v>
      </x:c>
      <x:c r="J80" s="38" t="n">
        <x:f>'Долг'!D32</x:f>
        <x:v>416666.6666666667</x:v>
      </x:c>
      <x:c r="K80" s="38" t="n">
        <x:f>'Склад и закупки'!I33*('Вводные'!$B$22*(1+'Вводные'!$B$26)^2)*30%</x:f>
        <x:v>0</x:v>
      </x:c>
      <x:c r="L80" s="38" t="n">
        <x:f>'Склад и закупки'!I32*(('Вводные'!$B$22*(1+'Вводные'!$B$26)^2)*70%+('Вводные'!$B$23*(1+'Вводные'!$B$26)^2))</x:f>
        <x:v>1334025</x:v>
      </x:c>
      <x:c r="M80" s="38" t="n">
        <x:f>'Склад и закупки'!I31*('Вводные'!$B$24*(1+'Вводные'!$B$26)^2)</x:f>
        <x:v>562058.9236269</x:v>
      </x:c>
      <x:c r="N80" s="38" t="n">
        <x:f>'План продаж'!E31*('Вводные'!$B$27*(1+'Вводные'!$B$28)^2)</x:f>
        <x:v>502213.005</x:v>
      </x:c>
      <x:c r="O80" s="38" t="n">
        <x:f>B80+C80-SUM(E80:M80)</x:f>
        <x:v>1304992.8431425989</x:v>
      </x:c>
      <x:c r="P80" s="38" t="n">
        <x:f>O80+D80-N80</x:f>
        <x:v>5181179.838142599</x:v>
      </x:c>
      <x:c r="Q80" s="38" t="n">
        <x:f>'Склад и закупки'!J31</x:f>
        <x:v>461</x:v>
      </x:c>
    </x:row>
    <x:row r="81">
      <x:c r="A81" s="54" t="n">
        <x:v>47239</x:v>
      </x:c>
      <x:c r="B81" s="38" t="n">
        <x:f>P80</x:f>
        <x:v>5181179.838142599</x:v>
      </x:c>
      <x:c r="C81" s="38" t="n">
        <x:f>IF(A81=DATE(2026,11,1),'Вводные'!$B$5,0)</x:f>
        <x:v>0</x:v>
      </x:c>
      <x:c r="D81" s="38" t="n">
        <x:f>'План продаж'!H32</x:f>
        <x:v>3530800</x:v>
      </x:c>
      <x:c r="E81" s="38" t="n">
        <x:f>IF(A81=DATE(2026,11,1),'Вводные'!$B$9,0)</x:f>
        <x:v>0</x:v>
      </x:c>
      <x:c r="F81" s="38" t="n">
        <x:f>'Операционные расходы'!$D$10</x:f>
        <x:v>1087655</x:v>
      </x:c>
      <x:c r="G81" s="38" t="n">
        <x:f>('План продаж'!H28+'План продаж'!H29+'План продаж'!H30)*'Вводные'!$B$32/(1+'Вводные'!$B$32)/3</x:f>
        <x:v>152615.87301587302</x:v>
      </x:c>
      <x:c r="H81" s="38" t="n">
        <x:f>0</x:f>
        <x:v>0</x:v>
      </x:c>
      <x:c r="I81" s="38" t="n">
        <x:f>'Долг'!E33</x:f>
        <x:v>46180.55555555567</x:v>
      </x:c>
      <x:c r="J81" s="38" t="n">
        <x:f>'Долг'!D33</x:f>
        <x:v>416666.6666666667</x:v>
      </x:c>
      <x:c r="K81" s="38" t="n">
        <x:f>'Склад и закупки'!I34*('Вводные'!$B$22*(1+'Вводные'!$B$26)^2)*30%</x:f>
        <x:v>429975</x:v>
      </x:c>
      <x:c r="L81" s="38" t="n">
        <x:f>'Склад и закупки'!I33*(('Вводные'!$B$22*(1+'Вводные'!$B$26)^2)*70%+('Вводные'!$B$23*(1+'Вводные'!$B$26)^2))</x:f>
        <x:v>0</x:v>
      </x:c>
      <x:c r="M81" s="38" t="n">
        <x:f>'Склад и закупки'!I32*('Вводные'!$B$24*(1+'Вводные'!$B$26)^2)</x:f>
        <x:v>562058.9236269</x:v>
      </x:c>
      <x:c r="N81" s="38" t="n">
        <x:f>'План продаж'!E32*('Вводные'!$B$27*(1+'Вводные'!$B$28)^2)</x:f>
        <x:v>404991.2475</x:v>
      </x:c>
      <x:c r="O81" s="38" t="n">
        <x:f>B81+C81-SUM(E81:M81)</x:f>
        <x:v>2486027.819277603</x:v>
      </x:c>
      <x:c r="P81" s="38" t="n">
        <x:f>O81+D81-N81</x:f>
        <x:v>5611836.571777604</x:v>
      </x:c>
      <x:c r="Q81" s="38" t="n">
        <x:f>'Склад и закупки'!J32</x:f>
        <x:v>782</x:v>
      </x:c>
    </x:row>
    <x:row r="82">
      <x:c r="A82" s="54" t="n">
        <x:v>47270</x:v>
      </x:c>
      <x:c r="B82" s="38" t="n">
        <x:f>P81</x:f>
        <x:v>5611836.571777604</x:v>
      </x:c>
      <x:c r="C82" s="38" t="n">
        <x:f>IF(A82=DATE(2026,11,1),'Вводные'!$B$5,0)</x:f>
        <x:v>0</x:v>
      </x:c>
      <x:c r="D82" s="38" t="n">
        <x:f>'План продаж'!H33</x:f>
        <x:v>3406000</x:v>
      </x:c>
      <x:c r="E82" s="38" t="n">
        <x:f>IF(A82=DATE(2026,11,1),'Вводные'!$B$9,0)</x:f>
        <x:v>0</x:v>
      </x:c>
      <x:c r="F82" s="38" t="n">
        <x:f>'Операционные расходы'!$D$10</x:f>
        <x:v>1087655</x:v>
      </x:c>
      <x:c r="G82" s="38" t="n">
        <x:f>('План продаж'!H28+'План продаж'!H29+'План продаж'!H30)*'Вводные'!$B$32/(1+'Вводные'!$B$32)/3</x:f>
        <x:v>152615.87301587302</x:v>
      </x:c>
      <x:c r="H82" s="38" t="n">
        <x:f>0</x:f>
        <x:v>0</x:v>
      </x:c>
      <x:c r="I82" s="38" t="n">
        <x:f>'Долг'!E34</x:f>
        <x:v>39583.333333333445</x:v>
      </x:c>
      <x:c r="J82" s="38" t="n">
        <x:f>'Долг'!D34</x:f>
        <x:v>416666.6666666667</x:v>
      </x:c>
      <x:c r="K82" s="38" t="n">
        <x:f>'Склад и закупки'!I35*('Вводные'!$B$22*(1+'Вводные'!$B$26)^2)*30%</x:f>
        <x:v>429975</x:v>
      </x:c>
      <x:c r="L82" s="38" t="n">
        <x:f>'Склад и закупки'!I34*(('Вводные'!$B$22*(1+'Вводные'!$B$26)^2)*70%+('Вводные'!$B$23*(1+'Вводные'!$B$26)^2))</x:f>
        <x:v>1334025</x:v>
      </x:c>
      <x:c r="M82" s="38" t="n">
        <x:f>'Склад и закупки'!I33*('Вводные'!$B$24*(1+'Вводные'!$B$26)^2)</x:f>
        <x:v>0</x:v>
      </x:c>
      <x:c r="N82" s="38" t="n">
        <x:f>'План продаж'!E33*('Вводные'!$B$27*(1+'Вводные'!$B$28)^2)</x:f>
        <x:v>390676.3875</x:v>
      </x:c>
      <x:c r="O82" s="38" t="n">
        <x:f>B82+C82-SUM(E82:M82)</x:f>
        <x:v>2151315.6987617305</x:v>
      </x:c>
      <x:c r="P82" s="38" t="n">
        <x:f>O82+D82-N82</x:f>
        <x:v>5166639.31126173</x:v>
      </x:c>
      <x:c r="Q82" s="38" t="n">
        <x:f>'Склад и закупки'!J33</x:f>
        <x:v>127</x:v>
      </x:c>
    </x:row>
    <x:row r="83">
      <x:c r="A83" s="54" t="n">
        <x:v>47300</x:v>
      </x:c>
      <x:c r="B83" s="38" t="n">
        <x:f>P82</x:f>
        <x:v>5166639.31126173</x:v>
      </x:c>
      <x:c r="C83" s="38" t="n">
        <x:f>IF(A83=DATE(2026,11,1),'Вводные'!$B$5,0)</x:f>
        <x:v>0</x:v>
      </x:c>
      <x:c r="D83" s="38" t="n">
        <x:f>'План продаж'!H34</x:f>
        <x:v>3650400</x:v>
      </x:c>
      <x:c r="E83" s="38" t="n">
        <x:f>IF(A83=DATE(2026,11,1),'Вводные'!$B$9,0)</x:f>
        <x:v>0</x:v>
      </x:c>
      <x:c r="F83" s="38" t="n">
        <x:f>'Операционные расходы'!$D$10</x:f>
        <x:v>1087655</x:v>
      </x:c>
      <x:c r="G83" s="38" t="n">
        <x:f>('План продаж'!H31+'План продаж'!H32+'План продаж'!H33)*'Вводные'!$B$32/(1+'Вводные'!$B$32)/3</x:f>
        <x:v>179606.3492063492</x:v>
      </x:c>
      <x:c r="H83" s="38" t="n">
        <x:f>(('План продаж'!H31+'План продаж'!H32+'План продаж'!H33)/(1+'Вводные'!$B$32))*'Вводные'!$B$31</x:f>
        <x:v>646582.857142857</x:v>
      </x:c>
      <x:c r="I83" s="38" t="n">
        <x:f>'Долг'!E35</x:f>
        <x:v>32986.11111111122</x:v>
      </x:c>
      <x:c r="J83" s="38" t="n">
        <x:f>'Долг'!D35</x:f>
        <x:v>416666.6666666667</x:v>
      </x:c>
      <x:c r="K83" s="38" t="n">
        <x:f>'Склад и закупки'!I36*('Вводные'!$B$22*(1+'Вводные'!$B$26)^2)*30%</x:f>
        <x:v>429975</x:v>
      </x:c>
      <x:c r="L83" s="38" t="n">
        <x:f>'Склад и закупки'!I35*(('Вводные'!$B$22*(1+'Вводные'!$B$26)^2)*70%+('Вводные'!$B$23*(1+'Вводные'!$B$26)^2))</x:f>
        <x:v>1334025</x:v>
      </x:c>
      <x:c r="M83" s="38" t="n">
        <x:f>'Склад и закупки'!I34*('Вводные'!$B$24*(1+'Вводные'!$B$26)^2)</x:f>
        <x:v>562058.9236269</x:v>
      </x:c>
      <x:c r="N83" s="38" t="n">
        <x:f>'План продаж'!E34*('Вводные'!$B$27*(1+'Вводные'!$B$28)^2)</x:f>
        <x:v>418709.65499999997</x:v>
      </x:c>
      <x:c r="O83" s="38" t="n">
        <x:f>B83+C83-SUM(E83:M83)</x:f>
        <x:v>477083.4035078464</x:v>
      </x:c>
      <x:c r="P83" s="38" t="n">
        <x:f>O83+D83-N83</x:f>
        <x:v>3708773.7485078466</x:v>
      </x:c>
      <x:c r="Q83" s="38" t="n">
        <x:f>'Склад и закупки'!J34</x:f>
        <x:v>425</x:v>
      </x:c>
    </x:row>
    <x:row r="84">
      <x:c r="A84" s="54" t="n">
        <x:v>47331</x:v>
      </x:c>
      <x:c r="B84" s="38" t="n">
        <x:f>P83</x:f>
        <x:v>3708773.7485078466</x:v>
      </x:c>
      <x:c r="C84" s="38" t="n">
        <x:f>IF(A84=DATE(2026,11,1),'Вводные'!$B$5,0)</x:f>
        <x:v>0</x:v>
      </x:c>
      <x:c r="D84" s="38" t="n">
        <x:f>'План продаж'!H35</x:f>
        <x:v>4378400</x:v>
      </x:c>
      <x:c r="E84" s="38" t="n">
        <x:f>IF(A84=DATE(2026,11,1),'Вводные'!$B$9,0)</x:f>
        <x:v>0</x:v>
      </x:c>
      <x:c r="F84" s="38" t="n">
        <x:f>'Операционные расходы'!$D$10</x:f>
        <x:v>1087655</x:v>
      </x:c>
      <x:c r="G84" s="38" t="n">
        <x:f>('План продаж'!H31+'План продаж'!H32+'План продаж'!H33)*'Вводные'!$B$32/(1+'Вводные'!$B$32)/3</x:f>
        <x:v>179606.3492063492</x:v>
      </x:c>
      <x:c r="H84" s="38" t="n">
        <x:f>0</x:f>
        <x:v>0</x:v>
      </x:c>
      <x:c r="I84" s="38" t="n">
        <x:f>'Долг'!E36</x:f>
        <x:v>26388.888888888996</x:v>
      </x:c>
      <x:c r="J84" s="38" t="n">
        <x:f>'Долг'!D36</x:f>
        <x:v>416666.6666666667</x:v>
      </x:c>
      <x:c r="K84" s="38" t="n">
        <x:f>'Склад и закупки'!I37*('Вводные'!$B$22*(1+'Вводные'!$B$26)^2)*30%</x:f>
        <x:v>0</x:v>
      </x:c>
      <x:c r="L84" s="38" t="n">
        <x:f>'Склад и закупки'!I36*(('Вводные'!$B$22*(1+'Вводные'!$B$26)^2)*70%+('Вводные'!$B$23*(1+'Вводные'!$B$26)^2))</x:f>
        <x:v>1334025</x:v>
      </x:c>
      <x:c r="M84" s="38" t="n">
        <x:f>'Склад и закупки'!I35*('Вводные'!$B$24*(1+'Вводные'!$B$26)^2)</x:f>
        <x:v>562058.9236269</x:v>
      </x:c>
      <x:c r="N84" s="38" t="n">
        <x:f>'План продаж'!E35*('Вводные'!$B$27*(1+'Вводные'!$B$28)^2)</x:f>
        <x:v>502213.005</x:v>
      </x:c>
      <x:c r="O84" s="38" t="n">
        <x:f>B84+C84-SUM(E84:M84)</x:f>
        <x:v>102372.92011904204</x:v>
      </x:c>
      <x:c r="P84" s="38" t="n">
        <x:f>O84+D84-N84</x:f>
        <x:v>3978559.9151190417</x:v>
      </x:c>
      <x:c r="Q84" s="38" t="n">
        <x:f>'Склад и закупки'!J35</x:f>
        <x:v>583</x:v>
      </x:c>
    </x:row>
    <x:row r="85">
      <x:c r="A85" s="54" t="n">
        <x:v>47362</x:v>
      </x:c>
      <x:c r="B85" s="38" t="n">
        <x:f>P84</x:f>
        <x:v>3978559.9151190417</x:v>
      </x:c>
      <x:c r="C85" s="38" t="n">
        <x:f>IF(A85=DATE(2026,11,1),'Вводные'!$B$5,0)</x:f>
        <x:v>0</x:v>
      </x:c>
      <x:c r="D85" s="38" t="n">
        <x:f>'План продаж'!H36</x:f>
        <x:v>4258800</x:v>
      </x:c>
      <x:c r="E85" s="38" t="n">
        <x:f>IF(A85=DATE(2026,11,1),'Вводные'!$B$9,0)</x:f>
        <x:v>0</x:v>
      </x:c>
      <x:c r="F85" s="38" t="n">
        <x:f>'Операционные расходы'!$D$10</x:f>
        <x:v>1087655</x:v>
      </x:c>
      <x:c r="G85" s="38" t="n">
        <x:f>('План продаж'!H31+'План продаж'!H32+'План продаж'!H33)*'Вводные'!$B$32/(1+'Вводные'!$B$32)/3</x:f>
        <x:v>179606.3492063492</x:v>
      </x:c>
      <x:c r="H85" s="38" t="n">
        <x:f>0</x:f>
        <x:v>0</x:v>
      </x:c>
      <x:c r="I85" s="38" t="n">
        <x:f>'Долг'!E37</x:f>
        <x:v>19791.666666666773</x:v>
      </x:c>
      <x:c r="J85" s="38" t="n">
        <x:f>'Долг'!D37</x:f>
        <x:v>416666.6666666667</x:v>
      </x:c>
      <x:c r="K85" s="38" t="n">
        <x:f>'Склад и закупки'!I38*('Вводные'!$B$22*(1+'Вводные'!$B$26)^2)*30%</x:f>
        <x:v>429975</x:v>
      </x:c>
      <x:c r="L85" s="38" t="n">
        <x:f>'Склад и закупки'!I37*(('Вводные'!$B$22*(1+'Вводные'!$B$26)^2)*70%+('Вводные'!$B$23*(1+'Вводные'!$B$26)^2))</x:f>
        <x:v>0</x:v>
      </x:c>
      <x:c r="M85" s="38" t="n">
        <x:f>'Склад и закупки'!I36*('Вводные'!$B$24*(1+'Вводные'!$B$26)^2)</x:f>
        <x:v>562058.9236269</x:v>
      </x:c>
      <x:c r="N85" s="38" t="n">
        <x:f>'План продаж'!E36*('Вводные'!$B$27*(1+'Вводные'!$B$28)^2)</x:f>
        <x:v>488494.5975</x:v>
      </x:c>
      <x:c r="O85" s="38" t="n">
        <x:f>B85+C85-SUM(E85:M85)</x:f>
        <x:v>1282806.3089524591</x:v>
      </x:c>
      <x:c r="P85" s="38" t="n">
        <x:f>O85+D85-N85</x:f>
        <x:v>5053111.711452459</x:v>
      </x:c>
      <x:c r="Q85" s="38" t="n">
        <x:f>'Склад и закупки'!J36</x:f>
        <x:v>764</x:v>
      </x:c>
    </x:row>
    <x:row r="86">
      <x:c r="A86" s="54" t="n">
        <x:v>47392</x:v>
      </x:c>
      <x:c r="B86" s="38" t="n">
        <x:f>P85</x:f>
        <x:v>5053111.711452459</x:v>
      </x:c>
      <x:c r="C86" s="38" t="n">
        <x:f>IF(A86=DATE(2026,11,1),'Вводные'!$B$5,0)</x:f>
        <x:v>0</x:v>
      </x:c>
      <x:c r="D86" s="38" t="n">
        <x:f>'План продаж'!H37</x:f>
        <x:v>3650400</x:v>
      </x:c>
      <x:c r="E86" s="38" t="n">
        <x:f>IF(A86=DATE(2026,11,1),'Вводные'!$B$9,0)</x:f>
        <x:v>0</x:v>
      </x:c>
      <x:c r="F86" s="38" t="n">
        <x:f>'Операционные расходы'!$D$10</x:f>
        <x:v>1087655</x:v>
      </x:c>
      <x:c r="G86" s="38" t="n">
        <x:f>('План продаж'!H34+'План продаж'!H35+'План продаж'!H36)*'Вводные'!$B$32/(1+'Вводные'!$B$32)/3</x:f>
        <x:v>195041.26984126982</x:v>
      </x:c>
      <x:c r="H86" s="38" t="n">
        <x:f>(('План продаж'!H34+'План продаж'!H35+'План продаж'!H36)/(1+'Вводные'!$B$32))*'Вводные'!$B$31</x:f>
        <x:v>702148.5714285714</x:v>
      </x:c>
      <x:c r="I86" s="38" t="n">
        <x:f>'Долг'!E38</x:f>
        <x:v>13194.444444444549</x:v>
      </x:c>
      <x:c r="J86" s="38" t="n">
        <x:f>'Долг'!D38</x:f>
        <x:v>416666.6666666667</x:v>
      </x:c>
      <x:c r="K86" s="38" t="n">
        <x:f>'Склад и закупки'!I39*('Вводные'!$B$22*(1+'Вводные'!$B$26)^2)*30%</x:f>
        <x:v>429975</x:v>
      </x:c>
      <x:c r="L86" s="38" t="n">
        <x:f>'Склад и закупки'!I38*(('Вводные'!$B$22*(1+'Вводные'!$B$26)^2)*70%+('Вводные'!$B$23*(1+'Вводные'!$B$26)^2))</x:f>
        <x:v>1334025</x:v>
      </x:c>
      <x:c r="M86" s="38" t="n">
        <x:f>'Склад и закупки'!I37*('Вводные'!$B$24*(1+'Вводные'!$B$26)^2)</x:f>
        <x:v>0</x:v>
      </x:c>
      <x:c r="N86" s="38" t="n">
        <x:f>'План продаж'!E37*('Вводные'!$B$27*(1+'Вводные'!$B$28)^2)</x:f>
        <x:v>418709.65499999997</x:v>
      </x:c>
      <x:c r="O86" s="38" t="n">
        <x:f>B86+C86-SUM(E86:M86)</x:f>
        <x:v>874405.7590715066</x:v>
      </x:c>
      <x:c r="P86" s="38" t="n">
        <x:f>O86+D86-N86</x:f>
        <x:v>4106096.1040715068</x:v>
      </x:c>
      <x:c r="Q86" s="38" t="n">
        <x:f>'Склад и закупки'!J37</x:f>
        <x:v>62</x:v>
      </x:c>
    </x:row>
    <x:row r="87">
      <x:c r="A87" s="54" t="n">
        <x:v>47423</x:v>
      </x:c>
      <x:c r="B87" s="38" t="n">
        <x:f>P86</x:f>
        <x:v>4106096.1040715068</x:v>
      </x:c>
      <x:c r="C87" s="38" t="n">
        <x:f>IF(A87=DATE(2026,11,1),'Вводные'!$B$5,0)</x:f>
        <x:v>0</x:v>
      </x:c>
      <x:c r="D87" s="38" t="n">
        <x:f>'План продаж'!H38</x:f>
        <x:v>3530800</x:v>
      </x:c>
      <x:c r="E87" s="38" t="n">
        <x:f>IF(A87=DATE(2026,11,1),'Вводные'!$B$9,0)</x:f>
        <x:v>0</x:v>
      </x:c>
      <x:c r="F87" s="38" t="n">
        <x:f>'Операционные расходы'!$D$10</x:f>
        <x:v>1087655</x:v>
      </x:c>
      <x:c r="G87" s="38" t="n">
        <x:f>('План продаж'!H34+'План продаж'!H35+'План продаж'!H36)*'Вводные'!$B$32/(1+'Вводные'!$B$32)/3</x:f>
        <x:v>195041.26984126982</x:v>
      </x:c>
      <x:c r="H87" s="38" t="n">
        <x:f>0</x:f>
        <x:v>0</x:v>
      </x:c>
      <x:c r="I87" s="38" t="n">
        <x:f>'Долг'!E39</x:f>
        <x:v>6597.222222222328</x:v>
      </x:c>
      <x:c r="J87" s="38" t="n">
        <x:f>'Долг'!D39</x:f>
        <x:v>416666.6666666667</x:v>
      </x:c>
      <x:c r="K87" s="38" t="n">
        <x:f>0</x:f>
        <x:v>0</x:v>
      </x:c>
      <x:c r="L87" s="38" t="n">
        <x:f>'Склад и закупки'!I39*(('Вводные'!$B$22*(1+'Вводные'!$B$26)^2)*70%+('Вводные'!$B$23*(1+'Вводные'!$B$26)^2))</x:f>
        <x:v>1334025</x:v>
      </x:c>
      <x:c r="M87" s="38" t="n">
        <x:f>'Склад и закупки'!I38*('Вводные'!$B$24*(1+'Вводные'!$B$26)^2)</x:f>
        <x:v>562058.9236269</x:v>
      </x:c>
      <x:c r="N87" s="38" t="n">
        <x:f>'План продаж'!E38*('Вводные'!$B$27*(1+'Вводные'!$B$28)^2)</x:f>
        <x:v>404991.2475</x:v>
      </x:c>
      <x:c r="O87" s="38" t="n">
        <x:f>B87+C87-SUM(E87:M87)</x:f>
        <x:v>504052.02171444846</x:v>
      </x:c>
      <x:c r="P87" s="38" t="n">
        <x:f>O87+D87-N87</x:f>
        <x:v>3629860.7742144484</x:v>
      </x:c>
      <x:c r="Q87" s="38" t="n">
        <x:f>'Склад и закупки'!J38</x:f>
        <x:v>383</x:v>
      </x:c>
    </x:row>
    <x:row r="88">
      <x:c r="A88" s="54" t="n">
        <x:v>47453</x:v>
      </x:c>
      <x:c r="B88" s="38" t="n">
        <x:f>P87</x:f>
        <x:v>3629860.7742144484</x:v>
      </x:c>
      <x:c r="C88" s="38" t="n">
        <x:f>IF(A88=DATE(2026,11,1),'Вводные'!$B$5,0)</x:f>
        <x:v>0</x:v>
      </x:c>
      <x:c r="D88" s="38" t="n">
        <x:f>'План продаж'!H39</x:f>
        <x:v>3406000</x:v>
      </x:c>
      <x:c r="E88" s="38" t="n">
        <x:f>IF(A88=DATE(2026,11,1),'Вводные'!$B$9,0)</x:f>
        <x:v>0</x:v>
      </x:c>
      <x:c r="F88" s="38" t="n">
        <x:f>'Операционные расходы'!$D$10</x:f>
        <x:v>1087655</x:v>
      </x:c>
      <x:c r="G88" s="38" t="n">
        <x:f>('План продаж'!H34+'План продаж'!H35+'План продаж'!H36)*'Вводные'!$B$32/(1+'Вводные'!$B$32)/3</x:f>
        <x:v>195041.26984126982</x:v>
      </x:c>
      <x:c r="H88" s="38" t="n">
        <x:f>0</x:f>
        <x:v>0</x:v>
      </x:c>
      <x:c r="I88" s="38" t="n">
        <x:v>0</x:v>
      </x:c>
      <x:c r="J88" s="38" t="n">
        <x:v>0</x:v>
      </x:c>
      <x:c r="K88" s="38" t="n">
        <x:f>0</x:f>
        <x:v>0</x:v>
      </x:c>
      <x:c r="L88" s="38" t="n">
        <x:f>0</x:f>
        <x:v>0</x:v>
      </x:c>
      <x:c r="M88" s="38" t="n">
        <x:f>'Склад и закупки'!I39*('Вводные'!$B$24*(1+'Вводные'!$B$26)^2)</x:f>
        <x:v>562058.9236269</x:v>
      </x:c>
      <x:c r="N88" s="38" t="n">
        <x:f>'План продаж'!E39*('Вводные'!$B$27*(1+'Вводные'!$B$28)^2)</x:f>
        <x:v>390676.3875</x:v>
      </x:c>
      <x:c r="O88" s="38" t="n">
        <x:f>B88+C88-SUM(E88:M88)</x:f>
        <x:v>1785105.5807462786</x:v>
      </x:c>
      <x:c r="P88" s="38" t="n">
        <x:f>O88+D88-N88</x:f>
        <x:v>4800429.193246278</x:v>
      </x:c>
      <x:c r="Q88" s="38" t="n">
        <x:f>'Склад и закупки'!J39</x:f>
        <x:v>728</x:v>
      </x:c>
    </x:row>
    <x:row r="89">
      <x:c r="A89" s="54" t="n">
        <x:v>47484</x:v>
      </x:c>
      <x:c r="B89" s="38" t="n">
        <x:f>P88</x:f>
        <x:v>4800429.193246278</x:v>
      </x:c>
      <x:c r="C89" s="38" t="n">
        <x:f>IF(A89=DATE(2026,11,1),'Вводные'!$B$5,0)</x:f>
        <x:v>0</x:v>
      </x:c>
      <x:c r="D89" s="38" t="n">
        <x:v>0</x:v>
      </x:c>
      <x:c r="E89" s="38" t="n">
        <x:f>IF(A89=DATE(2026,11,1),'Вводные'!$B$9,0)</x:f>
        <x:v>0</x:v>
      </x:c>
      <x:c r="F89" s="38" t="n">
        <x:v>0</x:v>
      </x:c>
      <x:c r="G89" s="38" t="n">
        <x:f>('План продаж'!H37+'План продаж'!H38+'План продаж'!H39)*'Вводные'!$B$32/(1+'Вводные'!$B$32)/3</x:f>
        <x:v>168050.79365079364</x:v>
      </x:c>
      <x:c r="H89" s="38" t="n">
        <x:f>0</x:f>
        <x:v>0</x:v>
      </x:c>
      <x:c r="I89" s="38" t="n">
        <x:v>0</x:v>
      </x:c>
      <x:c r="J89" s="38" t="n">
        <x:v>0</x:v>
      </x:c>
      <x:c r="K89" s="38" t="n">
        <x:f>0</x:f>
        <x:v>0</x:v>
      </x:c>
      <x:c r="L89" s="38" t="n">
        <x:f>0</x:f>
        <x:v>0</x:v>
      </x:c>
      <x:c r="M89" s="38" t="n">
        <x:f>0</x:f>
        <x:v>0</x:v>
      </x:c>
      <x:c r="N89" s="38" t="n">
        <x:v>0</x:v>
      </x:c>
      <x:c r="O89" s="38" t="n">
        <x:f>B89+C89-SUM(E89:M89)</x:f>
        <x:v>4632378.399595484</x:v>
      </x:c>
      <x:c r="P89" s="38" t="n">
        <x:f>O89+D89-N89</x:f>
        <x:v>4632378.399595484</x:v>
      </x:c>
      <x:c r="Q89" s="38" t="n">
        <x:v>0</x:v>
      </x:c>
    </x:row>
    <x:row r="90">
      <x:c r="A90" s="54" t="n">
        <x:v>47515</x:v>
      </x:c>
      <x:c r="B90" s="38" t="n">
        <x:f>P89</x:f>
        <x:v>4632378.399595484</x:v>
      </x:c>
      <x:c r="C90" s="38" t="n">
        <x:f>IF(A90=DATE(2026,11,1),'Вводные'!$B$5,0)</x:f>
        <x:v>0</x:v>
      </x:c>
      <x:c r="D90" s="38" t="n">
        <x:v>0</x:v>
      </x:c>
      <x:c r="E90" s="38" t="n">
        <x:f>IF(A90=DATE(2026,11,1),'Вводные'!$B$9,0)</x:f>
        <x:v>0</x:v>
      </x:c>
      <x:c r="F90" s="38" t="n">
        <x:v>0</x:v>
      </x:c>
      <x:c r="G90" s="38" t="n">
        <x:f>('План продаж'!H37+'План продаж'!H38+'План продаж'!H39)*'Вводные'!$B$32/(1+'Вводные'!$B$32)/3</x:f>
        <x:v>168050.79365079364</x:v>
      </x:c>
      <x:c r="H90" s="38" t="n">
        <x:f>0</x:f>
        <x:v>0</x:v>
      </x:c>
      <x:c r="I90" s="38" t="n">
        <x:v>0</x:v>
      </x:c>
      <x:c r="J90" s="38" t="n">
        <x:v>0</x:v>
      </x:c>
      <x:c r="K90" s="38" t="n">
        <x:f>0</x:f>
        <x:v>0</x:v>
      </x:c>
      <x:c r="L90" s="38" t="n">
        <x:f>0</x:f>
        <x:v>0</x:v>
      </x:c>
      <x:c r="M90" s="38" t="n">
        <x:f>0</x:f>
        <x:v>0</x:v>
      </x:c>
      <x:c r="N90" s="38" t="n">
        <x:v>0</x:v>
      </x:c>
      <x:c r="O90" s="38" t="n">
        <x:f>B90+C90-SUM(E90:M90)</x:f>
        <x:v>4464327.60594469</x:v>
      </x:c>
      <x:c r="P90" s="38" t="n">
        <x:f>O90+D90-N90</x:f>
        <x:v>4464327.60594469</x:v>
      </x:c>
      <x:c r="Q90" s="38" t="n">
        <x:v>0</x:v>
      </x:c>
    </x:row>
    <x:row r="91">
      <x:c r="A91" s="54" t="n">
        <x:v>47543</x:v>
      </x:c>
      <x:c r="B91" s="38" t="n">
        <x:f>P90</x:f>
        <x:v>4464327.60594469</x:v>
      </x:c>
      <x:c r="C91" s="38" t="n">
        <x:f>IF(A91=DATE(2026,11,1),'Вводные'!$B$5,0)</x:f>
        <x:v>0</x:v>
      </x:c>
      <x:c r="D91" s="38" t="n">
        <x:v>0</x:v>
      </x:c>
      <x:c r="E91" s="38" t="n">
        <x:f>IF(A91=DATE(2026,11,1),'Вводные'!$B$9,0)</x:f>
        <x:v>0</x:v>
      </x:c>
      <x:c r="F91" s="38" t="n">
        <x:v>0</x:v>
      </x:c>
      <x:c r="G91" s="38" t="n">
        <x:f>('План продаж'!H37+'План продаж'!H38+'План продаж'!H39)*'Вводные'!$B$32/(1+'Вводные'!$B$32)/3</x:f>
        <x:v>168050.79365079364</x:v>
      </x:c>
      <x:c r="H91" s="38" t="n">
        <x:f>0</x:f>
        <x:v>0</x:v>
      </x:c>
      <x:c r="I91" s="38" t="n">
        <x:v>0</x:v>
      </x:c>
      <x:c r="J91" s="38" t="n">
        <x:v>0</x:v>
      </x:c>
      <x:c r="K91" s="38" t="n">
        <x:f>0</x:f>
        <x:v>0</x:v>
      </x:c>
      <x:c r="L91" s="38" t="n">
        <x:f>0</x:f>
        <x:v>0</x:v>
      </x:c>
      <x:c r="M91" s="38" t="n">
        <x:f>0</x:f>
        <x:v>0</x:v>
      </x:c>
      <x:c r="N91" s="38" t="n">
        <x:v>0</x:v>
      </x:c>
      <x:c r="O91" s="38" t="n">
        <x:f>B91+C91-SUM(E91:M91)</x:f>
        <x:v>4296276.812293896</x:v>
      </x:c>
      <x:c r="P91" s="38" t="n">
        <x:f>O91+D91-N91</x:f>
        <x:v>4296276.812293896</x:v>
      </x:c>
      <x:c r="Q91" s="38" t="n">
        <x:v>0</x:v>
      </x:c>
    </x:row>
    <x:row r="92">
      <x:c r="A92" s="54" t="n">
        <x:v>47574</x:v>
      </x:c>
      <x:c r="B92" s="38" t="n">
        <x:f>P91</x:f>
        <x:v>4296276.812293896</x:v>
      </x:c>
      <x:c r="C92" s="38" t="n">
        <x:f>IF(A92=DATE(2026,11,1),'Вводные'!$B$5,0)</x:f>
        <x:v>0</x:v>
      </x:c>
      <x:c r="D92" s="38" t="n">
        <x:v>0</x:v>
      </x:c>
      <x:c r="E92" s="38" t="n">
        <x:f>IF(A92=DATE(2026,11,1),'Вводные'!$B$9,0)</x:f>
        <x:v>0</x:v>
      </x:c>
      <x:c r="F92" s="38" t="n">
        <x:v>0</x:v>
      </x:c>
      <x:c r="G92" s="38" t="n">
        <x:f>0</x:f>
        <x:v>0</x:v>
      </x:c>
      <x:c r="H92" s="38" t="n">
        <x:f>(('План продаж'!H37+'План продаж'!H38+'План продаж'!H39)/(1+'Вводные'!$B$32))*'Вводные'!$B$31</x:f>
        <x:v>604982.8571428572</x:v>
      </x:c>
      <x:c r="I92" s="38" t="n">
        <x:v>0</x:v>
      </x:c>
      <x:c r="J92" s="38" t="n">
        <x:v>0</x:v>
      </x:c>
      <x:c r="K92" s="38" t="n">
        <x:f>0</x:f>
        <x:v>0</x:v>
      </x:c>
      <x:c r="L92" s="38" t="n">
        <x:f>0</x:f>
        <x:v>0</x:v>
      </x:c>
      <x:c r="M92" s="38" t="n">
        <x:f>0</x:f>
        <x:v>0</x:v>
      </x:c>
      <x:c r="N92" s="38" t="n">
        <x:v>0</x:v>
      </x:c>
      <x:c r="O92" s="38" t="n">
        <x:f>B92+C92-SUM(E92:M92)</x:f>
        <x:v>3691293.955151039</x:v>
      </x:c>
      <x:c r="P92" s="38" t="n">
        <x:f>O92+D92-N92</x:f>
        <x:v>3691293.955151039</x:v>
      </x:c>
      <x:c r="Q92" s="38" t="n">
        <x:v>0</x:v>
      </x:c>
    </x:row>
    <x:row r="93">
      <x:c r="A93" s="50" t="str">
        <x:v>ИТОГО / МИНИМУМ</x:v>
      </x:c>
      <x:c r="B93" s="51"/>
      <x:c r="C93" s="51" t="n">
        <x:f>SUM(C51:C92)</x:f>
        <x:v>15000000</x:v>
      </x:c>
      <x:c r="D93" s="51" t="n">
        <x:f>SUM(D51:D92)</x:f>
        <x:v>131414400</x:v>
      </x:c>
      <x:c r="E93" s="51" t="n">
        <x:f>SUM(E51:E92)</x:f>
        <x:v>900000</x:v>
      </x:c>
      <x:c r="F93" s="51" t="n">
        <x:f>SUM(F51:F92)</x:f>
        <x:v>36649860</x:v>
      </x:c>
      <x:c r="G93" s="51" t="n">
        <x:f>SUM(G51:G92)</x:f>
        <x:v>6257828.571428571</x:v>
      </x:c>
      <x:c r="H93" s="51" t="n">
        <x:f>SUM(H51:H92)</x:f>
        <x:v>7509394.285714286</x:v>
      </x:c>
      <x:c r="I93" s="51" t="n">
        <x:f>SUM(I51:I92)</x:f>
        <x:v>4393750.000000004</x:v>
      </x:c>
      <x:c r="J93" s="51" t="n">
        <x:f>SUM(J51:J92)</x:f>
        <x:v>14999999.999999993</x:v>
      </x:c>
      <x:c r="K93" s="51" t="n">
        <x:f>SUM(K51:K92)</x:f>
        <x:v>10655775</x:v>
      </x:c>
      <x:c r="L93" s="51" t="n">
        <x:f>SUM(L51:L92)</x:f>
        <x:v>33060225</x:v>
      </x:c>
      <x:c r="M93" s="51" t="n">
        <x:f>SUM(M51:M92)</x:f>
        <x:v>13929120.127706096</x:v>
      </x:c>
      <x:c r="N93" s="51" t="n">
        <x:f>SUM(N51:N92)</x:f>
        <x:v>14367153.059999997</x:v>
      </x:c>
      <x:c r="O93" s="51" t="n">
        <x:f>MIN(O51:O92)</x:f>
        <x:v>102372.92011904204</x:v>
      </x:c>
      <x:c r="P93" s="51" t="n">
        <x:f>P92</x:f>
        <x:v>3691293.955151039</x:v>
      </x:c>
      <x:c r="Q93" s="51" t="n">
        <x:f>Q88</x:f>
        <x:v>728</x:v>
      </x:c>
    </x:row>
    <x:row r="95">
      <x:c r="A95" s="50" t="str">
        <x:v>750 ПАР/МЕС. — С РЕЗЕРВОМ</x:v>
      </x:c>
      <x:c r="B95" s="50" t="str">
        <x:v>Деньги на начало</x:v>
      </x:c>
      <x:c r="C95" s="50" t="str">
        <x:v>Заём</x:v>
      </x:c>
      <x:c r="D95" s="50" t="str">
        <x:v>Поступления от продаж</x:v>
      </x:c>
      <x:c r="E95" s="50" t="str">
        <x:v>Предстартовые расходы</x:v>
      </x:c>
      <x:c r="F95" s="50" t="str">
        <x:v>Постоянные расходы</x:v>
      </x:c>
      <x:c r="G95" s="50" t="str">
        <x:v>НДС</x:v>
      </x:c>
      <x:c r="H95" s="50" t="str">
        <x:v>УСН</x:v>
      </x:c>
      <x:c r="I95" s="50" t="str">
        <x:v>Проценты</x:v>
      </x:c>
      <x:c r="J95" s="50" t="str">
        <x:v>Тело займа</x:v>
      </x:c>
      <x:c r="K95" s="50" t="str">
        <x:v>Оплата заказа</x:v>
      </x:c>
      <x:c r="L95" s="50" t="str">
        <x:v>Оплата перед отправкой</x:v>
      </x:c>
      <x:c r="M95" s="50" t="str">
        <x:v>Оплата при приходе</x:v>
      </x:c>
      <x:c r="N95" s="50" t="str">
        <x:v>Переменные расходы</x:v>
      </x:c>
      <x:c r="O95" s="50" t="str">
        <x:v>Мин. внутри месяца</x:v>
      </x:c>
      <x:c r="P95" s="50" t="str">
        <x:v>Деньги на конец</x:v>
      </x:c>
      <x:c r="Q95" s="50" t="str">
        <x:v>Склад на конец, пар</x:v>
      </x:c>
    </x:row>
    <x:row r="96">
      <x:c r="A96" s="10" t="str">
        <x:v>Месяц</x:v>
      </x:c>
      <x:c r="B96" s="10" t="str">
        <x:v>Деньги на начало</x:v>
      </x:c>
      <x:c r="C96" s="10" t="str">
        <x:v>Заём</x:v>
      </x:c>
      <x:c r="D96" s="10" t="str">
        <x:v>Поступления от продаж</x:v>
      </x:c>
      <x:c r="E96" s="10" t="str">
        <x:v>Предстартовые расходы</x:v>
      </x:c>
      <x:c r="F96" s="10" t="str">
        <x:v>Постоянные расходы</x:v>
      </x:c>
      <x:c r="G96" s="10" t="str">
        <x:v>НДС</x:v>
      </x:c>
      <x:c r="H96" s="10" t="str">
        <x:v>УСН</x:v>
      </x:c>
      <x:c r="I96" s="10" t="str">
        <x:v>Проценты</x:v>
      </x:c>
      <x:c r="J96" s="10" t="str">
        <x:v>Тело займа</x:v>
      </x:c>
      <x:c r="K96" s="10" t="str">
        <x:v>Оплата заказа</x:v>
      </x:c>
      <x:c r="L96" s="10" t="str">
        <x:v>Оплата перед отправкой</x:v>
      </x:c>
      <x:c r="M96" s="10" t="str">
        <x:v>Оплата при приходе</x:v>
      </x:c>
      <x:c r="N96" s="10" t="str">
        <x:v>Переменные расходы</x:v>
      </x:c>
      <x:c r="O96" s="10" t="str">
        <x:v>Мин. внутри месяца</x:v>
      </x:c>
      <x:c r="P96" s="10" t="str">
        <x:v>Деньги на конец</x:v>
      </x:c>
      <x:c r="Q96" s="10" t="str">
        <x:v>Склад на конец, пар</x:v>
      </x:c>
    </x:row>
    <x:row r="97">
      <x:c r="A97" s="54" t="n">
        <x:v>46327</x:v>
      </x:c>
      <x:c r="B97" s="38" t="n">
        <x:f>'Вводные'!B8</x:f>
        <x:v>0</x:v>
      </x:c>
      <x:c r="C97" s="38" t="n">
        <x:f>IF(A97=DATE(2026,11,1),'Вводные'!$B$5,0)</x:f>
        <x:v>15000000</x:v>
      </x:c>
      <x:c r="D97" s="38" t="n">
        <x:v>0</x:v>
      </x:c>
      <x:c r="E97" s="38" t="n">
        <x:f>IF(A97=DATE(2026,11,1),'Вводные'!$B$9,0)</x:f>
        <x:v>900000</x:v>
      </x:c>
      <x:c r="F97" s="38" t="n">
        <x:v>0</x:v>
      </x:c>
      <x:c r="G97" s="38" t="n">
        <x:f>0</x:f>
        <x:v>0</x:v>
      </x:c>
      <x:c r="H97" s="38" t="n">
        <x:f>0</x:f>
        <x:v>0</x:v>
      </x:c>
      <x:c r="I97" s="38" t="n">
        <x:v>0</x:v>
      </x:c>
      <x:c r="J97" s="38" t="n">
        <x:v>0</x:v>
      </x:c>
      <x:c r="K97" s="38" t="n">
        <x:f>'Вводные'!$B$10*'Вводные'!$B$22*30%</x:f>
        <x:v>1170000</x:v>
      </x:c>
      <x:c r="L97" s="38" t="n">
        <x:v>0</x:v>
      </x:c>
      <x:c r="M97" s="38" t="n">
        <x:v>0</x:v>
      </x:c>
      <x:c r="N97" s="38" t="n">
        <x:v>0</x:v>
      </x:c>
      <x:c r="O97" s="38" t="n">
        <x:f>B97+C97-SUM(E97:M97)</x:f>
        <x:v>12930000</x:v>
      </x:c>
      <x:c r="P97" s="38" t="n">
        <x:f>O97+D97-N97</x:f>
        <x:v>12930000</x:v>
      </x:c>
      <x:c r="Q97" s="38" t="n">
        <x:v>0</x:v>
      </x:c>
    </x:row>
    <x:row r="98">
      <x:c r="A98" s="54" t="n">
        <x:v>46357</x:v>
      </x:c>
      <x:c r="B98" s="38" t="n">
        <x:f>P97</x:f>
        <x:v>12930000</x:v>
      </x:c>
      <x:c r="C98" s="38" t="n">
        <x:f>IF(A98=DATE(2026,11,1),'Вводные'!$B$5,0)</x:f>
        <x:v>0</x:v>
      </x:c>
      <x:c r="D98" s="38" t="n">
        <x:v>0</x:v>
      </x:c>
      <x:c r="E98" s="38" t="n">
        <x:f>IF(A98=DATE(2026,11,1),'Вводные'!$B$9,0)</x:f>
        <x:v>0</x:v>
      </x:c>
      <x:c r="F98" s="38" t="n">
        <x:v>0</x:v>
      </x:c>
      <x:c r="G98" s="38" t="n">
        <x:f>0</x:f>
        <x:v>0</x:v>
      </x:c>
      <x:c r="H98" s="38" t="n">
        <x:f>0</x:f>
        <x:v>0</x:v>
      </x:c>
      <x:c r="I98" s="38" t="n">
        <x:f>'Долг'!E4</x:f>
        <x:v>237500</x:v>
      </x:c>
      <x:c r="J98" s="38" t="n">
        <x:f>'Долг'!D4</x:f>
        <x:v>416666.6666666667</x:v>
      </x:c>
      <x:c r="K98" s="38" t="n">
        <x:v>0</x:v>
      </x:c>
      <x:c r="L98" s="38" t="n">
        <x:f>'Вводные'!$B$10*('Вводные'!$B$22*70%+'Вводные'!$B$23)</x:f>
        <x:v>3630000</x:v>
      </x:c>
      <x:c r="M98" s="38" t="n">
        <x:v>0</x:v>
      </x:c>
      <x:c r="N98" s="38" t="n">
        <x:v>0</x:v>
      </x:c>
      <x:c r="O98" s="38" t="n">
        <x:f>B98+C98-SUM(E98:M98)</x:f>
        <x:v>8645833.333333332</x:v>
      </x:c>
      <x:c r="P98" s="38" t="n">
        <x:f>O98+D98-N98</x:f>
        <x:v>8645833.333333332</x:v>
      </x:c>
      <x:c r="Q98" s="38" t="n">
        <x:v>0</x:v>
      </x:c>
    </x:row>
    <x:row r="99">
      <x:c r="A99" s="54" t="n">
        <x:v>46388</x:v>
      </x:c>
      <x:c r="B99" s="38" t="n">
        <x:f>P98</x:f>
        <x:v>8645833.333333332</x:v>
      </x:c>
      <x:c r="C99" s="38" t="n">
        <x:f>IF(A99=DATE(2026,11,1),'Вводные'!$B$5,0)</x:f>
        <x:v>0</x:v>
      </x:c>
      <x:c r="D99" s="38" t="n">
        <x:f>'План продаж'!I4</x:f>
        <x:v>2860000</x:v>
      </x:c>
      <x:c r="E99" s="38" t="n">
        <x:f>IF(A99=DATE(2026,11,1),'Вводные'!$B$9,0)</x:f>
        <x:v>0</x:v>
      </x:c>
      <x:c r="F99" s="38" t="n">
        <x:f>'Операционные расходы'!$B$10</x:f>
        <x:v>950000</x:v>
      </x:c>
      <x:c r="G99" s="38" t="n">
        <x:f>0</x:f>
        <x:v>0</x:v>
      </x:c>
      <x:c r="H99" s="38" t="n">
        <x:f>0</x:f>
        <x:v>0</x:v>
      </x:c>
      <x:c r="I99" s="38" t="n">
        <x:f>'Долг'!E5</x:f>
        <x:v>230902.77777777778</x:v>
      </x:c>
      <x:c r="J99" s="38" t="n">
        <x:f>'Долг'!D5</x:f>
        <x:v>416666.6666666667</x:v>
      </x:c>
      <x:c r="K99" s="38" t="n">
        <x:v>0</x:v>
      </x:c>
      <x:c r="L99" s="38" t="n">
        <x:v>0</x:v>
      </x:c>
      <x:c r="M99" s="38" t="n">
        <x:f>'Вводные'!$B$10*'Вводные'!$B$24</x:f>
        <x:v>1529412.03708</x:v>
      </x:c>
      <x:c r="N99" s="38" t="n">
        <x:f>'План продаж'!F4*('Вводные'!$B$27)</x:f>
        <x:v>297550</x:v>
      </x:c>
      <x:c r="O99" s="38" t="n">
        <x:f>B99+C99-SUM(E99:M99)</x:f>
        <x:v>5518851.851808888</x:v>
      </x:c>
      <x:c r="P99" s="38" t="n">
        <x:f>O99+D99-N99</x:f>
        <x:v>8081301.851808888</x:v>
      </x:c>
      <x:c r="Q99" s="38" t="n">
        <x:f>'Склад и закупки'!N4</x:f>
        <x:v>2450</x:v>
      </x:c>
    </x:row>
    <x:row r="100">
      <x:c r="A100" s="54" t="n">
        <x:v>46419</x:v>
      </x:c>
      <x:c r="B100" s="38" t="n">
        <x:f>P99</x:f>
        <x:v>8081301.851808888</x:v>
      </x:c>
      <x:c r="C100" s="38" t="n">
        <x:f>IF(A100=DATE(2026,11,1),'Вводные'!$B$5,0)</x:f>
        <x:v>0</x:v>
      </x:c>
      <x:c r="D100" s="38" t="n">
        <x:f>'План продаж'!I5</x:f>
        <x:v>3120000</x:v>
      </x:c>
      <x:c r="E100" s="38" t="n">
        <x:f>IF(A100=DATE(2026,11,1),'Вводные'!$B$9,0)</x:f>
        <x:v>0</x:v>
      </x:c>
      <x:c r="F100" s="38" t="n">
        <x:f>'Операционные расходы'!$B$10</x:f>
        <x:v>950000</x:v>
      </x:c>
      <x:c r="G100" s="38" t="n">
        <x:f>0</x:f>
        <x:v>0</x:v>
      </x:c>
      <x:c r="H100" s="38" t="n">
        <x:f>0</x:f>
        <x:v>0</x:v>
      </x:c>
      <x:c r="I100" s="38" t="n">
        <x:f>'Долг'!E6</x:f>
        <x:v>224305.5555555556</x:v>
      </x:c>
      <x:c r="J100" s="38" t="n">
        <x:f>'Долг'!D6</x:f>
        <x:v>416666.6666666667</x:v>
      </x:c>
      <x:c r="K100" s="38" t="n">
        <x:f>'Склад и закупки'!M7*('Вводные'!$B$22)*30%</x:f>
        <x:v>0</x:v>
      </x:c>
      <x:c r="L100" s="38" t="n">
        <x:f>'Склад и закупки'!M6*(('Вводные'!$B$22)*70%+('Вводные'!$B$23))</x:f>
        <x:v>0</x:v>
      </x:c>
      <x:c r="M100" s="38" t="n">
        <x:f>'Склад и закупки'!M5*('Вводные'!$B$24)</x:f>
        <x:v>0</x:v>
      </x:c>
      <x:c r="N100" s="38" t="n">
        <x:f>'План продаж'!F5*('Вводные'!$B$27)</x:f>
        <x:v>324600</x:v>
      </x:c>
      <x:c r="O100" s="38" t="n">
        <x:f>B100+C100-SUM(E100:M100)</x:f>
        <x:v>6490329.629586666</x:v>
      </x:c>
      <x:c r="P100" s="38" t="n">
        <x:f>O100+D100-N100</x:f>
        <x:v>9285729.629586667</x:v>
      </x:c>
      <x:c r="Q100" s="38" t="n">
        <x:f>'Склад и закупки'!N5</x:f>
        <x:v>1850</x:v>
      </x:c>
    </x:row>
    <x:row r="101">
      <x:c r="A101" s="54" t="n">
        <x:v>46447</x:v>
      </x:c>
      <x:c r="B101" s="38" t="n">
        <x:f>P100</x:f>
        <x:v>9285729.629586667</x:v>
      </x:c>
      <x:c r="C101" s="38" t="n">
        <x:f>IF(A101=DATE(2026,11,1),'Вводные'!$B$5,0)</x:f>
        <x:v>0</x:v>
      </x:c>
      <x:c r="D101" s="38" t="n">
        <x:f>'План продаж'!I6</x:f>
        <x:v>4290000</x:v>
      </x:c>
      <x:c r="E101" s="38" t="n">
        <x:f>IF(A101=DATE(2026,11,1),'Вводные'!$B$9,0)</x:f>
        <x:v>0</x:v>
      </x:c>
      <x:c r="F101" s="38" t="n">
        <x:f>'Операционные расходы'!$B$10</x:f>
        <x:v>950000</x:v>
      </x:c>
      <x:c r="G101" s="38" t="n">
        <x:f>0</x:f>
        <x:v>0</x:v>
      </x:c>
      <x:c r="H101" s="38" t="n">
        <x:f>0</x:f>
        <x:v>0</x:v>
      </x:c>
      <x:c r="I101" s="38" t="n">
        <x:f>'Долг'!E7</x:f>
        <x:v>217708.33333333337</x:v>
      </x:c>
      <x:c r="J101" s="38" t="n">
        <x:f>'Долг'!D7</x:f>
        <x:v>416666.6666666667</x:v>
      </x:c>
      <x:c r="K101" s="38" t="n">
        <x:f>'Склад и закупки'!M8*('Вводные'!$B$22)*30%</x:f>
        <x:v>390000</x:v>
      </x:c>
      <x:c r="L101" s="38" t="n">
        <x:f>'Склад и закупки'!M7*(('Вводные'!$B$22)*70%+('Вводные'!$B$23))</x:f>
        <x:v>0</x:v>
      </x:c>
      <x:c r="M101" s="38" t="n">
        <x:f>'Склад и закупки'!M6*('Вводные'!$B$24)</x:f>
        <x:v>0</x:v>
      </x:c>
      <x:c r="N101" s="38" t="n">
        <x:f>'План продаж'!F6*('Вводные'!$B$27)</x:f>
        <x:v>446325</x:v>
      </x:c>
      <x:c r="O101" s="38" t="n">
        <x:f>B101+C101-SUM(E101:M101)</x:f>
        <x:v>7311354.629586667</x:v>
      </x:c>
      <x:c r="P101" s="38" t="n">
        <x:f>O101+D101-N101</x:f>
        <x:v>11155029.629586667</x:v>
      </x:c>
      <x:c r="Q101" s="38" t="n">
        <x:f>'Склад и закупки'!N6</x:f>
        <x:v>1025</x:v>
      </x:c>
    </x:row>
    <x:row r="102">
      <x:c r="A102" s="54" t="n">
        <x:v>46478</x:v>
      </x:c>
      <x:c r="B102" s="38" t="n">
        <x:f>P101</x:f>
        <x:v>11155029.629586667</x:v>
      </x:c>
      <x:c r="C102" s="38" t="n">
        <x:f>IF(A102=DATE(2026,11,1),'Вводные'!$B$5,0)</x:f>
        <x:v>0</x:v>
      </x:c>
      <x:c r="D102" s="38" t="n">
        <x:f>'План продаж'!I7</x:f>
        <x:v>4680000</x:v>
      </x:c>
      <x:c r="E102" s="38" t="n">
        <x:f>IF(A102=DATE(2026,11,1),'Вводные'!$B$9,0)</x:f>
        <x:v>0</x:v>
      </x:c>
      <x:c r="F102" s="38" t="n">
        <x:f>'Операционные расходы'!$B$10</x:f>
        <x:v>950000</x:v>
      </x:c>
      <x:c r="G102" s="38" t="n">
        <x:f>('План продаж'!I4+'План продаж'!I5+'План продаж'!I6)*'Вводные'!$B$32/(1+'Вводные'!$B$32)/3</x:f>
        <x:v>163015.87301587302</x:v>
      </x:c>
      <x:c r="H102" s="38" t="n">
        <x:f>(('План продаж'!I4+'План продаж'!I5+'План продаж'!I6)/(1+'Вводные'!$B$32))*'Вводные'!$B$31</x:f>
        <x:v>586857.1428571428</x:v>
      </x:c>
      <x:c r="I102" s="38" t="n">
        <x:f>'Долг'!E8</x:f>
        <x:v>211111.11111111115</x:v>
      </x:c>
      <x:c r="J102" s="38" t="n">
        <x:f>'Долг'!D8</x:f>
        <x:v>416666.6666666667</x:v>
      </x:c>
      <x:c r="K102" s="38" t="n">
        <x:f>'Склад и закупки'!M9*('Вводные'!$B$22)*30%</x:f>
        <x:v>390000</x:v>
      </x:c>
      <x:c r="L102" s="38" t="n">
        <x:f>'Склад и закупки'!M8*(('Вводные'!$B$22)*70%+('Вводные'!$B$23))</x:f>
        <x:v>1210000</x:v>
      </x:c>
      <x:c r="M102" s="38" t="n">
        <x:f>'Склад и закупки'!M7*('Вводные'!$B$24)</x:f>
        <x:v>0</x:v>
      </x:c>
      <x:c r="N102" s="38" t="n">
        <x:f>'План продаж'!F7*('Вводные'!$B$27)</x:f>
        <x:v>486900</x:v>
      </x:c>
      <x:c r="O102" s="38" t="n">
        <x:f>B102+C102-SUM(E102:M102)</x:f>
        <x:v>7227378.835935873</x:v>
      </x:c>
      <x:c r="P102" s="38" t="n">
        <x:f>O102+D102-N102</x:f>
        <x:v>11420478.835935872</x:v>
      </x:c>
      <x:c r="Q102" s="38" t="n">
        <x:f>'Склад и закупки'!N7</x:f>
        <x:v>125</x:v>
      </x:c>
    </x:row>
    <x:row r="103">
      <x:c r="A103" s="54" t="n">
        <x:v>46508</x:v>
      </x:c>
      <x:c r="B103" s="38" t="n">
        <x:f>P102</x:f>
        <x:v>11420478.835935872</x:v>
      </x:c>
      <x:c r="C103" s="38" t="n">
        <x:f>IF(A103=DATE(2026,11,1),'Вводные'!$B$5,0)</x:f>
        <x:v>0</x:v>
      </x:c>
      <x:c r="D103" s="38" t="n">
        <x:f>'План продаж'!I8</x:f>
        <x:v>3770000</x:v>
      </x:c>
      <x:c r="E103" s="38" t="n">
        <x:f>IF(A103=DATE(2026,11,1),'Вводные'!$B$9,0)</x:f>
        <x:v>0</x:v>
      </x:c>
      <x:c r="F103" s="38" t="n">
        <x:f>'Операционные расходы'!$B$10</x:f>
        <x:v>950000</x:v>
      </x:c>
      <x:c r="G103" s="38" t="n">
        <x:f>('План продаж'!I4+'План продаж'!I5+'План продаж'!I6)*'Вводные'!$B$32/(1+'Вводные'!$B$32)/3</x:f>
        <x:v>163015.87301587302</x:v>
      </x:c>
      <x:c r="H103" s="38" t="n">
        <x:f>0</x:f>
        <x:v>0</x:v>
      </x:c>
      <x:c r="I103" s="38" t="n">
        <x:f>'Долг'!E9</x:f>
        <x:v>204513.88888888896</x:v>
      </x:c>
      <x:c r="J103" s="38" t="n">
        <x:f>'Долг'!D9</x:f>
        <x:v>416666.6666666667</x:v>
      </x:c>
      <x:c r="K103" s="38" t="n">
        <x:f>'Склад и закупки'!M10*('Вводные'!$B$22)*30%</x:f>
        <x:v>390000</x:v>
      </x:c>
      <x:c r="L103" s="38" t="n">
        <x:f>'Склад и закупки'!M9*(('Вводные'!$B$22)*70%+('Вводные'!$B$23))</x:f>
        <x:v>1210000</x:v>
      </x:c>
      <x:c r="M103" s="38" t="n">
        <x:f>'Склад и закупки'!M8*('Вводные'!$B$24)</x:f>
        <x:v>509804.01236</x:v>
      </x:c>
      <x:c r="N103" s="38" t="n">
        <x:f>'План продаж'!F8*('Вводные'!$B$27)</x:f>
        <x:v>392225</x:v>
      </x:c>
      <x:c r="O103" s="38" t="n">
        <x:f>B103+C103-SUM(E103:M103)</x:f>
        <x:v>7576478.395004443</x:v>
      </x:c>
      <x:c r="P103" s="38" t="n">
        <x:f>O103+D103-N103</x:f>
        <x:v>10954253.395004444</x:v>
      </x:c>
      <x:c r="Q103" s="38" t="n">
        <x:f>'Склад и закупки'!N8</x:f>
        <x:v>400</x:v>
      </x:c>
    </x:row>
    <x:row r="104">
      <x:c r="A104" s="54" t="n">
        <x:v>46539</x:v>
      </x:c>
      <x:c r="B104" s="38" t="n">
        <x:f>P103</x:f>
        <x:v>10954253.395004444</x:v>
      </x:c>
      <x:c r="C104" s="38" t="n">
        <x:f>IF(A104=DATE(2026,11,1),'Вводные'!$B$5,0)</x:f>
        <x:v>0</x:v>
      </x:c>
      <x:c r="D104" s="38" t="n">
        <x:f>'План продаж'!I9</x:f>
        <x:v>3640000</x:v>
      </x:c>
      <x:c r="E104" s="38" t="n">
        <x:f>IF(A104=DATE(2026,11,1),'Вводные'!$B$9,0)</x:f>
        <x:v>0</x:v>
      </x:c>
      <x:c r="F104" s="38" t="n">
        <x:f>'Операционные расходы'!$B$10</x:f>
        <x:v>950000</x:v>
      </x:c>
      <x:c r="G104" s="38" t="n">
        <x:f>('План продаж'!I4+'План продаж'!I5+'План продаж'!I6)*'Вводные'!$B$32/(1+'Вводные'!$B$32)/3</x:f>
        <x:v>163015.87301587302</x:v>
      </x:c>
      <x:c r="H104" s="38" t="n">
        <x:f>0</x:f>
        <x:v>0</x:v>
      </x:c>
      <x:c r="I104" s="38" t="n">
        <x:f>'Долг'!E10</x:f>
        <x:v>197916.66666666674</x:v>
      </x:c>
      <x:c r="J104" s="38" t="n">
        <x:f>'Долг'!D10</x:f>
        <x:v>416666.6666666667</x:v>
      </x:c>
      <x:c r="K104" s="38" t="n">
        <x:f>'Склад и закупки'!M11*('Вводные'!$B$22)*30%</x:f>
        <x:v>0</x:v>
      </x:c>
      <x:c r="L104" s="38" t="n">
        <x:f>'Склад и закупки'!M10*(('Вводные'!$B$22)*70%+('Вводные'!$B$23))</x:f>
        <x:v>1210000</x:v>
      </x:c>
      <x:c r="M104" s="38" t="n">
        <x:f>'Склад и закупки'!M9*('Вводные'!$B$24)</x:f>
        <x:v>509804.01236</x:v>
      </x:c>
      <x:c r="N104" s="38" t="n">
        <x:f>'План продаж'!F9*('Вводные'!$B$27)</x:f>
        <x:v>378700</x:v>
      </x:c>
      <x:c r="O104" s="38" t="n">
        <x:f>B104+C104-SUM(E104:M104)</x:f>
        <x:v>7506850.176295238</x:v>
      </x:c>
      <x:c r="P104" s="38" t="n">
        <x:f>O104+D104-N104</x:f>
        <x:v>10768150.176295238</x:v>
      </x:c>
      <x:c r="Q104" s="38" t="n">
        <x:f>'Склад и закупки'!N9</x:f>
        <x:v>700</x:v>
      </x:c>
    </x:row>
    <x:row r="105">
      <x:c r="A105" s="54" t="n">
        <x:v>46569</x:v>
      </x:c>
      <x:c r="B105" s="38" t="n">
        <x:f>P104</x:f>
        <x:v>10768150.176295238</x:v>
      </x:c>
      <x:c r="C105" s="38" t="n">
        <x:f>IF(A105=DATE(2026,11,1),'Вводные'!$B$5,0)</x:f>
        <x:v>0</x:v>
      </x:c>
      <x:c r="D105" s="38" t="n">
        <x:f>'План продаж'!I10</x:f>
        <x:v>3900000</x:v>
      </x:c>
      <x:c r="E105" s="38" t="n">
        <x:f>IF(A105=DATE(2026,11,1),'Вводные'!$B$9,0)</x:f>
        <x:v>0</x:v>
      </x:c>
      <x:c r="F105" s="38" t="n">
        <x:f>'Операционные расходы'!$B$10</x:f>
        <x:v>950000</x:v>
      </x:c>
      <x:c r="G105" s="38" t="n">
        <x:f>('План продаж'!I7+'План продаж'!I8+'План продаж'!I9)*'Вводные'!$B$32/(1+'Вводные'!$B$32)/3</x:f>
        <x:v>191904.7619047619</x:v>
      </x:c>
      <x:c r="H105" s="38" t="n">
        <x:f>(('План продаж'!I7+'План продаж'!I8+'План продаж'!I9)/(1+'Вводные'!$B$32))*'Вводные'!$B$31</x:f>
        <x:v>690857.1428571428</x:v>
      </x:c>
      <x:c r="I105" s="38" t="n">
        <x:f>'Долг'!E11</x:f>
        <x:v>191319.4444444445</x:v>
      </x:c>
      <x:c r="J105" s="38" t="n">
        <x:f>'Долг'!D11</x:f>
        <x:v>416666.6666666667</x:v>
      </x:c>
      <x:c r="K105" s="38" t="n">
        <x:f>'Склад и закупки'!M12*('Вводные'!$B$22)*30%</x:f>
        <x:v>390000</x:v>
      </x:c>
      <x:c r="L105" s="38" t="n">
        <x:f>'Склад и закупки'!M11*(('Вводные'!$B$22)*70%+('Вводные'!$B$23))</x:f>
        <x:v>0</x:v>
      </x:c>
      <x:c r="M105" s="38" t="n">
        <x:f>'Склад и закупки'!M10*('Вводные'!$B$24)</x:f>
        <x:v>509804.01236</x:v>
      </x:c>
      <x:c r="N105" s="38" t="n">
        <x:f>'План продаж'!F10*('Вводные'!$B$27)</x:f>
        <x:v>405750</x:v>
      </x:c>
      <x:c r="O105" s="38" t="n">
        <x:f>B105+C105-SUM(E105:M105)</x:f>
        <x:v>7427598.148062222</x:v>
      </x:c>
      <x:c r="P105" s="38" t="n">
        <x:f>O105+D105-N105</x:f>
        <x:v>10921848.148062222</x:v>
      </x:c>
      <x:c r="Q105" s="38" t="n">
        <x:f>'Склад и закупки'!N10</x:f>
        <x:v>950</x:v>
      </x:c>
    </x:row>
    <x:row r="106">
      <x:c r="A106" s="54" t="n">
        <x:v>46600</x:v>
      </x:c>
      <x:c r="B106" s="38" t="n">
        <x:f>P105</x:f>
        <x:v>10921848.148062222</x:v>
      </x:c>
      <x:c r="C106" s="38" t="n">
        <x:f>IF(A106=DATE(2026,11,1),'Вводные'!$B$5,0)</x:f>
        <x:v>0</x:v>
      </x:c>
      <x:c r="D106" s="38" t="n">
        <x:f>'План продаж'!I11</x:f>
        <x:v>4680000</x:v>
      </x:c>
      <x:c r="E106" s="38" t="n">
        <x:f>IF(A106=DATE(2026,11,1),'Вводные'!$B$9,0)</x:f>
        <x:v>0</x:v>
      </x:c>
      <x:c r="F106" s="38" t="n">
        <x:f>'Операционные расходы'!$B$10</x:f>
        <x:v>950000</x:v>
      </x:c>
      <x:c r="G106" s="38" t="n">
        <x:f>('План продаж'!I7+'План продаж'!I8+'План продаж'!I9)*'Вводные'!$B$32/(1+'Вводные'!$B$32)/3</x:f>
        <x:v>191904.7619047619</x:v>
      </x:c>
      <x:c r="H106" s="38" t="n">
        <x:f>0</x:f>
        <x:v>0</x:v>
      </x:c>
      <x:c r="I106" s="38" t="n">
        <x:f>'Долг'!E12</x:f>
        <x:v>184722.22222222228</x:v>
      </x:c>
      <x:c r="J106" s="38" t="n">
        <x:f>'Долг'!D12</x:f>
        <x:v>416666.6666666667</x:v>
      </x:c>
      <x:c r="K106" s="38" t="n">
        <x:f>'Склад и закупки'!M13*('Вводные'!$B$22)*30%</x:f>
        <x:v>390000</x:v>
      </x:c>
      <x:c r="L106" s="38" t="n">
        <x:f>'Склад и закупки'!M12*(('Вводные'!$B$22)*70%+('Вводные'!$B$23))</x:f>
        <x:v>1210000</x:v>
      </x:c>
      <x:c r="M106" s="38" t="n">
        <x:f>'Склад и закупки'!M11*('Вводные'!$B$24)</x:f>
        <x:v>0</x:v>
      </x:c>
      <x:c r="N106" s="38" t="n">
        <x:f>'План продаж'!F11*('Вводные'!$B$27)</x:f>
        <x:v>486900</x:v>
      </x:c>
      <x:c r="O106" s="38" t="n">
        <x:f>B106+C106-SUM(E106:M106)</x:f>
        <x:v>7578554.497268571</x:v>
      </x:c>
      <x:c r="P106" s="38" t="n">
        <x:f>O106+D106-N106</x:f>
        <x:v>11771654.49726857</x:v>
      </x:c>
      <x:c r="Q106" s="38" t="n">
        <x:f>'Склад и закупки'!N11</x:f>
        <x:v>50</x:v>
      </x:c>
    </x:row>
    <x:row r="107">
      <x:c r="A107" s="54" t="n">
        <x:v>46631</x:v>
      </x:c>
      <x:c r="B107" s="38" t="n">
        <x:f>P106</x:f>
        <x:v>11771654.49726857</x:v>
      </x:c>
      <x:c r="C107" s="38" t="n">
        <x:f>IF(A107=DATE(2026,11,1),'Вводные'!$B$5,0)</x:f>
        <x:v>0</x:v>
      </x:c>
      <x:c r="D107" s="38" t="n">
        <x:f>'План продаж'!I12</x:f>
        <x:v>4550000</x:v>
      </x:c>
      <x:c r="E107" s="38" t="n">
        <x:f>IF(A107=DATE(2026,11,1),'Вводные'!$B$9,0)</x:f>
        <x:v>0</x:v>
      </x:c>
      <x:c r="F107" s="38" t="n">
        <x:f>'Операционные расходы'!$B$10</x:f>
        <x:v>950000</x:v>
      </x:c>
      <x:c r="G107" s="38" t="n">
        <x:f>('План продаж'!I7+'План продаж'!I8+'План продаж'!I9)*'Вводные'!$B$32/(1+'Вводные'!$B$32)/3</x:f>
        <x:v>191904.7619047619</x:v>
      </x:c>
      <x:c r="H107" s="38" t="n">
        <x:f>0</x:f>
        <x:v>0</x:v>
      </x:c>
      <x:c r="I107" s="38" t="n">
        <x:f>'Долг'!E13</x:f>
        <x:v>178125.0000000001</x:v>
      </x:c>
      <x:c r="J107" s="38" t="n">
        <x:f>'Долг'!D13</x:f>
        <x:v>416666.6666666667</x:v>
      </x:c>
      <x:c r="K107" s="38" t="n">
        <x:f>'Склад и закупки'!M14*('Вводные'!$B$22)*30%</x:f>
        <x:v>390000</x:v>
      </x:c>
      <x:c r="L107" s="38" t="n">
        <x:f>'Склад и закупки'!M13*(('Вводные'!$B$22)*70%+('Вводные'!$B$23))</x:f>
        <x:v>1210000</x:v>
      </x:c>
      <x:c r="M107" s="38" t="n">
        <x:f>'Склад и закупки'!M12*('Вводные'!$B$24)</x:f>
        <x:v>509804.01236</x:v>
      </x:c>
      <x:c r="N107" s="38" t="n">
        <x:f>'План продаж'!F12*('Вводные'!$B$27)</x:f>
        <x:v>473375</x:v>
      </x:c>
      <x:c r="O107" s="38" t="n">
        <x:f>B107+C107-SUM(E107:M107)</x:f>
        <x:v>7925154.056337142</x:v>
      </x:c>
      <x:c r="P107" s="38" t="n">
        <x:f>O107+D107-N107</x:f>
        <x:v>12001779.056337142</x:v>
      </x:c>
      <x:c r="Q107" s="38" t="n">
        <x:f>'Склад и закупки'!N12</x:f>
        <x:v>175</x:v>
      </x:c>
    </x:row>
    <x:row r="108">
      <x:c r="A108" s="54" t="n">
        <x:v>46661</x:v>
      </x:c>
      <x:c r="B108" s="38" t="n">
        <x:f>P107</x:f>
        <x:v>12001779.056337142</x:v>
      </x:c>
      <x:c r="C108" s="38" t="n">
        <x:f>IF(A108=DATE(2026,11,1),'Вводные'!$B$5,0)</x:f>
        <x:v>0</x:v>
      </x:c>
      <x:c r="D108" s="38" t="n">
        <x:f>'План продаж'!I13</x:f>
        <x:v>3900000</x:v>
      </x:c>
      <x:c r="E108" s="38" t="n">
        <x:f>IF(A108=DATE(2026,11,1),'Вводные'!$B$9,0)</x:f>
        <x:v>0</x:v>
      </x:c>
      <x:c r="F108" s="38" t="n">
        <x:f>'Операционные расходы'!$B$10</x:f>
        <x:v>950000</x:v>
      </x:c>
      <x:c r="G108" s="38" t="n">
        <x:f>('План продаж'!I10+'План продаж'!I11+'План продаж'!I12)*'Вводные'!$B$32/(1+'Вводные'!$B$32)/3</x:f>
        <x:v>208412.69841269843</x:v>
      </x:c>
      <x:c r="H108" s="38" t="n">
        <x:f>(('План продаж'!I10+'План продаж'!I11+'План продаж'!I12)/(1+'Вводные'!$B$32))*'Вводные'!$B$31</x:f>
        <x:v>750285.7142857143</x:v>
      </x:c>
      <x:c r="I108" s="38" t="n">
        <x:f>'Долг'!E14</x:f>
        <x:v>171527.7777777779</x:v>
      </x:c>
      <x:c r="J108" s="38" t="n">
        <x:f>'Долг'!D14</x:f>
        <x:v>416666.6666666667</x:v>
      </x:c>
      <x:c r="K108" s="38" t="n">
        <x:f>'Склад и закупки'!M15*('Вводные'!$B$22)*30%</x:f>
        <x:v>0</x:v>
      </x:c>
      <x:c r="L108" s="38" t="n">
        <x:f>'Склад и закупки'!M14*(('Вводные'!$B$22)*70%+('Вводные'!$B$23))</x:f>
        <x:v>1210000</x:v>
      </x:c>
      <x:c r="M108" s="38" t="n">
        <x:f>'Склад и закупки'!M13*('Вводные'!$B$24)</x:f>
        <x:v>509804.01236</x:v>
      </x:c>
      <x:c r="N108" s="38" t="n">
        <x:f>'План продаж'!F13*('Вводные'!$B$27)</x:f>
        <x:v>405750</x:v>
      </x:c>
      <x:c r="O108" s="38" t="n">
        <x:f>B108+C108-SUM(E108:M108)</x:f>
        <x:v>7785082.186834285</x:v>
      </x:c>
      <x:c r="P108" s="38" t="n">
        <x:f>O108+D108-N108</x:f>
        <x:v>11279332.186834285</x:v>
      </x:c>
      <x:c r="Q108" s="38" t="n">
        <x:f>'Склад и закупки'!N13</x:f>
        <x:v>425</x:v>
      </x:c>
    </x:row>
    <x:row r="109">
      <x:c r="A109" s="54" t="n">
        <x:v>46692</x:v>
      </x:c>
      <x:c r="B109" s="38" t="n">
        <x:f>P108</x:f>
        <x:v>11279332.186834285</x:v>
      </x:c>
      <x:c r="C109" s="38" t="n">
        <x:f>IF(A109=DATE(2026,11,1),'Вводные'!$B$5,0)</x:f>
        <x:v>0</x:v>
      </x:c>
      <x:c r="D109" s="38" t="n">
        <x:f>'План продаж'!I14</x:f>
        <x:v>3770000</x:v>
      </x:c>
      <x:c r="E109" s="38" t="n">
        <x:f>IF(A109=DATE(2026,11,1),'Вводные'!$B$9,0)</x:f>
        <x:v>0</x:v>
      </x:c>
      <x:c r="F109" s="38" t="n">
        <x:f>'Операционные расходы'!$B$10</x:f>
        <x:v>950000</x:v>
      </x:c>
      <x:c r="G109" s="38" t="n">
        <x:f>('План продаж'!I10+'План продаж'!I11+'План продаж'!I12)*'Вводные'!$B$32/(1+'Вводные'!$B$32)/3</x:f>
        <x:v>208412.69841269843</x:v>
      </x:c>
      <x:c r="H109" s="38" t="n">
        <x:f>0</x:f>
        <x:v>0</x:v>
      </x:c>
      <x:c r="I109" s="38" t="n">
        <x:f>'Долг'!E15</x:f>
        <x:v>164930.55555555565</x:v>
      </x:c>
      <x:c r="J109" s="38" t="n">
        <x:f>'Долг'!D15</x:f>
        <x:v>416666.6666666667</x:v>
      </x:c>
      <x:c r="K109" s="38" t="n">
        <x:f>'Склад и закупки'!M16*('Вводные'!$B$22*(1+'Вводные'!$B$26))*30%</x:f>
        <x:v>409500</x:v>
      </x:c>
      <x:c r="L109" s="38" t="n">
        <x:f>'Склад и закупки'!M15*(('Вводные'!$B$22)*70%+('Вводные'!$B$23))</x:f>
        <x:v>0</x:v>
      </x:c>
      <x:c r="M109" s="38" t="n">
        <x:f>'Склад и закупки'!M14*('Вводные'!$B$24)</x:f>
        <x:v>509804.01236</x:v>
      </x:c>
      <x:c r="N109" s="38" t="n">
        <x:f>'План продаж'!F14*('Вводные'!$B$27)</x:f>
        <x:v>392225</x:v>
      </x:c>
      <x:c r="O109" s="38" t="n">
        <x:f>B109+C109-SUM(E109:M109)</x:f>
        <x:v>8620018.253839364</x:v>
      </x:c>
      <x:c r="P109" s="38" t="n">
        <x:f>O109+D109-N109</x:f>
        <x:v>11997793.253839364</x:v>
      </x:c>
      <x:c r="Q109" s="38" t="n">
        <x:f>'Склад и закупки'!N14</x:f>
        <x:v>700</x:v>
      </x:c>
    </x:row>
    <x:row r="110">
      <x:c r="A110" s="54" t="n">
        <x:v>46722</x:v>
      </x:c>
      <x:c r="B110" s="38" t="n">
        <x:f>P109</x:f>
        <x:v>11997793.253839364</x:v>
      </x:c>
      <x:c r="C110" s="38" t="n">
        <x:f>IF(A110=DATE(2026,11,1),'Вводные'!$B$5,0)</x:f>
        <x:v>0</x:v>
      </x:c>
      <x:c r="D110" s="38" t="n">
        <x:f>'План продаж'!I15</x:f>
        <x:v>3640000</x:v>
      </x:c>
      <x:c r="E110" s="38" t="n">
        <x:f>IF(A110=DATE(2026,11,1),'Вводные'!$B$9,0)</x:f>
        <x:v>0</x:v>
      </x:c>
      <x:c r="F110" s="38" t="n">
        <x:f>'Операционные расходы'!$B$10</x:f>
        <x:v>950000</x:v>
      </x:c>
      <x:c r="G110" s="38" t="n">
        <x:f>('План продаж'!I10+'План продаж'!I11+'План продаж'!I12)*'Вводные'!$B$32/(1+'Вводные'!$B$32)/3</x:f>
        <x:v>208412.69841269843</x:v>
      </x:c>
      <x:c r="H110" s="38" t="n">
        <x:f>0</x:f>
        <x:v>0</x:v>
      </x:c>
      <x:c r="I110" s="38" t="n">
        <x:f>'Долг'!E16</x:f>
        <x:v>158333.33333333346</x:v>
      </x:c>
      <x:c r="J110" s="38" t="n">
        <x:f>'Долг'!D16</x:f>
        <x:v>416666.6666666667</x:v>
      </x:c>
      <x:c r="K110" s="38" t="n">
        <x:f>'Склад и закупки'!M17*('Вводные'!$B$22*(1+'Вводные'!$B$26))*30%</x:f>
        <x:v>409500</x:v>
      </x:c>
      <x:c r="L110" s="38" t="n">
        <x:f>'Склад и закупки'!M16*(('Вводные'!$B$22*(1+'Вводные'!$B$26))*70%+('Вводные'!$B$23*(1+'Вводные'!$B$26)))</x:f>
        <x:v>1270500</x:v>
      </x:c>
      <x:c r="M110" s="38" t="n">
        <x:f>'Склад и закупки'!M15*('Вводные'!$B$24)</x:f>
        <x:v>0</x:v>
      </x:c>
      <x:c r="N110" s="38" t="n">
        <x:f>'План продаж'!F15*('Вводные'!$B$27)</x:f>
        <x:v>378700</x:v>
      </x:c>
      <x:c r="O110" s="38" t="n">
        <x:f>B110+C110-SUM(E110:M110)</x:f>
        <x:v>8584380.555426665</x:v>
      </x:c>
      <x:c r="P110" s="38" t="n">
        <x:f>O110+D110-N110</x:f>
        <x:v>11845680.555426665</x:v>
      </x:c>
      <x:c r="Q110" s="38" t="n">
        <x:f>'Склад и закупки'!N15</x:f>
        <x:v>0</x:v>
      </x:c>
    </x:row>
    <x:row r="111">
      <x:c r="A111" s="54" t="n">
        <x:v>46753</x:v>
      </x:c>
      <x:c r="B111" s="38" t="n">
        <x:f>P110</x:f>
        <x:v>11845680.555426665</x:v>
      </x:c>
      <x:c r="C111" s="38" t="n">
        <x:f>IF(A111=DATE(2026,11,1),'Вводные'!$B$5,0)</x:f>
        <x:v>0</x:v>
      </x:c>
      <x:c r="D111" s="38" t="n">
        <x:f>'План продаж'!I16</x:f>
        <x:v>2860000</x:v>
      </x:c>
      <x:c r="E111" s="38" t="n">
        <x:f>IF(A111=DATE(2026,11,1),'Вводные'!$B$9,0)</x:f>
        <x:v>0</x:v>
      </x:c>
      <x:c r="F111" s="38" t="n">
        <x:f>'Операционные расходы'!$C$10</x:f>
        <x:v>1016500</x:v>
      </x:c>
      <x:c r="G111" s="38" t="n">
        <x:f>('План продаж'!I13+'План продаж'!I14+'План продаж'!I15)*'Вводные'!$B$32/(1+'Вводные'!$B$32)/3</x:f>
        <x:v>179523.8095238095</x:v>
      </x:c>
      <x:c r="H111" s="38" t="n">
        <x:f>0</x:f>
        <x:v>0</x:v>
      </x:c>
      <x:c r="I111" s="38" t="n">
        <x:f>'Долг'!E17</x:f>
        <x:v>151736.11111111124</x:v>
      </x:c>
      <x:c r="J111" s="38" t="n">
        <x:f>'Долг'!D17</x:f>
        <x:v>416666.6666666667</x:v>
      </x:c>
      <x:c r="K111" s="38" t="n">
        <x:f>'Склад и закупки'!M18*('Вводные'!$B$22*(1+'Вводные'!$B$26))*30%</x:f>
        <x:v>0</x:v>
      </x:c>
      <x:c r="L111" s="38" t="n">
        <x:f>'Склад и закупки'!M17*(('Вводные'!$B$22*(1+'Вводные'!$B$26))*70%+('Вводные'!$B$23*(1+'Вводные'!$B$26)))</x:f>
        <x:v>1270500</x:v>
      </x:c>
      <x:c r="M111" s="38" t="n">
        <x:f>'Склад и закупки'!M16*('Вводные'!$B$24*(1+'Вводные'!$B$26))</x:f>
        <x:v>535294.212978</x:v>
      </x:c>
      <x:c r="N111" s="38" t="n">
        <x:f>'План продаж'!F16*('Вводные'!$B$27*(1+'Вводные'!$B$28))</x:f>
        <x:v>312427.50000000006</x:v>
      </x:c>
      <x:c r="O111" s="38" t="n">
        <x:f>B111+C111-SUM(E111:M111)</x:f>
        <x:v>8275459.755147077</x:v>
      </x:c>
      <x:c r="P111" s="38" t="n">
        <x:f>O111+D111-N111</x:f>
        <x:v>10823032.255147077</x:v>
      </x:c>
      <x:c r="Q111" s="38" t="n">
        <x:f>'Склад и закупки'!N16</x:f>
        <x:v>450</x:v>
      </x:c>
    </x:row>
    <x:row r="112">
      <x:c r="A112" s="54" t="n">
        <x:v>46784</x:v>
      </x:c>
      <x:c r="B112" s="38" t="n">
        <x:f>P111</x:f>
        <x:v>10823032.255147077</x:v>
      </x:c>
      <x:c r="C112" s="38" t="n">
        <x:f>IF(A112=DATE(2026,11,1),'Вводные'!$B$5,0)</x:f>
        <x:v>0</x:v>
      </x:c>
      <x:c r="D112" s="38" t="n">
        <x:f>'План продаж'!I17</x:f>
        <x:v>3120000</x:v>
      </x:c>
      <x:c r="E112" s="38" t="n">
        <x:f>IF(A112=DATE(2026,11,1),'Вводные'!$B$9,0)</x:f>
        <x:v>0</x:v>
      </x:c>
      <x:c r="F112" s="38" t="n">
        <x:f>'Операционные расходы'!$C$10</x:f>
        <x:v>1016500</x:v>
      </x:c>
      <x:c r="G112" s="38" t="n">
        <x:f>('План продаж'!I13+'План продаж'!I14+'План продаж'!I15)*'Вводные'!$B$32/(1+'Вводные'!$B$32)/3</x:f>
        <x:v>179523.8095238095</x:v>
      </x:c>
      <x:c r="H112" s="38" t="n">
        <x:f>0</x:f>
        <x:v>0</x:v>
      </x:c>
      <x:c r="I112" s="38" t="n">
        <x:f>'Долг'!E18</x:f>
        <x:v>145138.88888888902</x:v>
      </x:c>
      <x:c r="J112" s="38" t="n">
        <x:f>'Долг'!D18</x:f>
        <x:v>416666.6666666667</x:v>
      </x:c>
      <x:c r="K112" s="38" t="n">
        <x:f>'Склад и закупки'!M19*('Вводные'!$B$22*(1+'Вводные'!$B$26))*30%</x:f>
        <x:v>409500</x:v>
      </x:c>
      <x:c r="L112" s="38" t="n">
        <x:f>'Склад и закупки'!M18*(('Вводные'!$B$22*(1+'Вводные'!$B$26))*70%+('Вводные'!$B$23*(1+'Вводные'!$B$26)))</x:f>
        <x:v>0</x:v>
      </x:c>
      <x:c r="M112" s="38" t="n">
        <x:f>'Склад и закупки'!M17*('Вводные'!$B$24*(1+'Вводные'!$B$26))</x:f>
        <x:v>535294.212978</x:v>
      </x:c>
      <x:c r="N112" s="38" t="n">
        <x:f>'План продаж'!F17*('Вводные'!$B$27*(1+'Вводные'!$B$28))</x:f>
        <x:v>340830.00000000006</x:v>
      </x:c>
      <x:c r="O112" s="38" t="n">
        <x:f>B112+C112-SUM(E112:M112)</x:f>
        <x:v>8120408.677089712</x:v>
      </x:c>
      <x:c r="P112" s="38" t="n">
        <x:f>O112+D112-N112</x:f>
        <x:v>10899578.677089712</x:v>
      </x:c>
      <x:c r="Q112" s="38" t="n">
        <x:f>'Склад и закупки'!N17</x:f>
        <x:v>850</x:v>
      </x:c>
    </x:row>
    <x:row r="113">
      <x:c r="A113" s="54" t="n">
        <x:v>46813</x:v>
      </x:c>
      <x:c r="B113" s="38" t="n">
        <x:f>P112</x:f>
        <x:v>10899578.677089712</x:v>
      </x:c>
      <x:c r="C113" s="38" t="n">
        <x:f>IF(A113=DATE(2026,11,1),'Вводные'!$B$5,0)</x:f>
        <x:v>0</x:v>
      </x:c>
      <x:c r="D113" s="38" t="n">
        <x:f>'План продаж'!I18</x:f>
        <x:v>4290000</x:v>
      </x:c>
      <x:c r="E113" s="38" t="n">
        <x:f>IF(A113=DATE(2026,11,1),'Вводные'!$B$9,0)</x:f>
        <x:v>0</x:v>
      </x:c>
      <x:c r="F113" s="38" t="n">
        <x:f>'Операционные расходы'!$C$10</x:f>
        <x:v>1016500</x:v>
      </x:c>
      <x:c r="G113" s="38" t="n">
        <x:f>('План продаж'!I13+'План продаж'!I14+'План продаж'!I15)*'Вводные'!$B$32/(1+'Вводные'!$B$32)/3</x:f>
        <x:v>179523.8095238095</x:v>
      </x:c>
      <x:c r="H113" s="38" t="n">
        <x:f>0</x:f>
        <x:v>0</x:v>
      </x:c>
      <x:c r="I113" s="38" t="n">
        <x:f>'Долг'!E19</x:f>
        <x:v>138541.66666666683</x:v>
      </x:c>
      <x:c r="J113" s="38" t="n">
        <x:f>'Долг'!D19</x:f>
        <x:v>416666.6666666667</x:v>
      </x:c>
      <x:c r="K113" s="38" t="n">
        <x:f>'Склад и закупки'!M20*('Вводные'!$B$22*(1+'Вводные'!$B$26))*30%</x:f>
        <x:v>409500</x:v>
      </x:c>
      <x:c r="L113" s="38" t="n">
        <x:f>'Склад и закупки'!M19*(('Вводные'!$B$22*(1+'Вводные'!$B$26))*70%+('Вводные'!$B$23*(1+'Вводные'!$B$26)))</x:f>
        <x:v>1270500</x:v>
      </x:c>
      <x:c r="M113" s="38" t="n">
        <x:f>'Склад и закупки'!M18*('Вводные'!$B$24*(1+'Вводные'!$B$26))</x:f>
        <x:v>0</x:v>
      </x:c>
      <x:c r="N113" s="38" t="n">
        <x:f>'План продаж'!F18*('Вводные'!$B$27*(1+'Вводные'!$B$28))</x:f>
        <x:v>468641.25000000006</x:v>
      </x:c>
      <x:c r="O113" s="38" t="n">
        <x:f>B113+C113-SUM(E113:M113)</x:f>
        <x:v>7468346.534232569</x:v>
      </x:c>
      <x:c r="P113" s="38" t="n">
        <x:f>O113+D113-N113</x:f>
        <x:v>11289705.284232568</x:v>
      </x:c>
      <x:c r="Q113" s="38" t="n">
        <x:f>'Склад и закупки'!N18</x:f>
        <x:v>25</x:v>
      </x:c>
    </x:row>
    <x:row r="114">
      <x:c r="A114" s="54" t="n">
        <x:v>46844</x:v>
      </x:c>
      <x:c r="B114" s="38" t="n">
        <x:f>P113</x:f>
        <x:v>11289705.284232568</x:v>
      </x:c>
      <x:c r="C114" s="38" t="n">
        <x:f>IF(A114=DATE(2026,11,1),'Вводные'!$B$5,0)</x:f>
        <x:v>0</x:v>
      </x:c>
      <x:c r="D114" s="38" t="n">
        <x:f>'План продаж'!I19</x:f>
        <x:v>4680000</x:v>
      </x:c>
      <x:c r="E114" s="38" t="n">
        <x:f>IF(A114=DATE(2026,11,1),'Вводные'!$B$9,0)</x:f>
        <x:v>0</x:v>
      </x:c>
      <x:c r="F114" s="38" t="n">
        <x:f>'Операционные расходы'!$C$10</x:f>
        <x:v>1016500</x:v>
      </x:c>
      <x:c r="G114" s="38" t="n">
        <x:f>('План продаж'!I16+'План продаж'!I17+'План продаж'!I18)*'Вводные'!$B$32/(1+'Вводные'!$B$32)/3</x:f>
        <x:v>163015.87301587302</x:v>
      </x:c>
      <x:c r="H114" s="38" t="n">
        <x:f>(('План продаж'!I13+'План продаж'!I14+'План продаж'!I15)/(1+'Вводные'!$B$32))*'Вводные'!$B$31+(('План продаж'!I16+'План продаж'!I17+'План продаж'!I18)/(1+'Вводные'!$B$32))*'Вводные'!$B$31</x:f>
        <x:v>1233142.857142857</x:v>
      </x:c>
      <x:c r="I114" s="38" t="n">
        <x:f>'Долг'!E20</x:f>
        <x:v>131944.44444444458</x:v>
      </x:c>
      <x:c r="J114" s="38" t="n">
        <x:f>'Долг'!D20</x:f>
        <x:v>416666.6666666667</x:v>
      </x:c>
      <x:c r="K114" s="38" t="n">
        <x:f>'Склад и закупки'!M21*('Вводные'!$B$22*(1+'Вводные'!$B$26))*30%</x:f>
        <x:v>409500</x:v>
      </x:c>
      <x:c r="L114" s="38" t="n">
        <x:f>'Склад и закупки'!M20*(('Вводные'!$B$22*(1+'Вводные'!$B$26))*70%+('Вводные'!$B$23*(1+'Вводные'!$B$26)))</x:f>
        <x:v>1270500</x:v>
      </x:c>
      <x:c r="M114" s="38" t="n">
        <x:f>'Склад и закупки'!M19*('Вводные'!$B$24*(1+'Вводные'!$B$26))</x:f>
        <x:v>535294.212978</x:v>
      </x:c>
      <x:c r="N114" s="38" t="n">
        <x:f>'План продаж'!F19*('Вводные'!$B$27*(1+'Вводные'!$B$28))</x:f>
        <x:v>511245.00000000006</x:v>
      </x:c>
      <x:c r="O114" s="38" t="n">
        <x:f>B114+C114-SUM(E114:M114)</x:f>
        <x:v>6113141.229984727</x:v>
      </x:c>
      <x:c r="P114" s="38" t="n">
        <x:f>O114+D114-N114</x:f>
        <x:v>10281896.229984727</x:v>
      </x:c>
      <x:c r="Q114" s="38" t="n">
        <x:f>'Склад и закупки'!N19</x:f>
        <x:v>125</x:v>
      </x:c>
    </x:row>
    <x:row r="115">
      <x:c r="A115" s="54" t="n">
        <x:v>46874</x:v>
      </x:c>
      <x:c r="B115" s="38" t="n">
        <x:f>P114</x:f>
        <x:v>10281896.229984727</x:v>
      </x:c>
      <x:c r="C115" s="38" t="n">
        <x:f>IF(A115=DATE(2026,11,1),'Вводные'!$B$5,0)</x:f>
        <x:v>0</x:v>
      </x:c>
      <x:c r="D115" s="38" t="n">
        <x:f>'План продаж'!I20</x:f>
        <x:v>3770000</x:v>
      </x:c>
      <x:c r="E115" s="38" t="n">
        <x:f>IF(A115=DATE(2026,11,1),'Вводные'!$B$9,0)</x:f>
        <x:v>0</x:v>
      </x:c>
      <x:c r="F115" s="38" t="n">
        <x:f>'Операционные расходы'!$C$10</x:f>
        <x:v>1016500</x:v>
      </x:c>
      <x:c r="G115" s="38" t="n">
        <x:f>('План продаж'!I16+'План продаж'!I17+'План продаж'!I18)*'Вводные'!$B$32/(1+'Вводные'!$B$32)/3</x:f>
        <x:v>163015.87301587302</x:v>
      </x:c>
      <x:c r="H115" s="38" t="n">
        <x:f>0</x:f>
        <x:v>0</x:v>
      </x:c>
      <x:c r="I115" s="38" t="n">
        <x:f>'Долг'!E21</x:f>
        <x:v>125347.22222222236</x:v>
      </x:c>
      <x:c r="J115" s="38" t="n">
        <x:f>'Долг'!D21</x:f>
        <x:v>416666.6666666667</x:v>
      </x:c>
      <x:c r="K115" s="38" t="n">
        <x:f>'Склад и закупки'!M22*('Вводные'!$B$22*(1+'Вводные'!$B$26))*30%</x:f>
        <x:v>409500</x:v>
      </x:c>
      <x:c r="L115" s="38" t="n">
        <x:f>'Склад и закупки'!M21*(('Вводные'!$B$22*(1+'Вводные'!$B$26))*70%+('Вводные'!$B$23*(1+'Вводные'!$B$26)))</x:f>
        <x:v>1270500</x:v>
      </x:c>
      <x:c r="M115" s="38" t="n">
        <x:f>'Склад и закупки'!M20*('Вводные'!$B$24*(1+'Вводные'!$B$26))</x:f>
        <x:v>535294.212978</x:v>
      </x:c>
      <x:c r="N115" s="38" t="n">
        <x:f>'План продаж'!F20*('Вводные'!$B$27*(1+'Вводные'!$B$28))</x:f>
        <x:v>411836.25000000006</x:v>
      </x:c>
      <x:c r="O115" s="38" t="n">
        <x:f>B115+C115-SUM(E115:M115)</x:f>
        <x:v>6345072.255101965</x:v>
      </x:c>
      <x:c r="P115" s="38" t="n">
        <x:f>O115+D115-N115</x:f>
        <x:v>9703236.005101964</x:v>
      </x:c>
      <x:c r="Q115" s="38" t="n">
        <x:f>'Склад и закупки'!N20</x:f>
        <x:v>400</x:v>
      </x:c>
    </x:row>
    <x:row r="116">
      <x:c r="A116" s="54" t="n">
        <x:v>46905</x:v>
      </x:c>
      <x:c r="B116" s="38" t="n">
        <x:f>P115</x:f>
        <x:v>9703236.005101964</x:v>
      </x:c>
      <x:c r="C116" s="38" t="n">
        <x:f>IF(A116=DATE(2026,11,1),'Вводные'!$B$5,0)</x:f>
        <x:v>0</x:v>
      </x:c>
      <x:c r="D116" s="38" t="n">
        <x:f>'План продаж'!I21</x:f>
        <x:v>3640000</x:v>
      </x:c>
      <x:c r="E116" s="38" t="n">
        <x:f>IF(A116=DATE(2026,11,1),'Вводные'!$B$9,0)</x:f>
        <x:v>0</x:v>
      </x:c>
      <x:c r="F116" s="38" t="n">
        <x:f>'Операционные расходы'!$C$10</x:f>
        <x:v>1016500</x:v>
      </x:c>
      <x:c r="G116" s="38" t="n">
        <x:f>('План продаж'!I16+'План продаж'!I17+'План продаж'!I18)*'Вводные'!$B$32/(1+'Вводные'!$B$32)/3</x:f>
        <x:v>163015.87301587302</x:v>
      </x:c>
      <x:c r="H116" s="38" t="n">
        <x:f>0</x:f>
        <x:v>0</x:v>
      </x:c>
      <x:c r="I116" s="38" t="n">
        <x:f>'Долг'!E22</x:f>
        <x:v>118750.00000000013</x:v>
      </x:c>
      <x:c r="J116" s="38" t="n">
        <x:f>'Долг'!D22</x:f>
        <x:v>416666.6666666667</x:v>
      </x:c>
      <x:c r="K116" s="38" t="n">
        <x:f>'Склад и закупки'!M23*('Вводные'!$B$22*(1+'Вводные'!$B$26))*30%</x:f>
        <x:v>0</x:v>
      </x:c>
      <x:c r="L116" s="38" t="n">
        <x:f>'Склад и закупки'!M22*(('Вводные'!$B$22*(1+'Вводные'!$B$26))*70%+('Вводные'!$B$23*(1+'Вводные'!$B$26)))</x:f>
        <x:v>1270500</x:v>
      </x:c>
      <x:c r="M116" s="38" t="n">
        <x:f>'Склад и закупки'!M21*('Вводные'!$B$24*(1+'Вводные'!$B$26))</x:f>
        <x:v>535294.212978</x:v>
      </x:c>
      <x:c r="N116" s="38" t="n">
        <x:f>'План продаж'!F21*('Вводные'!$B$27*(1+'Вводные'!$B$28))</x:f>
        <x:v>397635.00000000006</x:v>
      </x:c>
      <x:c r="O116" s="38" t="n">
        <x:f>B116+C116-SUM(E116:M116)</x:f>
        <x:v>6182509.252441424</x:v>
      </x:c>
      <x:c r="P116" s="38" t="n">
        <x:f>O116+D116-N116</x:f>
        <x:v>9424874.252441425</x:v>
      </x:c>
      <x:c r="Q116" s="38" t="n">
        <x:f>'Склад и закупки'!N21</x:f>
        <x:v>700</x:v>
      </x:c>
    </x:row>
    <x:row r="117">
      <x:c r="A117" s="54" t="n">
        <x:v>46935</x:v>
      </x:c>
      <x:c r="B117" s="38" t="n">
        <x:f>P116</x:f>
        <x:v>9424874.252441425</x:v>
      </x:c>
      <x:c r="C117" s="38" t="n">
        <x:f>IF(A117=DATE(2026,11,1),'Вводные'!$B$5,0)</x:f>
        <x:v>0</x:v>
      </x:c>
      <x:c r="D117" s="38" t="n">
        <x:f>'План продаж'!I22</x:f>
        <x:v>3900000</x:v>
      </x:c>
      <x:c r="E117" s="38" t="n">
        <x:f>IF(A117=DATE(2026,11,1),'Вводные'!$B$9,0)</x:f>
        <x:v>0</x:v>
      </x:c>
      <x:c r="F117" s="38" t="n">
        <x:f>'Операционные расходы'!$C$10</x:f>
        <x:v>1016500</x:v>
      </x:c>
      <x:c r="G117" s="38" t="n">
        <x:f>('План продаж'!I19+'План продаж'!I20+'План продаж'!I21)*'Вводные'!$B$32/(1+'Вводные'!$B$32)/3</x:f>
        <x:v>191904.7619047619</x:v>
      </x:c>
      <x:c r="H117" s="38" t="n">
        <x:f>(('План продаж'!I19+'План продаж'!I20+'План продаж'!I21)/(1+'Вводные'!$B$32))*'Вводные'!$B$31</x:f>
        <x:v>690857.1428571428</x:v>
      </x:c>
      <x:c r="I117" s="38" t="n">
        <x:f>'Долг'!E23</x:f>
        <x:v>112152.77777777791</x:v>
      </x:c>
      <x:c r="J117" s="38" t="n">
        <x:f>'Долг'!D23</x:f>
        <x:v>416666.6666666667</x:v>
      </x:c>
      <x:c r="K117" s="38" t="n">
        <x:f>'Склад и закупки'!M24*('Вводные'!$B$22*(1+'Вводные'!$B$26))*30%</x:f>
        <x:v>409500</x:v>
      </x:c>
      <x:c r="L117" s="38" t="n">
        <x:f>'Склад и закупки'!M23*(('Вводные'!$B$22*(1+'Вводные'!$B$26))*70%+('Вводные'!$B$23*(1+'Вводные'!$B$26)))</x:f>
        <x:v>0</x:v>
      </x:c>
      <x:c r="M117" s="38" t="n">
        <x:f>'Склад и закупки'!M22*('Вводные'!$B$24*(1+'Вводные'!$B$26))</x:f>
        <x:v>535294.212978</x:v>
      </x:c>
      <x:c r="N117" s="38" t="n">
        <x:f>'План продаж'!F22*('Вводные'!$B$27*(1+'Вводные'!$B$28))</x:f>
        <x:v>426037.50000000006</x:v>
      </x:c>
      <x:c r="O117" s="38" t="n">
        <x:f>B117+C117-SUM(E117:M117)</x:f>
        <x:v>6051998.690257075</x:v>
      </x:c>
      <x:c r="P117" s="38" t="n">
        <x:f>O117+D117-N117</x:f>
        <x:v>9525961.190257076</x:v>
      </x:c>
      <x:c r="Q117" s="38" t="n">
        <x:f>'Склад и закупки'!N22</x:f>
        <x:v>950</x:v>
      </x:c>
    </x:row>
    <x:row r="118">
      <x:c r="A118" s="54" t="n">
        <x:v>46966</x:v>
      </x:c>
      <x:c r="B118" s="38" t="n">
        <x:f>P117</x:f>
        <x:v>9525961.190257076</x:v>
      </x:c>
      <x:c r="C118" s="38" t="n">
        <x:f>IF(A118=DATE(2026,11,1),'Вводные'!$B$5,0)</x:f>
        <x:v>0</x:v>
      </x:c>
      <x:c r="D118" s="38" t="n">
        <x:f>'План продаж'!I23</x:f>
        <x:v>4680000</x:v>
      </x:c>
      <x:c r="E118" s="38" t="n">
        <x:f>IF(A118=DATE(2026,11,1),'Вводные'!$B$9,0)</x:f>
        <x:v>0</x:v>
      </x:c>
      <x:c r="F118" s="38" t="n">
        <x:f>'Операционные расходы'!$C$10</x:f>
        <x:v>1016500</x:v>
      </x:c>
      <x:c r="G118" s="38" t="n">
        <x:f>('План продаж'!I19+'План продаж'!I20+'План продаж'!I21)*'Вводные'!$B$32/(1+'Вводные'!$B$32)/3</x:f>
        <x:v>191904.7619047619</x:v>
      </x:c>
      <x:c r="H118" s="38" t="n">
        <x:f>0</x:f>
        <x:v>0</x:v>
      </x:c>
      <x:c r="I118" s="38" t="n">
        <x:f>'Долг'!E24</x:f>
        <x:v>105555.55555555568</x:v>
      </x:c>
      <x:c r="J118" s="38" t="n">
        <x:f>'Долг'!D24</x:f>
        <x:v>416666.6666666667</x:v>
      </x:c>
      <x:c r="K118" s="38" t="n">
        <x:f>'Склад и закупки'!M25*('Вводные'!$B$22*(1+'Вводные'!$B$26))*30%</x:f>
        <x:v>409500</x:v>
      </x:c>
      <x:c r="L118" s="38" t="n">
        <x:f>'Склад и закупки'!M24*(('Вводные'!$B$22*(1+'Вводные'!$B$26))*70%+('Вводные'!$B$23*(1+'Вводные'!$B$26)))</x:f>
        <x:v>1270500</x:v>
      </x:c>
      <x:c r="M118" s="38" t="n">
        <x:f>'Склад и закупки'!M23*('Вводные'!$B$24*(1+'Вводные'!$B$26))</x:f>
        <x:v>0</x:v>
      </x:c>
      <x:c r="N118" s="38" t="n">
        <x:f>'План продаж'!F23*('Вводные'!$B$27*(1+'Вводные'!$B$28))</x:f>
        <x:v>511245.00000000006</x:v>
      </x:c>
      <x:c r="O118" s="38" t="n">
        <x:f>B118+C118-SUM(E118:M118)</x:f>
        <x:v>6115334.206130092</x:v>
      </x:c>
      <x:c r="P118" s="38" t="n">
        <x:f>O118+D118-N118</x:f>
        <x:v>10284089.206130091</x:v>
      </x:c>
      <x:c r="Q118" s="38" t="n">
        <x:f>'Склад и закупки'!N23</x:f>
        <x:v>50</x:v>
      </x:c>
    </x:row>
    <x:row r="119">
      <x:c r="A119" s="54" t="n">
        <x:v>46997</x:v>
      </x:c>
      <x:c r="B119" s="38" t="n">
        <x:f>P118</x:f>
        <x:v>10284089.206130091</x:v>
      </x:c>
      <x:c r="C119" s="38" t="n">
        <x:f>IF(A119=DATE(2026,11,1),'Вводные'!$B$5,0)</x:f>
        <x:v>0</x:v>
      </x:c>
      <x:c r="D119" s="38" t="n">
        <x:f>'План продаж'!I24</x:f>
        <x:v>4550000</x:v>
      </x:c>
      <x:c r="E119" s="38" t="n">
        <x:f>IF(A119=DATE(2026,11,1),'Вводные'!$B$9,0)</x:f>
        <x:v>0</x:v>
      </x:c>
      <x:c r="F119" s="38" t="n">
        <x:f>'Операционные расходы'!$C$10</x:f>
        <x:v>1016500</x:v>
      </x:c>
      <x:c r="G119" s="38" t="n">
        <x:f>('План продаж'!I19+'План продаж'!I20+'План продаж'!I21)*'Вводные'!$B$32/(1+'Вводные'!$B$32)/3</x:f>
        <x:v>191904.7619047619</x:v>
      </x:c>
      <x:c r="H119" s="38" t="n">
        <x:f>0</x:f>
        <x:v>0</x:v>
      </x:c>
      <x:c r="I119" s="38" t="n">
        <x:f>'Долг'!E25</x:f>
        <x:v>98958.33333333344</x:v>
      </x:c>
      <x:c r="J119" s="38" t="n">
        <x:f>'Долг'!D25</x:f>
        <x:v>416666.6666666667</x:v>
      </x:c>
      <x:c r="K119" s="38" t="n">
        <x:f>'Склад и закупки'!M26*('Вводные'!$B$22*(1+'Вводные'!$B$26))*30%</x:f>
        <x:v>409500</x:v>
      </x:c>
      <x:c r="L119" s="38" t="n">
        <x:f>'Склад и закупки'!M25*(('Вводные'!$B$22*(1+'Вводные'!$B$26))*70%+('Вводные'!$B$23*(1+'Вводные'!$B$26)))</x:f>
        <x:v>1270500</x:v>
      </x:c>
      <x:c r="M119" s="38" t="n">
        <x:f>'Склад и закупки'!M24*('Вводные'!$B$24*(1+'Вводные'!$B$26))</x:f>
        <x:v>535294.212978</x:v>
      </x:c>
      <x:c r="N119" s="38" t="n">
        <x:f>'План продаж'!F24*('Вводные'!$B$27*(1+'Вводные'!$B$28))</x:f>
        <x:v>497043.75000000006</x:v>
      </x:c>
      <x:c r="O119" s="38" t="n">
        <x:f>B119+C119-SUM(E119:M119)</x:f>
        <x:v>6344765.231247329</x:v>
      </x:c>
      <x:c r="P119" s="38" t="n">
        <x:f>O119+D119-N119</x:f>
        <x:v>10397721.481247328</x:v>
      </x:c>
      <x:c r="Q119" s="38" t="n">
        <x:f>'Склад и закупки'!N24</x:f>
        <x:v>175</x:v>
      </x:c>
    </x:row>
    <x:row r="120">
      <x:c r="A120" s="54" t="n">
        <x:v>47027</x:v>
      </x:c>
      <x:c r="B120" s="38" t="n">
        <x:f>P119</x:f>
        <x:v>10397721.481247328</x:v>
      </x:c>
      <x:c r="C120" s="38" t="n">
        <x:f>IF(A120=DATE(2026,11,1),'Вводные'!$B$5,0)</x:f>
        <x:v>0</x:v>
      </x:c>
      <x:c r="D120" s="38" t="n">
        <x:f>'План продаж'!I25</x:f>
        <x:v>3900000</x:v>
      </x:c>
      <x:c r="E120" s="38" t="n">
        <x:f>IF(A120=DATE(2026,11,1),'Вводные'!$B$9,0)</x:f>
        <x:v>0</x:v>
      </x:c>
      <x:c r="F120" s="38" t="n">
        <x:f>'Операционные расходы'!$C$10</x:f>
        <x:v>1016500</x:v>
      </x:c>
      <x:c r="G120" s="38" t="n">
        <x:f>('План продаж'!I22+'План продаж'!I23+'План продаж'!I24)*'Вводные'!$B$32/(1+'Вводные'!$B$32)/3</x:f>
        <x:v>208412.69841269843</x:v>
      </x:c>
      <x:c r="H120" s="38" t="n">
        <x:f>(('План продаж'!I22+'План продаж'!I23+'План продаж'!I24)/(1+'Вводные'!$B$32))*'Вводные'!$B$31</x:f>
        <x:v>750285.7142857143</x:v>
      </x:c>
      <x:c r="I120" s="38" t="n">
        <x:f>'Долг'!E26</x:f>
        <x:v>92361.11111111123</x:v>
      </x:c>
      <x:c r="J120" s="38" t="n">
        <x:f>'Долг'!D26</x:f>
        <x:v>416666.6666666667</x:v>
      </x:c>
      <x:c r="K120" s="38" t="n">
        <x:f>'Склад и закупки'!M27*('Вводные'!$B$22*(1+'Вводные'!$B$26))*30%</x:f>
        <x:v>0</x:v>
      </x:c>
      <x:c r="L120" s="38" t="n">
        <x:f>'Склад и закупки'!M26*(('Вводные'!$B$22*(1+'Вводные'!$B$26))*70%+('Вводные'!$B$23*(1+'Вводные'!$B$26)))</x:f>
        <x:v>1270500</x:v>
      </x:c>
      <x:c r="M120" s="38" t="n">
        <x:f>'Склад и закупки'!M25*('Вводные'!$B$24*(1+'Вводные'!$B$26))</x:f>
        <x:v>535294.212978</x:v>
      </x:c>
      <x:c r="N120" s="38" t="n">
        <x:f>'План продаж'!F25*('Вводные'!$B$27*(1+'Вводные'!$B$28))</x:f>
        <x:v>426037.50000000006</x:v>
      </x:c>
      <x:c r="O120" s="38" t="n">
        <x:f>B120+C120-SUM(E120:M120)</x:f>
        <x:v>6107701.077793137</x:v>
      </x:c>
      <x:c r="P120" s="38" t="n">
        <x:f>O120+D120-N120</x:f>
        <x:v>9581663.577793136</x:v>
      </x:c>
      <x:c r="Q120" s="38" t="n">
        <x:f>'Склад и закупки'!N25</x:f>
        <x:v>425</x:v>
      </x:c>
    </x:row>
    <x:row r="121">
      <x:c r="A121" s="54" t="n">
        <x:v>47058</x:v>
      </x:c>
      <x:c r="B121" s="38" t="n">
        <x:f>P120</x:f>
        <x:v>9581663.577793136</x:v>
      </x:c>
      <x:c r="C121" s="38" t="n">
        <x:f>IF(A121=DATE(2026,11,1),'Вводные'!$B$5,0)</x:f>
        <x:v>0</x:v>
      </x:c>
      <x:c r="D121" s="38" t="n">
        <x:f>'План продаж'!I26</x:f>
        <x:v>3770000</x:v>
      </x:c>
      <x:c r="E121" s="38" t="n">
        <x:f>IF(A121=DATE(2026,11,1),'Вводные'!$B$9,0)</x:f>
        <x:v>0</x:v>
      </x:c>
      <x:c r="F121" s="38" t="n">
        <x:f>'Операционные расходы'!$C$10</x:f>
        <x:v>1016500</x:v>
      </x:c>
      <x:c r="G121" s="38" t="n">
        <x:f>('План продаж'!I22+'План продаж'!I23+'План продаж'!I24)*'Вводные'!$B$32/(1+'Вводные'!$B$32)/3</x:f>
        <x:v>208412.69841269843</x:v>
      </x:c>
      <x:c r="H121" s="38" t="n">
        <x:f>0</x:f>
        <x:v>0</x:v>
      </x:c>
      <x:c r="I121" s="38" t="n">
        <x:f>'Долг'!E27</x:f>
        <x:v>85763.888888889</x:v>
      </x:c>
      <x:c r="J121" s="38" t="n">
        <x:f>'Долг'!D27</x:f>
        <x:v>416666.6666666667</x:v>
      </x:c>
      <x:c r="K121" s="38" t="n">
        <x:f>'Склад и закупки'!M28*('Вводные'!$B$22*(1+'Вводные'!$B$26)^2)*30%</x:f>
        <x:v>429975</x:v>
      </x:c>
      <x:c r="L121" s="38" t="n">
        <x:f>'Склад и закупки'!M27*(('Вводные'!$B$22*(1+'Вводные'!$B$26))*70%+('Вводные'!$B$23*(1+'Вводные'!$B$26)))</x:f>
        <x:v>0</x:v>
      </x:c>
      <x:c r="M121" s="38" t="n">
        <x:f>'Склад и закупки'!M26*('Вводные'!$B$24*(1+'Вводные'!$B$26))</x:f>
        <x:v>535294.212978</x:v>
      </x:c>
      <x:c r="N121" s="38" t="n">
        <x:f>'План продаж'!F26*('Вводные'!$B$27*(1+'Вводные'!$B$28))</x:f>
        <x:v>411836.25000000006</x:v>
      </x:c>
      <x:c r="O121" s="38" t="n">
        <x:f>B121+C121-SUM(E121:M121)</x:f>
        <x:v>6889051.110846882</x:v>
      </x:c>
      <x:c r="P121" s="38" t="n">
        <x:f>O121+D121-N121</x:f>
        <x:v>10247214.86084688</x:v>
      </x:c>
      <x:c r="Q121" s="38" t="n">
        <x:f>'Склад и закупки'!N26</x:f>
        <x:v>700</x:v>
      </x:c>
    </x:row>
    <x:row r="122">
      <x:c r="A122" s="54" t="n">
        <x:v>47088</x:v>
      </x:c>
      <x:c r="B122" s="38" t="n">
        <x:f>P121</x:f>
        <x:v>10247214.86084688</x:v>
      </x:c>
      <x:c r="C122" s="38" t="n">
        <x:f>IF(A122=DATE(2026,11,1),'Вводные'!$B$5,0)</x:f>
        <x:v>0</x:v>
      </x:c>
      <x:c r="D122" s="38" t="n">
        <x:f>'План продаж'!I27</x:f>
        <x:v>3640000</x:v>
      </x:c>
      <x:c r="E122" s="38" t="n">
        <x:f>IF(A122=DATE(2026,11,1),'Вводные'!$B$9,0)</x:f>
        <x:v>0</x:v>
      </x:c>
      <x:c r="F122" s="38" t="n">
        <x:f>'Операционные расходы'!$C$10</x:f>
        <x:v>1016500</x:v>
      </x:c>
      <x:c r="G122" s="38" t="n">
        <x:f>('План продаж'!I22+'План продаж'!I23+'План продаж'!I24)*'Вводные'!$B$32/(1+'Вводные'!$B$32)/3</x:f>
        <x:v>208412.69841269843</x:v>
      </x:c>
      <x:c r="H122" s="38" t="n">
        <x:f>0</x:f>
        <x:v>0</x:v>
      </x:c>
      <x:c r="I122" s="38" t="n">
        <x:f>'Долг'!E28</x:f>
        <x:v>79166.66666666677</x:v>
      </x:c>
      <x:c r="J122" s="38" t="n">
        <x:f>'Долг'!D28</x:f>
        <x:v>416666.6666666667</x:v>
      </x:c>
      <x:c r="K122" s="38" t="n">
        <x:f>'Склад и закупки'!M29*('Вводные'!$B$22*(1+'Вводные'!$B$26)^2)*30%</x:f>
        <x:v>429975</x:v>
      </x:c>
      <x:c r="L122" s="38" t="n">
        <x:f>'Склад и закупки'!M28*(('Вводные'!$B$22*(1+'Вводные'!$B$26)^2)*70%+('Вводные'!$B$23*(1+'Вводные'!$B$26)^2))</x:f>
        <x:v>1334025</x:v>
      </x:c>
      <x:c r="M122" s="38" t="n">
        <x:f>'Склад и закупки'!M27*('Вводные'!$B$24*(1+'Вводные'!$B$26))</x:f>
        <x:v>0</x:v>
      </x:c>
      <x:c r="N122" s="38" t="n">
        <x:f>'План продаж'!F27*('Вводные'!$B$27*(1+'Вводные'!$B$28))</x:f>
        <x:v>397635.00000000006</x:v>
      </x:c>
      <x:c r="O122" s="38" t="n">
        <x:f>B122+C122-SUM(E122:M122)</x:f>
        <x:v>6762468.829100849</x:v>
      </x:c>
      <x:c r="P122" s="38" t="n">
        <x:f>O122+D122-N122</x:f>
        <x:v>10004833.82910085</x:v>
      </x:c>
      <x:c r="Q122" s="38" t="n">
        <x:f>'Склад и закупки'!N27</x:f>
        <x:v>0</x:v>
      </x:c>
    </x:row>
    <x:row r="123">
      <x:c r="A123" s="54" t="n">
        <x:v>47119</x:v>
      </x:c>
      <x:c r="B123" s="38" t="n">
        <x:f>P122</x:f>
        <x:v>10004833.82910085</x:v>
      </x:c>
      <x:c r="C123" s="38" t="n">
        <x:f>IF(A123=DATE(2026,11,1),'Вводные'!$B$5,0)</x:f>
        <x:v>0</x:v>
      </x:c>
      <x:c r="D123" s="38" t="n">
        <x:f>'План продаж'!I28</x:f>
        <x:v>2860000</x:v>
      </x:c>
      <x:c r="E123" s="38" t="n">
        <x:f>IF(A123=DATE(2026,11,1),'Вводные'!$B$9,0)</x:f>
        <x:v>0</x:v>
      </x:c>
      <x:c r="F123" s="38" t="n">
        <x:f>'Операционные расходы'!$D$10</x:f>
        <x:v>1087655</x:v>
      </x:c>
      <x:c r="G123" s="38" t="n">
        <x:f>('План продаж'!I25+'План продаж'!I26+'План продаж'!I27)*'Вводные'!$B$32/(1+'Вводные'!$B$32)/3</x:f>
        <x:v>179523.8095238095</x:v>
      </x:c>
      <x:c r="H123" s="38" t="n">
        <x:f>0</x:f>
        <x:v>0</x:v>
      </x:c>
      <x:c r="I123" s="38" t="n">
        <x:f>'Долг'!E29</x:f>
        <x:v>72569.44444444454</x:v>
      </x:c>
      <x:c r="J123" s="38" t="n">
        <x:f>'Долг'!D29</x:f>
        <x:v>416666.6666666667</x:v>
      </x:c>
      <x:c r="K123" s="38" t="n">
        <x:f>'Склад и закупки'!M30*('Вводные'!$B$22*(1+'Вводные'!$B$26)^2)*30%</x:f>
        <x:v>0</x:v>
      </x:c>
      <x:c r="L123" s="38" t="n">
        <x:f>'Склад и закупки'!M29*(('Вводные'!$B$22*(1+'Вводные'!$B$26)^2)*70%+('Вводные'!$B$23*(1+'Вводные'!$B$26)^2))</x:f>
        <x:v>1334025</x:v>
      </x:c>
      <x:c r="M123" s="38" t="n">
        <x:f>'Склад и закупки'!M28*('Вводные'!$B$24*(1+'Вводные'!$B$26)^2)</x:f>
        <x:v>562058.9236269</x:v>
      </x:c>
      <x:c r="N123" s="38" t="n">
        <x:f>'План продаж'!F28*('Вводные'!$B$27*(1+'Вводные'!$B$28)^2)</x:f>
        <x:v>328048.875</x:v>
      </x:c>
      <x:c r="O123" s="38" t="n">
        <x:f>B123+C123-SUM(E123:M123)</x:f>
        <x:v>6352334.984839029</x:v>
      </x:c>
      <x:c r="P123" s="38" t="n">
        <x:f>O123+D123-N123</x:f>
        <x:v>8884286.10983903</x:v>
      </x:c>
      <x:c r="Q123" s="38" t="n">
        <x:f>'Склад и закупки'!N28</x:f>
        <x:v>450</x:v>
      </x:c>
    </x:row>
    <x:row r="124">
      <x:c r="A124" s="54" t="n">
        <x:v>47150</x:v>
      </x:c>
      <x:c r="B124" s="38" t="n">
        <x:f>P123</x:f>
        <x:v>8884286.10983903</x:v>
      </x:c>
      <x:c r="C124" s="38" t="n">
        <x:f>IF(A124=DATE(2026,11,1),'Вводные'!$B$5,0)</x:f>
        <x:v>0</x:v>
      </x:c>
      <x:c r="D124" s="38" t="n">
        <x:f>'План продаж'!I29</x:f>
        <x:v>3120000</x:v>
      </x:c>
      <x:c r="E124" s="38" t="n">
        <x:f>IF(A124=DATE(2026,11,1),'Вводные'!$B$9,0)</x:f>
        <x:v>0</x:v>
      </x:c>
      <x:c r="F124" s="38" t="n">
        <x:f>'Операционные расходы'!$D$10</x:f>
        <x:v>1087655</x:v>
      </x:c>
      <x:c r="G124" s="38" t="n">
        <x:f>('План продаж'!I25+'План продаж'!I26+'План продаж'!I27)*'Вводные'!$B$32/(1+'Вводные'!$B$32)/3</x:f>
        <x:v>179523.8095238095</x:v>
      </x:c>
      <x:c r="H124" s="38" t="n">
        <x:f>0</x:f>
        <x:v>0</x:v>
      </x:c>
      <x:c r="I124" s="38" t="n">
        <x:f>'Долг'!E30</x:f>
        <x:v>65972.22222222232</x:v>
      </x:c>
      <x:c r="J124" s="38" t="n">
        <x:f>'Долг'!D30</x:f>
        <x:v>416666.6666666667</x:v>
      </x:c>
      <x:c r="K124" s="38" t="n">
        <x:f>'Склад и закупки'!M31*('Вводные'!$B$22*(1+'Вводные'!$B$26)^2)*30%</x:f>
        <x:v>429975</x:v>
      </x:c>
      <x:c r="L124" s="38" t="n">
        <x:f>'Склад и закупки'!M30*(('Вводные'!$B$22*(1+'Вводные'!$B$26)^2)*70%+('Вводные'!$B$23*(1+'Вводные'!$B$26)^2))</x:f>
        <x:v>0</x:v>
      </x:c>
      <x:c r="M124" s="38" t="n">
        <x:f>'Склад и закупки'!M29*('Вводные'!$B$24*(1+'Вводные'!$B$26)^2)</x:f>
        <x:v>562058.9236269</x:v>
      </x:c>
      <x:c r="N124" s="38" t="n">
        <x:f>'План продаж'!F29*('Вводные'!$B$27*(1+'Вводные'!$B$28)^2)</x:f>
        <x:v>357871.5</x:v>
      </x:c>
      <x:c r="O124" s="38" t="n">
        <x:f>B124+C124-SUM(E124:M124)</x:f>
        <x:v>6142434.487799431</x:v>
      </x:c>
      <x:c r="P124" s="38" t="n">
        <x:f>O124+D124-N124</x:f>
        <x:v>8904562.987799432</x:v>
      </x:c>
      <x:c r="Q124" s="38" t="n">
        <x:f>'Склад и закупки'!N29</x:f>
        <x:v>850</x:v>
      </x:c>
    </x:row>
    <x:row r="125">
      <x:c r="A125" s="54" t="n">
        <x:v>47178</x:v>
      </x:c>
      <x:c r="B125" s="38" t="n">
        <x:f>P124</x:f>
        <x:v>8904562.987799432</x:v>
      </x:c>
      <x:c r="C125" s="38" t="n">
        <x:f>IF(A125=DATE(2026,11,1),'Вводные'!$B$5,0)</x:f>
        <x:v>0</x:v>
      </x:c>
      <x:c r="D125" s="38" t="n">
        <x:f>'План продаж'!I30</x:f>
        <x:v>4290000</x:v>
      </x:c>
      <x:c r="E125" s="38" t="n">
        <x:f>IF(A125=DATE(2026,11,1),'Вводные'!$B$9,0)</x:f>
        <x:v>0</x:v>
      </x:c>
      <x:c r="F125" s="38" t="n">
        <x:f>'Операционные расходы'!$D$10</x:f>
        <x:v>1087655</x:v>
      </x:c>
      <x:c r="G125" s="38" t="n">
        <x:f>('План продаж'!I25+'План продаж'!I26+'План продаж'!I27)*'Вводные'!$B$32/(1+'Вводные'!$B$32)/3</x:f>
        <x:v>179523.8095238095</x:v>
      </x:c>
      <x:c r="H125" s="38" t="n">
        <x:f>0</x:f>
        <x:v>0</x:v>
      </x:c>
      <x:c r="I125" s="38" t="n">
        <x:f>'Долг'!E31</x:f>
        <x:v>59375.00000000011</x:v>
      </x:c>
      <x:c r="J125" s="38" t="n">
        <x:f>'Долг'!D31</x:f>
        <x:v>416666.6666666667</x:v>
      </x:c>
      <x:c r="K125" s="38" t="n">
        <x:f>'Склад и закупки'!M32*('Вводные'!$B$22*(1+'Вводные'!$B$26)^2)*30%</x:f>
        <x:v>429975</x:v>
      </x:c>
      <x:c r="L125" s="38" t="n">
        <x:f>'Склад и закупки'!M31*(('Вводные'!$B$22*(1+'Вводные'!$B$26)^2)*70%+('Вводные'!$B$23*(1+'Вводные'!$B$26)^2))</x:f>
        <x:v>1334025</x:v>
      </x:c>
      <x:c r="M125" s="38" t="n">
        <x:f>'Склад и закупки'!M30*('Вводные'!$B$24*(1+'Вводные'!$B$26)^2)</x:f>
        <x:v>0</x:v>
      </x:c>
      <x:c r="N125" s="38" t="n">
        <x:f>'План продаж'!F30*('Вводные'!$B$27*(1+'Вводные'!$B$28)^2)</x:f>
        <x:v>492073.3125</x:v>
      </x:c>
      <x:c r="O125" s="38" t="n">
        <x:f>B125+C125-SUM(E125:M125)</x:f>
        <x:v>5397342.511608956</x:v>
      </x:c>
      <x:c r="P125" s="38" t="n">
        <x:f>O125+D125-N125</x:f>
        <x:v>9195269.199108956</x:v>
      </x:c>
      <x:c r="Q125" s="38" t="n">
        <x:f>'Склад и закупки'!N30</x:f>
        <x:v>25</x:v>
      </x:c>
    </x:row>
    <x:row r="126">
      <x:c r="A126" s="54" t="n">
        <x:v>47209</x:v>
      </x:c>
      <x:c r="B126" s="38" t="n">
        <x:f>P125</x:f>
        <x:v>9195269.199108956</x:v>
      </x:c>
      <x:c r="C126" s="38" t="n">
        <x:f>IF(A126=DATE(2026,11,1),'Вводные'!$B$5,0)</x:f>
        <x:v>0</x:v>
      </x:c>
      <x:c r="D126" s="38" t="n">
        <x:f>'План продаж'!I31</x:f>
        <x:v>4680000</x:v>
      </x:c>
      <x:c r="E126" s="38" t="n">
        <x:f>IF(A126=DATE(2026,11,1),'Вводные'!$B$9,0)</x:f>
        <x:v>0</x:v>
      </x:c>
      <x:c r="F126" s="38" t="n">
        <x:f>'Операционные расходы'!$D$10</x:f>
        <x:v>1087655</x:v>
      </x:c>
      <x:c r="G126" s="38" t="n">
        <x:f>('План продаж'!I28+'План продаж'!I29+'План продаж'!I30)*'Вводные'!$B$32/(1+'Вводные'!$B$32)/3</x:f>
        <x:v>163015.87301587302</x:v>
      </x:c>
      <x:c r="H126" s="38" t="n">
        <x:f>(('План продаж'!I25+'План продаж'!I26+'План продаж'!I27)/(1+'Вводные'!$B$32))*'Вводные'!$B$31+(('План продаж'!I28+'План продаж'!I29+'План продаж'!I30)/(1+'Вводные'!$B$32))*'Вводные'!$B$31</x:f>
        <x:v>1233142.857142857</x:v>
      </x:c>
      <x:c r="I126" s="38" t="n">
        <x:f>'Долг'!E32</x:f>
        <x:v>52777.77777777789</x:v>
      </x:c>
      <x:c r="J126" s="38" t="n">
        <x:f>'Долг'!D32</x:f>
        <x:v>416666.6666666667</x:v>
      </x:c>
      <x:c r="K126" s="38" t="n">
        <x:f>'Склад и закупки'!M33*('Вводные'!$B$22*(1+'Вводные'!$B$26)^2)*30%</x:f>
        <x:v>429975</x:v>
      </x:c>
      <x:c r="L126" s="38" t="n">
        <x:f>'Склад и закупки'!M32*(('Вводные'!$B$22*(1+'Вводные'!$B$26)^2)*70%+('Вводные'!$B$23*(1+'Вводные'!$B$26)^2))</x:f>
        <x:v>1334025</x:v>
      </x:c>
      <x:c r="M126" s="38" t="n">
        <x:f>'Склад и закупки'!M31*('Вводные'!$B$24*(1+'Вводные'!$B$26)^2)</x:f>
        <x:v>562058.9236269</x:v>
      </x:c>
      <x:c r="N126" s="38" t="n">
        <x:f>'План продаж'!F31*('Вводные'!$B$27*(1+'Вводные'!$B$28)^2)</x:f>
        <x:v>536807.25</x:v>
      </x:c>
      <x:c r="O126" s="38" t="n">
        <x:f>B126+C126-SUM(E126:M126)</x:f>
        <x:v>3915952.1008788813</x:v>
      </x:c>
      <x:c r="P126" s="38" t="n">
        <x:f>O126+D126-N126</x:f>
        <x:v>8059144.850878881</x:v>
      </x:c>
      <x:c r="Q126" s="38" t="n">
        <x:f>'Склад и закупки'!N31</x:f>
        <x:v>125</x:v>
      </x:c>
    </x:row>
    <x:row r="127">
      <x:c r="A127" s="54" t="n">
        <x:v>47239</x:v>
      </x:c>
      <x:c r="B127" s="38" t="n">
        <x:f>P126</x:f>
        <x:v>8059144.850878881</x:v>
      </x:c>
      <x:c r="C127" s="38" t="n">
        <x:f>IF(A127=DATE(2026,11,1),'Вводные'!$B$5,0)</x:f>
        <x:v>0</x:v>
      </x:c>
      <x:c r="D127" s="38" t="n">
        <x:f>'План продаж'!I32</x:f>
        <x:v>3770000</x:v>
      </x:c>
      <x:c r="E127" s="38" t="n">
        <x:f>IF(A127=DATE(2026,11,1),'Вводные'!$B$9,0)</x:f>
        <x:v>0</x:v>
      </x:c>
      <x:c r="F127" s="38" t="n">
        <x:f>'Операционные расходы'!$D$10</x:f>
        <x:v>1087655</x:v>
      </x:c>
      <x:c r="G127" s="38" t="n">
        <x:f>('План продаж'!I28+'План продаж'!I29+'План продаж'!I30)*'Вводные'!$B$32/(1+'Вводные'!$B$32)/3</x:f>
        <x:v>163015.87301587302</x:v>
      </x:c>
      <x:c r="H127" s="38" t="n">
        <x:f>0</x:f>
        <x:v>0</x:v>
      </x:c>
      <x:c r="I127" s="38" t="n">
        <x:f>'Долг'!E33</x:f>
        <x:v>46180.55555555567</x:v>
      </x:c>
      <x:c r="J127" s="38" t="n">
        <x:f>'Долг'!D33</x:f>
        <x:v>416666.6666666667</x:v>
      </x:c>
      <x:c r="K127" s="38" t="n">
        <x:f>'Склад и закупки'!M34*('Вводные'!$B$22*(1+'Вводные'!$B$26)^2)*30%</x:f>
        <x:v>429975</x:v>
      </x:c>
      <x:c r="L127" s="38" t="n">
        <x:f>'Склад и закупки'!M33*(('Вводные'!$B$22*(1+'Вводные'!$B$26)^2)*70%+('Вводные'!$B$23*(1+'Вводные'!$B$26)^2))</x:f>
        <x:v>1334025</x:v>
      </x:c>
      <x:c r="M127" s="38" t="n">
        <x:f>'Склад и закупки'!M32*('Вводные'!$B$24*(1+'Вводные'!$B$26)^2)</x:f>
        <x:v>562058.9236269</x:v>
      </x:c>
      <x:c r="N127" s="38" t="n">
        <x:f>'План продаж'!F32*('Вводные'!$B$27*(1+'Вводные'!$B$28)^2)</x:f>
        <x:v>432428.0625</x:v>
      </x:c>
      <x:c r="O127" s="38" t="n">
        <x:f>B127+C127-SUM(E127:M127)</x:f>
        <x:v>4019567.8320138855</x:v>
      </x:c>
      <x:c r="P127" s="38" t="n">
        <x:f>O127+D127-N127</x:f>
        <x:v>7357139.7695138855</x:v>
      </x:c>
      <x:c r="Q127" s="38" t="n">
        <x:f>'Склад и закупки'!N32</x:f>
        <x:v>400</x:v>
      </x:c>
    </x:row>
    <x:row r="128">
      <x:c r="A128" s="54" t="n">
        <x:v>47270</x:v>
      </x:c>
      <x:c r="B128" s="38" t="n">
        <x:f>P127</x:f>
        <x:v>7357139.7695138855</x:v>
      </x:c>
      <x:c r="C128" s="38" t="n">
        <x:f>IF(A128=DATE(2026,11,1),'Вводные'!$B$5,0)</x:f>
        <x:v>0</x:v>
      </x:c>
      <x:c r="D128" s="38" t="n">
        <x:f>'План продаж'!I33</x:f>
        <x:v>3640000</x:v>
      </x:c>
      <x:c r="E128" s="38" t="n">
        <x:f>IF(A128=DATE(2026,11,1),'Вводные'!$B$9,0)</x:f>
        <x:v>0</x:v>
      </x:c>
      <x:c r="F128" s="38" t="n">
        <x:f>'Операционные расходы'!$D$10</x:f>
        <x:v>1087655</x:v>
      </x:c>
      <x:c r="G128" s="38" t="n">
        <x:f>('План продаж'!I28+'План продаж'!I29+'План продаж'!I30)*'Вводные'!$B$32/(1+'Вводные'!$B$32)/3</x:f>
        <x:v>163015.87301587302</x:v>
      </x:c>
      <x:c r="H128" s="38" t="n">
        <x:f>0</x:f>
        <x:v>0</x:v>
      </x:c>
      <x:c r="I128" s="38" t="n">
        <x:f>'Долг'!E34</x:f>
        <x:v>39583.333333333445</x:v>
      </x:c>
      <x:c r="J128" s="38" t="n">
        <x:f>'Долг'!D34</x:f>
        <x:v>416666.6666666667</x:v>
      </x:c>
      <x:c r="K128" s="38" t="n">
        <x:f>'Склад и закупки'!M35*('Вводные'!$B$22*(1+'Вводные'!$B$26)^2)*30%</x:f>
        <x:v>0</x:v>
      </x:c>
      <x:c r="L128" s="38" t="n">
        <x:f>'Склад и закупки'!M34*(('Вводные'!$B$22*(1+'Вводные'!$B$26)^2)*70%+('Вводные'!$B$23*(1+'Вводные'!$B$26)^2))</x:f>
        <x:v>1334025</x:v>
      </x:c>
      <x:c r="M128" s="38" t="n">
        <x:f>'Склад и закупки'!M33*('Вводные'!$B$24*(1+'Вводные'!$B$26)^2)</x:f>
        <x:v>562058.9236269</x:v>
      </x:c>
      <x:c r="N128" s="38" t="n">
        <x:f>'План продаж'!F33*('Вводные'!$B$27*(1+'Вводные'!$B$28)^2)</x:f>
        <x:v>417516.75</x:v>
      </x:c>
      <x:c r="O128" s="38" t="n">
        <x:f>B128+C128-SUM(E128:M128)</x:f>
        <x:v>3754134.9728711126</x:v>
      </x:c>
      <x:c r="P128" s="38" t="n">
        <x:f>O128+D128-N128</x:f>
        <x:v>6976618.222871113</x:v>
      </x:c>
      <x:c r="Q128" s="38" t="n">
        <x:f>'Склад и закупки'!N33</x:f>
        <x:v>700</x:v>
      </x:c>
    </x:row>
    <x:row r="129">
      <x:c r="A129" s="54" t="n">
        <x:v>47300</x:v>
      </x:c>
      <x:c r="B129" s="38" t="n">
        <x:f>P128</x:f>
        <x:v>6976618.222871113</x:v>
      </x:c>
      <x:c r="C129" s="38" t="n">
        <x:f>IF(A129=DATE(2026,11,1),'Вводные'!$B$5,0)</x:f>
        <x:v>0</x:v>
      </x:c>
      <x:c r="D129" s="38" t="n">
        <x:f>'План продаж'!I34</x:f>
        <x:v>3900000</x:v>
      </x:c>
      <x:c r="E129" s="38" t="n">
        <x:f>IF(A129=DATE(2026,11,1),'Вводные'!$B$9,0)</x:f>
        <x:v>0</x:v>
      </x:c>
      <x:c r="F129" s="38" t="n">
        <x:f>'Операционные расходы'!$D$10</x:f>
        <x:v>1087655</x:v>
      </x:c>
      <x:c r="G129" s="38" t="n">
        <x:f>('План продаж'!I31+'План продаж'!I32+'План продаж'!I33)*'Вводные'!$B$32/(1+'Вводные'!$B$32)/3</x:f>
        <x:v>191904.7619047619</x:v>
      </x:c>
      <x:c r="H129" s="38" t="n">
        <x:f>(('План продаж'!I31+'План продаж'!I32+'План продаж'!I33)/(1+'Вводные'!$B$32))*'Вводные'!$B$31</x:f>
        <x:v>690857.1428571428</x:v>
      </x:c>
      <x:c r="I129" s="38" t="n">
        <x:f>'Долг'!E35</x:f>
        <x:v>32986.11111111122</x:v>
      </x:c>
      <x:c r="J129" s="38" t="n">
        <x:f>'Долг'!D35</x:f>
        <x:v>416666.6666666667</x:v>
      </x:c>
      <x:c r="K129" s="38" t="n">
        <x:f>'Склад и закупки'!M36*('Вводные'!$B$22*(1+'Вводные'!$B$26)^2)*30%</x:f>
        <x:v>429975</x:v>
      </x:c>
      <x:c r="L129" s="38" t="n">
        <x:f>'Склад и закупки'!M35*(('Вводные'!$B$22*(1+'Вводные'!$B$26)^2)*70%+('Вводные'!$B$23*(1+'Вводные'!$B$26)^2))</x:f>
        <x:v>0</x:v>
      </x:c>
      <x:c r="M129" s="38" t="n">
        <x:f>'Склад и закупки'!M34*('Вводные'!$B$24*(1+'Вводные'!$B$26)^2)</x:f>
        <x:v>562058.9236269</x:v>
      </x:c>
      <x:c r="N129" s="38" t="n">
        <x:f>'План продаж'!F34*('Вводные'!$B$27*(1+'Вводные'!$B$28)^2)</x:f>
        <x:v>447339.375</x:v>
      </x:c>
      <x:c r="O129" s="38" t="n">
        <x:f>B129+C129-SUM(E129:M129)</x:f>
        <x:v>3564514.61670453</x:v>
      </x:c>
      <x:c r="P129" s="38" t="n">
        <x:f>O129+D129-N129</x:f>
        <x:v>7017175.24170453</x:v>
      </x:c>
      <x:c r="Q129" s="38" t="n">
        <x:f>'Склад и закупки'!N34</x:f>
        <x:v>950</x:v>
      </x:c>
    </x:row>
    <x:row r="130">
      <x:c r="A130" s="54" t="n">
        <x:v>47331</x:v>
      </x:c>
      <x:c r="B130" s="38" t="n">
        <x:f>P129</x:f>
        <x:v>7017175.24170453</x:v>
      </x:c>
      <x:c r="C130" s="38" t="n">
        <x:f>IF(A130=DATE(2026,11,1),'Вводные'!$B$5,0)</x:f>
        <x:v>0</x:v>
      </x:c>
      <x:c r="D130" s="38" t="n">
        <x:f>'План продаж'!I35</x:f>
        <x:v>4680000</x:v>
      </x:c>
      <x:c r="E130" s="38" t="n">
        <x:f>IF(A130=DATE(2026,11,1),'Вводные'!$B$9,0)</x:f>
        <x:v>0</x:v>
      </x:c>
      <x:c r="F130" s="38" t="n">
        <x:f>'Операционные расходы'!$D$10</x:f>
        <x:v>1087655</x:v>
      </x:c>
      <x:c r="G130" s="38" t="n">
        <x:f>('План продаж'!I31+'План продаж'!I32+'План продаж'!I33)*'Вводные'!$B$32/(1+'Вводные'!$B$32)/3</x:f>
        <x:v>191904.7619047619</x:v>
      </x:c>
      <x:c r="H130" s="38" t="n">
        <x:f>0</x:f>
        <x:v>0</x:v>
      </x:c>
      <x:c r="I130" s="38" t="n">
        <x:f>'Долг'!E36</x:f>
        <x:v>26388.888888888996</x:v>
      </x:c>
      <x:c r="J130" s="38" t="n">
        <x:f>'Долг'!D36</x:f>
        <x:v>416666.6666666667</x:v>
      </x:c>
      <x:c r="K130" s="38" t="n">
        <x:f>'Склад и закупки'!M37*('Вводные'!$B$22*(1+'Вводные'!$B$26)^2)*30%</x:f>
        <x:v>429975</x:v>
      </x:c>
      <x:c r="L130" s="38" t="n">
        <x:f>'Склад и закупки'!M36*(('Вводные'!$B$22*(1+'Вводные'!$B$26)^2)*70%+('Вводные'!$B$23*(1+'Вводные'!$B$26)^2))</x:f>
        <x:v>1334025</x:v>
      </x:c>
      <x:c r="M130" s="38" t="n">
        <x:f>'Склад и закупки'!M35*('Вводные'!$B$24*(1+'Вводные'!$B$26)^2)</x:f>
        <x:v>0</x:v>
      </x:c>
      <x:c r="N130" s="38" t="n">
        <x:f>'План продаж'!F35*('Вводные'!$B$27*(1+'Вводные'!$B$28)^2)</x:f>
        <x:v>536807.25</x:v>
      </x:c>
      <x:c r="O130" s="38" t="n">
        <x:f>B130+C130-SUM(E130:M130)</x:f>
        <x:v>3530559.9242442125</x:v>
      </x:c>
      <x:c r="P130" s="38" t="n">
        <x:f>O130+D130-N130</x:f>
        <x:v>7673752.674244212</x:v>
      </x:c>
      <x:c r="Q130" s="38" t="n">
        <x:f>'Склад и закупки'!N35</x:f>
        <x:v>50</x:v>
      </x:c>
    </x:row>
    <x:row r="131">
      <x:c r="A131" s="54" t="n">
        <x:v>47362</x:v>
      </x:c>
      <x:c r="B131" s="38" t="n">
        <x:f>P130</x:f>
        <x:v>7673752.674244212</x:v>
      </x:c>
      <x:c r="C131" s="38" t="n">
        <x:f>IF(A131=DATE(2026,11,1),'Вводные'!$B$5,0)</x:f>
        <x:v>0</x:v>
      </x:c>
      <x:c r="D131" s="38" t="n">
        <x:f>'План продаж'!I36</x:f>
        <x:v>4550000</x:v>
      </x:c>
      <x:c r="E131" s="38" t="n">
        <x:f>IF(A131=DATE(2026,11,1),'Вводные'!$B$9,0)</x:f>
        <x:v>0</x:v>
      </x:c>
      <x:c r="F131" s="38" t="n">
        <x:f>'Операционные расходы'!$D$10</x:f>
        <x:v>1087655</x:v>
      </x:c>
      <x:c r="G131" s="38" t="n">
        <x:f>('План продаж'!I31+'План продаж'!I32+'План продаж'!I33)*'Вводные'!$B$32/(1+'Вводные'!$B$32)/3</x:f>
        <x:v>191904.7619047619</x:v>
      </x:c>
      <x:c r="H131" s="38" t="n">
        <x:f>0</x:f>
        <x:v>0</x:v>
      </x:c>
      <x:c r="I131" s="38" t="n">
        <x:f>'Долг'!E37</x:f>
        <x:v>19791.666666666773</x:v>
      </x:c>
      <x:c r="J131" s="38" t="n">
        <x:f>'Долг'!D37</x:f>
        <x:v>416666.6666666667</x:v>
      </x:c>
      <x:c r="K131" s="38" t="n">
        <x:f>'Склад и закупки'!M38*('Вводные'!$B$22*(1+'Вводные'!$B$26)^2)*30%</x:f>
        <x:v>429975</x:v>
      </x:c>
      <x:c r="L131" s="38" t="n">
        <x:f>'Склад и закупки'!M37*(('Вводные'!$B$22*(1+'Вводные'!$B$26)^2)*70%+('Вводные'!$B$23*(1+'Вводные'!$B$26)^2))</x:f>
        <x:v>1334025</x:v>
      </x:c>
      <x:c r="M131" s="38" t="n">
        <x:f>'Склад и закупки'!M36*('Вводные'!$B$24*(1+'Вводные'!$B$26)^2)</x:f>
        <x:v>562058.9236269</x:v>
      </x:c>
      <x:c r="N131" s="38" t="n">
        <x:f>'План продаж'!F36*('Вводные'!$B$27*(1+'Вводные'!$B$28)^2)</x:f>
        <x:v>521895.9375</x:v>
      </x:c>
      <x:c r="O131" s="38" t="n">
        <x:f>B131+C131-SUM(E131:M131)</x:f>
        <x:v>3631675.655379217</x:v>
      </x:c>
      <x:c r="P131" s="38" t="n">
        <x:f>O131+D131-N131</x:f>
        <x:v>7659779.717879217</x:v>
      </x:c>
      <x:c r="Q131" s="38" t="n">
        <x:f>'Склад и закупки'!N36</x:f>
        <x:v>175</x:v>
      </x:c>
    </x:row>
    <x:row r="132">
      <x:c r="A132" s="54" t="n">
        <x:v>47392</x:v>
      </x:c>
      <x:c r="B132" s="38" t="n">
        <x:f>P131</x:f>
        <x:v>7659779.717879217</x:v>
      </x:c>
      <x:c r="C132" s="38" t="n">
        <x:f>IF(A132=DATE(2026,11,1),'Вводные'!$B$5,0)</x:f>
        <x:v>0</x:v>
      </x:c>
      <x:c r="D132" s="38" t="n">
        <x:f>'План продаж'!I37</x:f>
        <x:v>3900000</x:v>
      </x:c>
      <x:c r="E132" s="38" t="n">
        <x:f>IF(A132=DATE(2026,11,1),'Вводные'!$B$9,0)</x:f>
        <x:v>0</x:v>
      </x:c>
      <x:c r="F132" s="38" t="n">
        <x:f>'Операционные расходы'!$D$10</x:f>
        <x:v>1087655</x:v>
      </x:c>
      <x:c r="G132" s="38" t="n">
        <x:f>('План продаж'!I34+'План продаж'!I35+'План продаж'!I36)*'Вводные'!$B$32/(1+'Вводные'!$B$32)/3</x:f>
        <x:v>208412.69841269843</x:v>
      </x:c>
      <x:c r="H132" s="38" t="n">
        <x:f>(('План продаж'!I34+'План продаж'!I35+'План продаж'!I36)/(1+'Вводные'!$B$32))*'Вводные'!$B$31</x:f>
        <x:v>750285.7142857143</x:v>
      </x:c>
      <x:c r="I132" s="38" t="n">
        <x:f>'Долг'!E38</x:f>
        <x:v>13194.444444444549</x:v>
      </x:c>
      <x:c r="J132" s="38" t="n">
        <x:f>'Долг'!D38</x:f>
        <x:v>416666.6666666667</x:v>
      </x:c>
      <x:c r="K132" s="38" t="n">
        <x:f>'Склад и закупки'!M39*('Вводные'!$B$22*(1+'Вводные'!$B$26)^2)*30%</x:f>
        <x:v>0</x:v>
      </x:c>
      <x:c r="L132" s="38" t="n">
        <x:f>'Склад и закупки'!M38*(('Вводные'!$B$22*(1+'Вводные'!$B$26)^2)*70%+('Вводные'!$B$23*(1+'Вводные'!$B$26)^2))</x:f>
        <x:v>1334025</x:v>
      </x:c>
      <x:c r="M132" s="38" t="n">
        <x:f>'Склад и закупки'!M37*('Вводные'!$B$24*(1+'Вводные'!$B$26)^2)</x:f>
        <x:v>562058.9236269</x:v>
      </x:c>
      <x:c r="N132" s="38" t="n">
        <x:f>'План продаж'!F37*('Вводные'!$B$27*(1+'Вводные'!$B$28)^2)</x:f>
        <x:v>447339.375</x:v>
      </x:c>
      <x:c r="O132" s="38" t="n">
        <x:f>B132+C132-SUM(E132:M132)</x:f>
        <x:v>3287481.270442793</x:v>
      </x:c>
      <x:c r="P132" s="38" t="n">
        <x:f>O132+D132-N132</x:f>
        <x:v>6740141.895442793</x:v>
      </x:c>
      <x:c r="Q132" s="38" t="n">
        <x:f>'Склад и закупки'!N37</x:f>
        <x:v>425</x:v>
      </x:c>
    </x:row>
    <x:row r="133">
      <x:c r="A133" s="54" t="n">
        <x:v>47423</x:v>
      </x:c>
      <x:c r="B133" s="38" t="n">
        <x:f>P132</x:f>
        <x:v>6740141.895442793</x:v>
      </x:c>
      <x:c r="C133" s="38" t="n">
        <x:f>IF(A133=DATE(2026,11,1),'Вводные'!$B$5,0)</x:f>
        <x:v>0</x:v>
      </x:c>
      <x:c r="D133" s="38" t="n">
        <x:f>'План продаж'!I38</x:f>
        <x:v>3770000</x:v>
      </x:c>
      <x:c r="E133" s="38" t="n">
        <x:f>IF(A133=DATE(2026,11,1),'Вводные'!$B$9,0)</x:f>
        <x:v>0</x:v>
      </x:c>
      <x:c r="F133" s="38" t="n">
        <x:f>'Операционные расходы'!$D$10</x:f>
        <x:v>1087655</x:v>
      </x:c>
      <x:c r="G133" s="38" t="n">
        <x:f>('План продаж'!I34+'План продаж'!I35+'План продаж'!I36)*'Вводные'!$B$32/(1+'Вводные'!$B$32)/3</x:f>
        <x:v>208412.69841269843</x:v>
      </x:c>
      <x:c r="H133" s="38" t="n">
        <x:f>0</x:f>
        <x:v>0</x:v>
      </x:c>
      <x:c r="I133" s="38" t="n">
        <x:f>'Долг'!E39</x:f>
        <x:v>6597.222222222328</x:v>
      </x:c>
      <x:c r="J133" s="38" t="n">
        <x:f>'Долг'!D39</x:f>
        <x:v>416666.6666666667</x:v>
      </x:c>
      <x:c r="K133" s="38" t="n">
        <x:f>0</x:f>
        <x:v>0</x:v>
      </x:c>
      <x:c r="L133" s="38" t="n">
        <x:f>'Склад и закупки'!M39*(('Вводные'!$B$22*(1+'Вводные'!$B$26)^2)*70%+('Вводные'!$B$23*(1+'Вводные'!$B$26)^2))</x:f>
        <x:v>0</x:v>
      </x:c>
      <x:c r="M133" s="38" t="n">
        <x:f>'Склад и закупки'!M38*('Вводные'!$B$24*(1+'Вводные'!$B$26)^2)</x:f>
        <x:v>562058.9236269</x:v>
      </x:c>
      <x:c r="N133" s="38" t="n">
        <x:f>'План продаж'!F38*('Вводные'!$B$27*(1+'Вводные'!$B$28)^2)</x:f>
        <x:v>432428.0625</x:v>
      </x:c>
      <x:c r="O133" s="38" t="n">
        <x:f>B133+C133-SUM(E133:M133)</x:f>
        <x:v>4458751.384514306</x:v>
      </x:c>
      <x:c r="P133" s="38" t="n">
        <x:f>O133+D133-N133</x:f>
        <x:v>7796323.322014306</x:v>
      </x:c>
      <x:c r="Q133" s="38" t="n">
        <x:f>'Склад и закупки'!N38</x:f>
        <x:v>700</x:v>
      </x:c>
    </x:row>
    <x:row r="134">
      <x:c r="A134" s="54" t="n">
        <x:v>47453</x:v>
      </x:c>
      <x:c r="B134" s="38" t="n">
        <x:f>P133</x:f>
        <x:v>7796323.322014306</x:v>
      </x:c>
      <x:c r="C134" s="38" t="n">
        <x:f>IF(A134=DATE(2026,11,1),'Вводные'!$B$5,0)</x:f>
        <x:v>0</x:v>
      </x:c>
      <x:c r="D134" s="38" t="n">
        <x:f>'План продаж'!I39</x:f>
        <x:v>3640000</x:v>
      </x:c>
      <x:c r="E134" s="38" t="n">
        <x:f>IF(A134=DATE(2026,11,1),'Вводные'!$B$9,0)</x:f>
        <x:v>0</x:v>
      </x:c>
      <x:c r="F134" s="38" t="n">
        <x:f>'Операционные расходы'!$D$10</x:f>
        <x:v>1087655</x:v>
      </x:c>
      <x:c r="G134" s="38" t="n">
        <x:f>('План продаж'!I34+'План продаж'!I35+'План продаж'!I36)*'Вводные'!$B$32/(1+'Вводные'!$B$32)/3</x:f>
        <x:v>208412.69841269843</x:v>
      </x:c>
      <x:c r="H134" s="38" t="n">
        <x:f>0</x:f>
        <x:v>0</x:v>
      </x:c>
      <x:c r="I134" s="38" t="n">
        <x:v>0</x:v>
      </x:c>
      <x:c r="J134" s="38" t="n">
        <x:v>0</x:v>
      </x:c>
      <x:c r="K134" s="38" t="n">
        <x:f>0</x:f>
        <x:v>0</x:v>
      </x:c>
      <x:c r="L134" s="38" t="n">
        <x:f>0</x:f>
        <x:v>0</x:v>
      </x:c>
      <x:c r="M134" s="38" t="n">
        <x:f>'Склад и закупки'!M39*('Вводные'!$B$24*(1+'Вводные'!$B$26)^2)</x:f>
        <x:v>0</x:v>
      </x:c>
      <x:c r="N134" s="38" t="n">
        <x:f>'План продаж'!F39*('Вводные'!$B$27*(1+'Вводные'!$B$28)^2)</x:f>
        <x:v>417516.75</x:v>
      </x:c>
      <x:c r="O134" s="38" t="n">
        <x:f>B134+C134-SUM(E134:M134)</x:f>
        <x:v>6500255.623601607</x:v>
      </x:c>
      <x:c r="P134" s="38" t="n">
        <x:f>O134+D134-N134</x:f>
        <x:v>9722738.873601608</x:v>
      </x:c>
      <x:c r="Q134" s="38" t="n">
        <x:f>'Склад и закупки'!N39</x:f>
        <x:v>0</x:v>
      </x:c>
    </x:row>
    <x:row r="135">
      <x:c r="A135" s="54" t="n">
        <x:v>47484</x:v>
      </x:c>
      <x:c r="B135" s="38" t="n">
        <x:f>P134</x:f>
        <x:v>9722738.873601608</x:v>
      </x:c>
      <x:c r="C135" s="38" t="n">
        <x:f>IF(A135=DATE(2026,11,1),'Вводные'!$B$5,0)</x:f>
        <x:v>0</x:v>
      </x:c>
      <x:c r="D135" s="38" t="n">
        <x:v>0</x:v>
      </x:c>
      <x:c r="E135" s="38" t="n">
        <x:f>IF(A135=DATE(2026,11,1),'Вводные'!$B$9,0)</x:f>
        <x:v>0</x:v>
      </x:c>
      <x:c r="F135" s="38" t="n">
        <x:v>0</x:v>
      </x:c>
      <x:c r="G135" s="38" t="n">
        <x:f>('План продаж'!I37+'План продаж'!I38+'План продаж'!I39)*'Вводные'!$B$32/(1+'Вводные'!$B$32)/3</x:f>
        <x:v>179523.8095238095</x:v>
      </x:c>
      <x:c r="H135" s="38" t="n">
        <x:f>0</x:f>
        <x:v>0</x:v>
      </x:c>
      <x:c r="I135" s="38" t="n">
        <x:v>0</x:v>
      </x:c>
      <x:c r="J135" s="38" t="n">
        <x:v>0</x:v>
      </x:c>
      <x:c r="K135" s="38" t="n">
        <x:f>0</x:f>
        <x:v>0</x:v>
      </x:c>
      <x:c r="L135" s="38" t="n">
        <x:f>0</x:f>
        <x:v>0</x:v>
      </x:c>
      <x:c r="M135" s="38" t="n">
        <x:f>0</x:f>
        <x:v>0</x:v>
      </x:c>
      <x:c r="N135" s="38" t="n">
        <x:v>0</x:v>
      </x:c>
      <x:c r="O135" s="38" t="n">
        <x:f>B135+C135-SUM(E135:M135)</x:f>
        <x:v>9543215.064077798</x:v>
      </x:c>
      <x:c r="P135" s="38" t="n">
        <x:f>O135+D135-N135</x:f>
        <x:v>9543215.064077798</x:v>
      </x:c>
      <x:c r="Q135" s="38" t="n">
        <x:v>0</x:v>
      </x:c>
    </x:row>
    <x:row r="136">
      <x:c r="A136" s="54" t="n">
        <x:v>47515</x:v>
      </x:c>
      <x:c r="B136" s="38" t="n">
        <x:f>P135</x:f>
        <x:v>9543215.064077798</x:v>
      </x:c>
      <x:c r="C136" s="38" t="n">
        <x:f>IF(A136=DATE(2026,11,1),'Вводные'!$B$5,0)</x:f>
        <x:v>0</x:v>
      </x:c>
      <x:c r="D136" s="38" t="n">
        <x:v>0</x:v>
      </x:c>
      <x:c r="E136" s="38" t="n">
        <x:f>IF(A136=DATE(2026,11,1),'Вводные'!$B$9,0)</x:f>
        <x:v>0</x:v>
      </x:c>
      <x:c r="F136" s="38" t="n">
        <x:v>0</x:v>
      </x:c>
      <x:c r="G136" s="38" t="n">
        <x:f>('План продаж'!I37+'План продаж'!I38+'План продаж'!I39)*'Вводные'!$B$32/(1+'Вводные'!$B$32)/3</x:f>
        <x:v>179523.8095238095</x:v>
      </x:c>
      <x:c r="H136" s="38" t="n">
        <x:f>0</x:f>
        <x:v>0</x:v>
      </x:c>
      <x:c r="I136" s="38" t="n">
        <x:v>0</x:v>
      </x:c>
      <x:c r="J136" s="38" t="n">
        <x:v>0</x:v>
      </x:c>
      <x:c r="K136" s="38" t="n">
        <x:f>0</x:f>
        <x:v>0</x:v>
      </x:c>
      <x:c r="L136" s="38" t="n">
        <x:f>0</x:f>
        <x:v>0</x:v>
      </x:c>
      <x:c r="M136" s="38" t="n">
        <x:f>0</x:f>
        <x:v>0</x:v>
      </x:c>
      <x:c r="N136" s="38" t="n">
        <x:v>0</x:v>
      </x:c>
      <x:c r="O136" s="38" t="n">
        <x:f>B136+C136-SUM(E136:M136)</x:f>
        <x:v>9363691.254553989</x:v>
      </x:c>
      <x:c r="P136" s="38" t="n">
        <x:f>O136+D136-N136</x:f>
        <x:v>9363691.254553989</x:v>
      </x:c>
      <x:c r="Q136" s="38" t="n">
        <x:v>0</x:v>
      </x:c>
    </x:row>
    <x:row r="137">
      <x:c r="A137" s="54" t="n">
        <x:v>47543</x:v>
      </x:c>
      <x:c r="B137" s="38" t="n">
        <x:f>P136</x:f>
        <x:v>9363691.254553989</x:v>
      </x:c>
      <x:c r="C137" s="38" t="n">
        <x:f>IF(A137=DATE(2026,11,1),'Вводные'!$B$5,0)</x:f>
        <x:v>0</x:v>
      </x:c>
      <x:c r="D137" s="38" t="n">
        <x:v>0</x:v>
      </x:c>
      <x:c r="E137" s="38" t="n">
        <x:f>IF(A137=DATE(2026,11,1),'Вводные'!$B$9,0)</x:f>
        <x:v>0</x:v>
      </x:c>
      <x:c r="F137" s="38" t="n">
        <x:v>0</x:v>
      </x:c>
      <x:c r="G137" s="38" t="n">
        <x:f>('План продаж'!I37+'План продаж'!I38+'План продаж'!I39)*'Вводные'!$B$32/(1+'Вводные'!$B$32)/3</x:f>
        <x:v>179523.8095238095</x:v>
      </x:c>
      <x:c r="H137" s="38" t="n">
        <x:f>0</x:f>
        <x:v>0</x:v>
      </x:c>
      <x:c r="I137" s="38" t="n">
        <x:v>0</x:v>
      </x:c>
      <x:c r="J137" s="38" t="n">
        <x:v>0</x:v>
      </x:c>
      <x:c r="K137" s="38" t="n">
        <x:f>0</x:f>
        <x:v>0</x:v>
      </x:c>
      <x:c r="L137" s="38" t="n">
        <x:f>0</x:f>
        <x:v>0</x:v>
      </x:c>
      <x:c r="M137" s="38" t="n">
        <x:f>0</x:f>
        <x:v>0</x:v>
      </x:c>
      <x:c r="N137" s="38" t="n">
        <x:v>0</x:v>
      </x:c>
      <x:c r="O137" s="38" t="n">
        <x:f>B137+C137-SUM(E137:M137)</x:f>
        <x:v>9184167.445030179</x:v>
      </x:c>
      <x:c r="P137" s="38" t="n">
        <x:f>O137+D137-N137</x:f>
        <x:v>9184167.445030179</x:v>
      </x:c>
      <x:c r="Q137" s="38" t="n">
        <x:v>0</x:v>
      </x:c>
    </x:row>
    <x:row r="138">
      <x:c r="A138" s="54" t="n">
        <x:v>47574</x:v>
      </x:c>
      <x:c r="B138" s="38" t="n">
        <x:f>P137</x:f>
        <x:v>9184167.445030179</x:v>
      </x:c>
      <x:c r="C138" s="38" t="n">
        <x:f>IF(A138=DATE(2026,11,1),'Вводные'!$B$5,0)</x:f>
        <x:v>0</x:v>
      </x:c>
      <x:c r="D138" s="38" t="n">
        <x:v>0</x:v>
      </x:c>
      <x:c r="E138" s="38" t="n">
        <x:f>IF(A138=DATE(2026,11,1),'Вводные'!$B$9,0)</x:f>
        <x:v>0</x:v>
      </x:c>
      <x:c r="F138" s="38" t="n">
        <x:v>0</x:v>
      </x:c>
      <x:c r="G138" s="38" t="n">
        <x:f>0</x:f>
        <x:v>0</x:v>
      </x:c>
      <x:c r="H138" s="38" t="n">
        <x:f>(('План продаж'!I37+'План продаж'!I38+'План продаж'!I39)/(1+'Вводные'!$B$32))*'Вводные'!$B$31</x:f>
        <x:v>646285.7142857142</x:v>
      </x:c>
      <x:c r="I138" s="38" t="n">
        <x:v>0</x:v>
      </x:c>
      <x:c r="J138" s="38" t="n">
        <x:v>0</x:v>
      </x:c>
      <x:c r="K138" s="38" t="n">
        <x:f>0</x:f>
        <x:v>0</x:v>
      </x:c>
      <x:c r="L138" s="38" t="n">
        <x:f>0</x:f>
        <x:v>0</x:v>
      </x:c>
      <x:c r="M138" s="38" t="n">
        <x:f>0</x:f>
        <x:v>0</x:v>
      </x:c>
      <x:c r="N138" s="38" t="n">
        <x:v>0</x:v>
      </x:c>
      <x:c r="O138" s="38" t="n">
        <x:f>B138+C138-SUM(E138:M138)</x:f>
        <x:v>8537881.730744464</x:v>
      </x:c>
      <x:c r="P138" s="38" t="n">
        <x:f>O138+D138-N138</x:f>
        <x:v>8537881.730744464</x:v>
      </x:c>
      <x:c r="Q138" s="38" t="n">
        <x:v>0</x:v>
      </x:c>
    </x:row>
    <x:row r="139">
      <x:c r="A139" s="50" t="str">
        <x:v>ИТОГО / МИНИМУМ</x:v>
      </x:c>
      <x:c r="B139" s="51"/>
      <x:c r="C139" s="51" t="n">
        <x:f>SUM(C97:C138)</x:f>
        <x:v>15000000</x:v>
      </x:c>
      <x:c r="D139" s="51" t="n">
        <x:f>SUM(D97:D138)</x:f>
        <x:v>140400000</x:v>
      </x:c>
      <x:c r="E139" s="51" t="n">
        <x:f>SUM(E97:E138)</x:f>
        <x:v>900000</x:v>
      </x:c>
      <x:c r="F139" s="51" t="n">
        <x:f>SUM(F97:F138)</x:f>
        <x:v>36649860</x:v>
      </x:c>
      <x:c r="G139" s="51" t="n">
        <x:f>SUM(G97:G138)</x:f>
        <x:v>6685714.285714288</x:v>
      </x:c>
      <x:c r="H139" s="51" t="n">
        <x:f>SUM(H97:H138)</x:f>
        <x:v>8022857.142857144</x:v>
      </x:c>
      <x:c r="I139" s="51" t="n">
        <x:f>SUM(I97:I138)</x:f>
        <x:v>4393750.000000004</x:v>
      </x:c>
      <x:c r="J139" s="51" t="n">
        <x:f>SUM(J97:J138)</x:f>
        <x:v>14999999.999999993</x:v>
      </x:c>
      <x:c r="K139" s="51" t="n">
        <x:f>SUM(K97:K138)</x:f>
        <x:v>11065275</x:v>
      </x:c>
      <x:c r="L139" s="51" t="n">
        <x:f>SUM(L97:L138)</x:f>
        <x:v>34330725</x:v>
      </x:c>
      <x:c r="M139" s="51" t="n">
        <x:f>SUM(M97:M138)</x:f>
        <x:v>14464414.340684095</x:v>
      </x:c>
      <x:c r="N139" s="51" t="n">
        <x:f>SUM(N97:N138)</x:f>
        <x:v>15349522.5</x:v>
      </x:c>
      <x:c r="O139" s="51" t="n">
        <x:f>MIN(O97:O138)</x:f>
        <x:v>3287481.270442793</x:v>
      </x:c>
      <x:c r="P139" s="51" t="n">
        <x:f>P138</x:f>
        <x:v>8537881.730744464</x:v>
      </x:c>
      <x:c r="Q139" s="51" t="n">
        <x:f>Q134</x:f>
        <x:v>0</x:v>
      </x:c>
    </x:row>
  </x:sheetData>
  <x:mergeCells>
    <x:mergeCell ref="A1:Q1"/>
    <x:mergeCell ref="A3:Q3"/>
    <x:mergeCell ref="A49:Q49"/>
    <x:mergeCell ref="A95:Q9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3" hidden="0" customWidth="1"/>
    <x:col min="3" max="3" width="23" hidden="0" customWidth="1"/>
    <x:col min="4" max="4" width="23" hidden="0" customWidth="1"/>
    <x:col min="6" max="6" width="18" hidden="0" customWidth="1"/>
    <x:col min="7" max="7" width="16" hidden="0" customWidth="1"/>
    <x:col min="8" max="8" width="16" hidden="0" customWidth="1"/>
  </x:cols>
  <x:sheetData>
    <x:row r="1" ht="26" customHeight="1">
      <x:c r="A1" s="4" t="str">
        <x:v>ФИНАНСОВАЯ МОДЕЛЬ — СКОЛЬКО НУЖНО ПРОДАВАТЬ, ЧТОБЫ ХВАТИЛО 15 МЛН</x:v>
      </x:c>
      <x:c r="B1" s="4"/>
      <x:c r="C1" s="4"/>
      <x:c r="D1" s="4"/>
      <x:c r="E1"/>
      <x:c r="F1"/>
      <x:c r="G1"/>
      <x:c r="H1"/>
    </x:row>
    <x:row r="3">
      <x:c r="A3" s="10" t="str">
        <x:v>Показатель</x:v>
      </x:c>
      <x:c r="B3" s="10" t="str">
        <x:v>701 — ниже порога</x:v>
      </x:c>
      <x:c r="C3" s="10" t="str">
        <x:v>702 — минимум</x:v>
      </x:c>
      <x:c r="D3" s="10" t="str">
        <x:v>750 — с резервом</x:v>
      </x:c>
      <x:c r="F3" s="10" t="str">
        <x:v>Сценарий</x:v>
      </x:c>
      <x:c r="G3" s="10" t="str">
        <x:v>Средние продажи</x:v>
      </x:c>
      <x:c r="H3" s="10" t="str">
        <x:v>Опер. точка безубыт.</x:v>
      </x:c>
    </x:row>
    <x:row r="4">
      <x:c r="A4" t="str">
        <x:v>Средние продажи, пар/мес.</x:v>
      </x:c>
      <x:c r="B4" s="38" t="n">
        <x:f>'Вводные'!B33</x:f>
        <x:v>701</x:v>
      </x:c>
      <x:c r="C4" s="38" t="n">
        <x:f>'Вводные'!B34</x:f>
        <x:v>702</x:v>
      </x:c>
      <x:c r="D4" s="38" t="n">
        <x:f>'Вводные'!B35</x:f>
        <x:v>750</x:v>
      </x:c>
      <x:c r="F4" t="str">
        <x:v>Ниже порога</x:v>
      </x:c>
      <x:c r="G4" s="62" t="n">
        <x:v>701</x:v>
      </x:c>
      <x:c r="H4" s="62" t="n">
        <x:f>B8</x:f>
        <x:v>473.949234906208</x:v>
      </x:c>
    </x:row>
    <x:row r="5">
      <x:c r="A5" t="str">
        <x:v>Продажи за год, пар</x:v>
      </x:c>
      <x:c r="B5" s="38" t="n">
        <x:f>B4*12</x:f>
        <x:v>8412</x:v>
      </x:c>
      <x:c r="C5" s="38" t="n">
        <x:f>C4*12</x:f>
        <x:v>8424</x:v>
      </x:c>
      <x:c r="D5" s="38" t="n">
        <x:f>D4*12</x:f>
        <x:v>9000</x:v>
      </x:c>
      <x:c r="F5" t="str">
        <x:v>Минимум</x:v>
      </x:c>
      <x:c r="G5" s="62" t="n">
        <x:v>702</x:v>
      </x:c>
      <x:c r="H5" s="62" t="n">
        <x:f>C8</x:f>
        <x:v>473.949234906208</x:v>
      </x:c>
    </x:row>
    <x:row r="6">
      <x:c r="A6" t="str">
        <x:v>Продажи за 36 мес., пар</x:v>
      </x:c>
      <x:c r="B6" s="38" t="n">
        <x:f>SUM('План продаж'!D4:D39)</x:f>
        <x:v>25236</x:v>
      </x:c>
      <x:c r="C6" s="38" t="n">
        <x:f>SUM('План продаж'!E4:E39)</x:f>
        <x:v>25272</x:v>
      </x:c>
      <x:c r="D6" s="38" t="n">
        <x:f>SUM('План продаж'!F4:F39)</x:f>
        <x:v>27000</x:v>
      </x:c>
      <x:c r="F6" t="str">
        <x:v>С резервом</x:v>
      </x:c>
      <x:c r="G6" s="62" t="n">
        <x:v>750</x:v>
      </x:c>
      <x:c r="H6" s="62" t="n">
        <x:f>D8</x:f>
        <x:v>473.949234906208</x:v>
      </x:c>
    </x:row>
    <x:row r="7">
      <x:c r="A7" t="str">
        <x:v>Выручка за 36 мес. с НДС, руб.</x:v>
      </x:c>
      <x:c r="B7" s="38" t="n">
        <x:f>SUM('План продаж'!G4:G39)</x:f>
        <x:v>131227200</x:v>
      </x:c>
      <x:c r="C7" s="38" t="n">
        <x:f>SUM('План продаж'!H4:H39)</x:f>
        <x:v>131414400</x:v>
      </x:c>
      <x:c r="D7" s="38" t="n">
        <x:f>SUM('План продаж'!I4:I39)</x:f>
        <x:v>140400000</x:v>
      </x:c>
    </x:row>
    <x:row r="8">
      <x:c r="A8" t="str">
        <x:v>Операционная точка безубыточности, пар/мес.</x:v>
      </x:c>
      <x:c r="B8" s="38" t="n">
        <x:f>'Экономика пары'!B15</x:f>
        <x:v>473.949234906208</x:v>
      </x:c>
      <x:c r="C8" s="38" t="n">
        <x:f>'Экономика пары'!B15</x:f>
        <x:v>473.949234906208</x:v>
      </x:c>
      <x:c r="D8" s="38" t="n">
        <x:f>'Экономика пары'!B15</x:f>
        <x:v>473.949234906208</x:v>
      </x:c>
    </x:row>
    <x:row r="9">
      <x:c r="A9" t="str">
        <x:v>Денежная точка безубыточности, месяц 1, пар/мес.</x:v>
      </x:c>
      <x:c r="B9" s="38" t="n">
        <x:f>'Экономика пары'!B16</x:f>
        <x:v>800.3090150828513</x:v>
      </x:c>
      <x:c r="C9" s="38" t="n">
        <x:f>'Экономика пары'!B16</x:f>
        <x:v>800.3090150828513</x:v>
      </x:c>
      <x:c r="D9" s="38" t="n">
        <x:f>'Экономика пары'!B16</x:f>
        <x:v>800.3090150828513</x:v>
      </x:c>
    </x:row>
    <x:row r="10">
      <x:c r="A10" t="str">
        <x:v>Результат проекта за 36 мес., руб.</x:v>
      </x:c>
      <x:c r="B10" s="38" t="n">
        <x:f>'Отчет о прибылях'!E16</x:f>
        <x:v>5239757.604335843</x:v>
      </x:c>
      <x:c r="C10" s="38" t="n">
        <x:f>'Отчет о прибылях'!E33</x:f>
        <x:v>5307066.259976825</x:v>
      </x:c>
      <x:c r="D10" s="38" t="n">
        <x:f>'Отчет о прибылях'!E50</x:f>
        <x:v>8537881.73074448</x:v>
      </x:c>
    </x:row>
    <x:row r="11">
      <x:c r="A11" t="str">
        <x:v>Минимальный денежный остаток при займе 15 млн, руб.</x:v>
      </x:c>
      <x:c r="B11" s="38" t="n">
        <x:f>'Денежный поток'!O47</x:f>
        <x:v>-25248.074285717215</x:v>
      </x:c>
      <x:c r="C11" s="38" t="n">
        <x:f>'Денежный поток'!O93</x:f>
        <x:v>102372.92011904204</x:v>
      </x:c>
      <x:c r="D11" s="38" t="n">
        <x:f>'Денежный поток'!O139</x:f>
        <x:v>3287481.270442793</x:v>
      </x:c>
    </x:row>
    <x:row r="12">
      <x:c r="A12" t="str">
        <x:v>Доп. капитал сверх займа 15 млн, руб.</x:v>
      </x:c>
      <x:c r="B12" s="38" t="n">
        <x:f>MAX(0,-B11)</x:f>
        <x:v>25248.074285717215</x:v>
      </x:c>
      <x:c r="C12" s="38" t="n">
        <x:f>MAX(0,-C11)</x:f>
        <x:v>0</x:v>
      </x:c>
      <x:c r="D12" s="38" t="n">
        <x:f>MAX(0,-D11)</x:f>
        <x:v>0</x:v>
      </x:c>
    </x:row>
    <x:row r="13">
      <x:c r="A13" t="str">
        <x:v>Дата минимального денежного остатка</x:v>
      </x:c>
      <x:c r="B13" s="105" t="n">
        <x:f>INDEX('Денежный поток'!$A$5:$A$46,MATCH(MIN('Денежный поток'!$O$5:$O$46),'Денежный поток'!$O$5:$O$46,0))</x:f>
        <x:v>47331</x:v>
      </x:c>
      <x:c r="C13" s="105" t="n">
        <x:f>INDEX('Денежный поток'!$A$51:$A$92,MATCH(MIN('Денежный поток'!$O$51:$O$92),'Денежный поток'!$O$51:$O$92,0))</x:f>
        <x:v>47331</x:v>
      </x:c>
      <x:c r="D13" s="105" t="n">
        <x:f>INDEX('Денежный поток'!$A$97:$A$138,MATCH(MIN('Денежный поток'!$O$97:$O$138),'Денежный поток'!$O$97:$O$138,0))</x:f>
        <x:v>47392</x:v>
      </x:c>
    </x:row>
    <x:row r="14">
      <x:c r="A14" t="str">
        <x:v>Дозаказы за 36 мес., пар</x:v>
      </x:c>
      <x:c r="B14" s="38" t="n">
        <x:f>'Склад и закупки'!E40</x:f>
        <x:v>23000</x:v>
      </x:c>
      <x:c r="C14" s="38" t="n">
        <x:f>'Склад и закупки'!I40</x:f>
        <x:v>23000</x:v>
      </x:c>
      <x:c r="D14" s="38" t="n">
        <x:f>'Склад и закупки'!M40</x:f>
        <x:v>24000</x:v>
      </x:c>
    </x:row>
    <x:row r="15">
      <x:c r="A15" t="str">
        <x:v>Склад на конец 2029, пар</x:v>
      </x:c>
      <x:c r="B15" s="38" t="n">
        <x:f>'Склад и закупки'!F39</x:f>
        <x:v>764</x:v>
      </x:c>
      <x:c r="C15" s="38" t="n">
        <x:f>'Склад и закупки'!J39</x:f>
        <x:v>728</x:v>
      </x:c>
      <x:c r="D15" s="38" t="n">
        <x:f>'Склад и закупки'!N39</x:f>
        <x:v>0</x:v>
      </x:c>
    </x:row>
    <x:row r="16">
      <x:c r="A16" t="str">
        <x:v>Деньги на конец расчёта, руб.</x:v>
      </x:c>
      <x:c r="B16" s="38" t="n">
        <x:f>'Денежный поток'!P47</x:f>
        <x:v>3544171.4137224727</x:v>
      </x:c>
      <x:c r="C16" s="38" t="n">
        <x:f>'Денежный поток'!P93</x:f>
        <x:v>3691293.955151039</x:v>
      </x:c>
      <x:c r="D16" s="38" t="n">
        <x:f>'Денежный поток'!P139</x:f>
        <x:v>8537881.730744464</x:v>
      </x:c>
    </x:row>
    <x:row r="17">
      <x:c r="A17" t="str">
        <x:v>Запас ликвидности в худшей точке, руб.</x:v>
      </x:c>
      <x:c r="B17" s="38" t="n">
        <x:f>MAX(0,B11)</x:f>
        <x:v>0</x:v>
      </x:c>
      <x:c r="C17" s="38" t="n">
        <x:f>MAX(0,C11)</x:f>
        <x:v>102372.92011904204</x:v>
      </x:c>
      <x:c r="D17" s="38" t="n">
        <x:f>MAX(0,D11)</x:f>
        <x:v>3287481.270442793</x:v>
      </x:c>
    </x:row>
    <x:row r="18" ht="32" customHeight="1">
      <x:c r="A18" s="78" t="str">
        <x:v>Статус финансирования</x:v>
      </x:c>
      <x:c r="B18" s="92" t="str">
        <x:f>IF(B11&gt;=0,"В ПРЕДЕЛАХ 15 МЛН","НУЖНО БОЛЬШЕ 15 МЛН")</x:f>
        <x:v>НУЖНО БОЛЬШЕ 15 МЛН</x:v>
      </x:c>
      <x:c r="C18" s="106" t="str">
        <x:f>IF(C11&gt;=0,"В ПРЕДЕЛАХ 15 МЛН","НУЖНО БОЛЬШЕ 15 МЛН")</x:f>
        <x:v>В ПРЕДЕЛАХ 15 МЛН</x:v>
      </x:c>
      <x:c r="D18" s="106" t="str">
        <x:f>IF(D11&gt;=0,"В ПРЕДЕЛАХ 15 МЛН","НУЖНО БОЛЬШЕ 15 МЛН")</x:f>
        <x:v>В ПРЕДЕЛАХ 15 МЛН</x:v>
      </x:c>
    </x:row>
    <x:row r="20">
      <x:c r="A20" s="50" t="str">
        <x:v>КЛЮЧЕВОЙ ВЫВОД</x:v>
      </x:c>
      <x:c r="B20" s="50"/>
      <x:c r="C20" s="50"/>
      <x:c r="D20" s="50"/>
      <x:c r="E20"/>
      <x:c r="F20"/>
      <x:c r="G20"/>
      <x:c r="H20"/>
    </x:row>
    <x:row r="21" ht="48" customHeight="1">
      <x:c r="A21" s="80" t="str">
        <x:v>Математический минимум при текущих вводных — 702 пары в месяц в среднем. При 701 паре модель даёт небольшой кассовый разрыв, при 702 — проходит лимит 15 млн руб. почти без запаса. Практический ориентир 750 пар/мес. создаёт заметный резерв ликвидности. Расчёт выполнен для базового сценария поставки: производство 20 дней, доставка 20 дней, оплата фабрике 30/70, оптовые покупатели платят сразу.</x:v>
      </x:c>
      <x:c r="B21" s="80"/>
      <x:c r="C21" s="80"/>
      <x:c r="D21" s="80"/>
      <x:c r="E21" s="24"/>
      <x:c r="F21" s="24"/>
      <x:c r="G21" s="24"/>
      <x:c r="H21" s="24"/>
    </x:row>
    <x:row r="22">
      <x:c r="A22" s="80"/>
      <x:c r="B22" s="80"/>
      <x:c r="C22" s="80"/>
      <x:c r="D22" s="80"/>
    </x:row>
    <x:row r="23">
      <x:c r="A23" s="80"/>
      <x:c r="B23" s="80"/>
      <x:c r="C23" s="80"/>
      <x:c r="D23" s="80"/>
    </x:row>
    <x:row r="25">
      <x:c r="A25" s="50" t="str">
        <x:v>ВАЖНО О МЕТОДИКЕ</x:v>
      </x:c>
      <x:c r="B25" s="50"/>
      <x:c r="C25" s="50"/>
      <x:c r="D25" s="50"/>
      <x:c r="E25"/>
      <x:c r="F25"/>
      <x:c r="G25"/>
      <x:c r="H25"/>
    </x:row>
    <x:row r="26" ht="52" customHeight="1">
      <x:c r="A26" s="80" t="str">
        <x:v>702 пары/мес. найдены обратным расчётом: перебор целого среднего объёма продаж до первого значения, при котором минимальный денежный остаток за весь горизонт не становится отрицательным. Сезонность, цены, себестоимость, операционные расходы, налоги, займ, старт 3 000 пар, дозаказы 1 000 пар и склад ≤3 000 сохранены. При изменении этих вводных порог нужно пересчитать.</x:v>
      </x:c>
      <x:c r="B26" s="80"/>
      <x:c r="C26" s="80"/>
      <x:c r="D26" s="80"/>
      <x:c r="E26" s="24"/>
      <x:c r="F26" s="24"/>
      <x:c r="G26" s="24"/>
      <x:c r="H26" s="24"/>
    </x:row>
    <x:row r="27">
      <x:c r="A27" s="80"/>
      <x:c r="B27" s="80"/>
      <x:c r="C27" s="80"/>
      <x:c r="D27" s="80"/>
    </x:row>
    <x:row r="28">
      <x:c r="A28" s="80"/>
      <x:c r="B28" s="80"/>
      <x:c r="C28" s="80"/>
      <x:c r="D28" s="80"/>
    </x:row>
    <x:row r="29">
      <x:c r="A29" s="80"/>
      <x:c r="B29" s="80"/>
      <x:c r="C29" s="80"/>
      <x:c r="D29" s="80"/>
    </x:row>
  </x:sheetData>
  <x:mergeCells>
    <x:mergeCell ref="A1:D1"/>
    <x:mergeCell ref="A20:D20"/>
    <x:mergeCell ref="A21:D23"/>
    <x:mergeCell ref="A25:D25"/>
    <x:mergeCell ref="A26:D29"/>
  </x:mergeCells>
  <x:pageMargins left="0.7" right="0.7" top="0.75" bottom="0.75" header="0.3" footer="0.3"/>
  <x:drawing xmlns:r="http://schemas.openxmlformats.org/officeDocument/2006/relationships" r:id="R7b5ad5af998444da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26" customHeight="1">
      <x:c r="A1" s="4" t="str">
        <x:v>МЕТОДИКА РАСЧЁТА</x:v>
      </x:c>
      <x:c r="B1" s="4"/>
    </x:row>
    <x:row r="2">
      <x:c r="A2"/>
      <x:c r="B2"/>
    </x:row>
    <x:row r="3">
      <x:c r="A3" s="10" t="str">
        <x:v>Раздел</x:v>
      </x:c>
      <x:c r="B3" s="10" t="str">
        <x:v>Описание</x:v>
      </x:c>
    </x:row>
    <x:row r="4">
      <x:c r="A4" s="82" t="str">
        <x:v>Цель</x:v>
      </x:c>
      <x:c r="B4" s="24" t="str">
        <x:v>Найти минимальный средний объём продаж, при котором единственного займа 15 млн руб. хватает на весь расчётный горизонт без отрицательного денежного остатка.</x:v>
      </x:c>
    </x:row>
    <x:row r="5">
      <x:c r="A5" s="82" t="str">
        <x:v>Метод поиска</x:v>
      </x:c>
      <x:c r="B5" s="24" t="str">
        <x:v>Перебор среднего спроса с шагом 1 пара/мес. при неизменных остальных вводных. Граница: 701 пар/мес. даёт дефицит, 702 пар/мес. — минимальный денежный остаток ≥ 0.</x:v>
      </x:c>
    </x:row>
    <x:row r="6">
      <x:c r="A6" s="82" t="str">
        <x:v>Сезонность</x:v>
      </x:c>
      <x:c r="B6" s="24" t="str">
        <x:v>Использованы сезонные коэффициенты проекта. Средний объём масштабируется по месяцам; роста 2028–2029 нет.</x:v>
      </x:c>
    </x:row>
    <x:row r="7">
      <x:c r="A7" s="82" t="str">
        <x:v>Сценарий поставки</x:v>
      </x:c>
      <x:c r="B7" s="24" t="str">
        <x:v>Базовый сценарий поставки: производство 20 дней, доставка 20 дней, оплата фабрике 30/70, опт платит сразу.</x:v>
      </x:c>
    </x:row>
    <x:row r="8">
      <x:c r="A8" s="82" t="str">
        <x:v>Стартовый запас</x:v>
      </x:c>
      <x:c r="B8" s="24" t="str">
        <x:v>3 000 пар. Дозаказ — 1 000 пар, когда склад на начало месяца недостаточен для продаж текущего месяца.</x:v>
      </x:c>
    </x:row>
    <x:row r="9">
      <x:c r="A9" s="82" t="str">
        <x:v>Оплата дозаказа</x:v>
      </x:c>
      <x:c r="B9" s="24" t="str">
        <x:v>30% закупки — за два месяца до прихода, 70% закупки + логистика — за месяц до прихода, прочие импортные расходы — в месяц прихода. Месячное приближение 40-дневного цикла.</x:v>
      </x:c>
    </x:row>
    <x:row r="10">
      <x:c r="A10" s="82" t="str">
        <x:v>Выручка</x:v>
      </x:c>
      <x:c r="B10" s="24" t="str">
        <x:v>70% опт / 30% розница; средневзвешенная цена 5 200 руб. с НДС.</x:v>
      </x:c>
    </x:row>
    <x:row r="11">
      <x:c r="A11" s="82" t="str">
        <x:v>Налоги</x:v>
      </x:c>
      <x:c r="B11" s="24" t="str">
        <x:v>НДС 5% из цены; УСН 6% от выручки без НДС. Налоговые ставки являются рабочими допущениями и требуют подтверждения.</x:v>
      </x:c>
    </x:row>
    <x:row r="12">
      <x:c r="A12" s="82" t="str">
        <x:v>Займ</x:v>
      </x:c>
      <x:c r="B12" s="24" t="str">
        <x:v>15 млн руб.; 36 месяцев; 19% годовых; тело равными долями; первый платёж — через месяц после привлечения средств.</x:v>
      </x:c>
    </x:row>
    <x:row r="13">
      <x:c r="A13" s="82" t="str">
        <x:v>Критерий</x:v>
      </x:c>
      <x:c r="B13" s="24" t="str">
        <x:v>Минимальный денежный остаток внутри месяца ≥ 0, все платежи займа и закупок оплачены, физический склад ≤3 000 пар.</x:v>
      </x:c>
    </x:row>
    <x:row r="14">
      <x:c r="A14" s="82" t="str">
        <x:v>Ограничение</x:v>
      </x:c>
      <x:c r="B14" s="24" t="str">
        <x:v>702 — математическая граница почти без запаса. Для рабочего бюджета разумнее ориентироваться минимум на 750 пар/мес. либо снижать постоянные расходы. Права Disney, ТН ВЭД и налоговый статус модель не подтверждает.</x:v>
      </x:c>
    </x:row>
  </x:sheetData>
  <x:mergeCells>
    <x:mergeCell ref="A1:B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0" hidden="0" customWidth="1"/>
    <x:col min="3" max="3" width="22" hidden="0" customWidth="1"/>
  </x:cols>
  <x:sheetData>
    <x:row r="1" ht="26" customHeight="1">
      <x:c r="A1" s="4" t="str">
        <x:v>КОНТРОЛЬ МОДЕЛИ</x:v>
      </x:c>
      <x:c r="B1" s="4"/>
      <x:c r="C1" s="4"/>
    </x:row>
    <x:row r="2">
      <x:c r="A2"/>
      <x:c r="B2"/>
      <x:c r="C2"/>
    </x:row>
    <x:row r="3">
      <x:c r="A3" s="10" t="str">
        <x:v>Проверка</x:v>
      </x:c>
      <x:c r="B3" s="10" t="str">
        <x:v>Результат</x:v>
      </x:c>
      <x:c r="C3" s="10" t="str">
        <x:v>Статус</x:v>
      </x:c>
    </x:row>
    <x:row r="4">
      <x:c r="A4" t="str">
        <x:v>Найденный математический минимум, пар/мес.</x:v>
      </x:c>
      <x:c r="B4" t="n">
        <x:f>'Вводные'!B34</x:f>
        <x:v>702</x:v>
      </x:c>
      <x:c r="C4" t="str">
        <x:f>IF(B4=702,"OK","ПРОВЕРИТЬ")</x:f>
        <x:v>OK</x:v>
      </x:c>
    </x:row>
    <x:row r="5">
      <x:c r="A5" t="str">
        <x:v>701 пар/мес. — минимальный денежный остаток, руб.</x:v>
      </x:c>
      <x:c r="B5" t="n">
        <x:f>'Резюме'!B11</x:f>
        <x:v>-25248.074285717215</x:v>
      </x:c>
      <x:c r="C5" t="str">
        <x:f>IF(B5&lt;0,"ДА","ОШИБКА")</x:f>
        <x:v>ДА</x:v>
      </x:c>
    </x:row>
    <x:row r="6">
      <x:c r="A6" t="str">
        <x:v>702 пар/мес. — минимальный денежный остаток, руб.</x:v>
      </x:c>
      <x:c r="B6" t="n">
        <x:f>'Резюме'!C11</x:f>
        <x:v>102372.92011904204</x:v>
      </x:c>
      <x:c r="C6" t="str">
        <x:f>IF(B6&gt;=0,"OK","ОШИБКА")</x:f>
        <x:v>OK</x:v>
      </x:c>
    </x:row>
    <x:row r="7">
      <x:c r="A7" t="str">
        <x:v>750 пар/мес. — минимальный денежный остаток, руб.</x:v>
      </x:c>
      <x:c r="B7" s="38" t="n">
        <x:f>'Резюме'!D11</x:f>
        <x:v>3287481.270442793</x:v>
      </x:c>
      <x:c r="C7" t="str">
        <x:f>IF(B7&gt;=0,"OK","ОШИБКА")</x:f>
        <x:v>OK</x:v>
      </x:c>
    </x:row>
    <x:row r="8">
      <x:c r="A8" t="str">
        <x:v>Стартовая партия, пар</x:v>
      </x:c>
      <x:c r="B8" s="38" t="n">
        <x:f>'Вводные'!B10</x:f>
        <x:v>3000</x:v>
      </x:c>
      <x:c r="C8" t="str">
        <x:f>IF(B8=3000,"OK","ОШИБКА")</x:f>
        <x:v>OK</x:v>
      </x:c>
    </x:row>
    <x:row r="9">
      <x:c r="A9" t="str">
        <x:v>Дозаказ, пар</x:v>
      </x:c>
      <x:c r="B9" s="38" t="n">
        <x:f>'Вводные'!B11</x:f>
        <x:v>1000</x:v>
      </x:c>
      <x:c r="C9" t="str">
        <x:f>IF(B9=1000,"OK","ОШИБКА")</x:f>
        <x:v>OK</x:v>
      </x:c>
    </x:row>
    <x:row r="10">
      <x:c r="A10" t="str">
        <x:v>Максимальный физический склад, пар</x:v>
      </x:c>
      <x:c r="B10" s="38" t="n">
        <x:f>MAX('Склад и закупки'!Q4:S4)</x:f>
        <x:v>3000</x:v>
      </x:c>
      <x:c r="C10" t="str">
        <x:f>IF(B10&lt;='Вводные'!B12,"OK","ОШИБКА")</x:f>
        <x:v>OK</x:v>
      </x:c>
    </x:row>
    <x:row r="11">
      <x:c r="A11" t="str">
        <x:v>Минимальный остаток товара, пар</x:v>
      </x:c>
      <x:c r="B11" s="38" t="n">
        <x:f>MIN('Склад и закупки'!F4:F39,'Склад и закупки'!J4:J39,'Склад и закупки'!N4:N39)</x:f>
        <x:v>0</x:v>
      </x:c>
      <x:c r="C11" t="str">
        <x:f>IF(B11&gt;=0,"OK","ОШИБКА")</x:f>
        <x:v>OK</x:v>
      </x:c>
    </x:row>
    <x:row r="12">
      <x:c r="A12" t="str">
        <x:v>Погашено тела займа, руб.</x:v>
      </x:c>
      <x:c r="B12" s="62" t="n">
        <x:f>SUM('Долг'!D4:D39)</x:f>
        <x:v>14999999.999999993</x:v>
      </x:c>
      <x:c r="C12" t="str">
        <x:f>IF(ABS(B12-'Вводные'!B5)&lt;1,"OK","ОШИБКА")</x:f>
        <x:v>OK</x:v>
      </x:c>
    </x:row>
    <x:row r="13">
      <x:c r="A13" t="str">
        <x:v>Склад ≤ 3 000 во всех трёх тестах</x:v>
      </x:c>
      <x:c r="B13" s="62" t="str">
        <x:f>IF(MAX('Склад и закупки'!Q4:S4)&lt;='Вводные'!B12,"OK","ОШИБКА")</x:f>
        <x:v>OK</x:v>
      </x:c>
      <x:c r="C13" t="str">
        <x:f>IF(B13="OK","OK","ОШИБКА")</x:f>
        <x:v>OK</x:v>
      </x:c>
    </x:row>
    <x:row r="14">
      <x:c r="A14" t="str">
        <x:v>702 проходит лимит 15 млн</x:v>
      </x:c>
      <x:c r="B14" s="38" t="n">
        <x:f>'Резюме'!C11</x:f>
        <x:v>102372.92011904204</x:v>
      </x:c>
      <x:c r="C14" t="str">
        <x:f>IF(B14&gt;=0,"ДА","НЕТ")</x:f>
        <x:v>ДА</x:v>
      </x:c>
    </x:row>
    <x:row r="15">
      <x:c r="A15" t="str">
        <x:v>701 не проходит лимит 15 млн</x:v>
      </x:c>
      <x:c r="B15" s="38" t="n">
        <x:f>'Резюме'!B11</x:f>
        <x:v>-25248.074285717215</x:v>
      </x:c>
      <x:c r="C15" t="str">
        <x:f>IF(B15&lt;0,"ДА","НЕТ")</x:f>
        <x:v>ДА</x:v>
      </x:c>
    </x:row>
  </x:sheetData>
  <x:mergeCells>
    <x:mergeCell ref="A1:C1"/>
  </x:mergeCells>
  <x:conditionalFormatting sqref="C4:C15">
    <x:cfRule type="expression" dxfId="5" priority="1">
      <x:formula>OR(C4="ОШИБКА",C4="НЕТ",LEFT(C4,6)="УБЫТОК")</x:formula>
    </x:cfRule>
  </x:conditionalFormatting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8" hidden="0" customWidth="1"/>
    <x:col min="3" max="3" width="28" hidden="0" customWidth="1"/>
  </x:cols>
  <x:sheetData>
    <x:row r="1" ht="26" customHeight="1">
      <x:c r="A1" s="113" t="str">
        <x:v>ИСТОЧНИКИ И СТАТУС ДАННЫХ</x:v>
      </x:c>
      <x:c r="B1" s="113"/>
      <x:c r="C1" s="113"/>
    </x:row>
    <x:row r="3">
      <x:c r="A3" s="10" t="str">
        <x:v>Источник</x:v>
      </x:c>
      <x:c r="B3" s="10" t="str">
        <x:v>Что использовано</x:v>
      </x:c>
      <x:c r="C3" s="10" t="str">
        <x:v>Статус</x:v>
      </x:c>
    </x:row>
    <x:row r="4">
      <x:c r="A4" s="24" t="str">
        <x:v>Расчётные вводные проекта</x:v>
      </x:c>
      <x:c r="B4" s="24" t="str">
        <x:v>Экономика пары, операционные расходы, параметры займа, стартовая партия 3 000 пар, дозаказ 1 000 пар, налоговая логика</x:v>
      </x:c>
      <x:c r="C4" s="24" t="str">
        <x:v>Использовано в финансовой модели</x:v>
      </x:c>
    </x:row>
    <x:row r="5">
      <x:c r="A5" s="24" t="str">
        <x:v>Инвестиционный проект по линейке кроссовок</x:v>
      </x:c>
      <x:c r="B5" s="24" t="str">
        <x:v>Описание проекта, риски, сезонность, структура расходов</x:v>
      </x:c>
      <x:c r="C5" s="24" t="str">
        <x:v>Использовано как описание проекта</x:v>
      </x:c>
    </x:row>
    <x:row r="6">
      <x:c r="A6" s="24" t="str">
        <x:v>Выписка ЕГРИП ИП Алавхановой</x:v>
      </x:c>
      <x:c r="B6" s="24" t="str">
        <x:v>Регистрационные данные и ОКВЭД</x:v>
      </x:c>
      <x:c r="C6" s="24" t="str">
        <x:v>Справочная информация</x:v>
      </x:c>
    </x:row>
    <x:row r="7">
      <x:c r="A7" s="24" t="str">
        <x:v>Согласованные условия расчёта</x:v>
      </x:c>
      <x:c r="B7" s="24" t="str">
        <x:v>Цель модели: определить минимальный средний объём продаж, при котором займа 15 млн руб. хватает без кассового разрыва</x:v>
      </x:c>
      <x:c r="C7" s="24" t="str">
        <x:v>Принято для финансовой модели</x:v>
      </x:c>
    </x:row>
  </x:sheetData>
  <x:mergeCells>
    <x:mergeCell ref="A1:C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6" hidden="0" customWidth="1"/>
    <x:col min="7" max="7" width="18" hidden="0" customWidth="1"/>
    <x:col min="8" max="8" width="20" hidden="0" customWidth="1"/>
  </x:cols>
  <x:sheetData>
    <x:row r="1" ht="16.799999237060547" hidden="0" customHeight="1">
      <x:c r="A1" s="98" t="str">
        <x:v>ПОДБОР СРЕДНЕГО ОБЪЁМА ПРОДАЖ ПОД ЗАЁМ 15 МЛН РУБ.</x:v>
      </x:c>
      <x:c r="B1" s="98"/>
      <x:c r="C1" s="98"/>
      <x:c r="D1" s="98"/>
      <x:c r="E1" s="98"/>
      <x:c r="F1" s="98"/>
      <x:c r="G1" s="98"/>
      <x:c r="H1" s="98"/>
    </x:row>
    <x:row r="2"/>
    <x:row r="3" ht="15" hidden="0" customHeight="1">
      <x:c r="A3" s="107" t="str">
        <x:v>Показатель</x:v>
      </x:c>
      <x:c r="B3" s="101" t="str">
        <x:v>Значение</x:v>
      </x:c>
    </x:row>
    <x:row r="4" ht="15" hidden="0" customHeight="1">
      <x:c r="A4" s="24" t="str">
        <x:v>Лимит финансирования, руб.</x:v>
      </x:c>
      <x:c r="B4" s="38" t="n">
        <x:v>15000000</x:v>
      </x:c>
    </x:row>
    <x:row r="5" ht="15" hidden="0" customHeight="1">
      <x:c r="A5" s="24" t="str">
        <x:v>Математический минимум, пар/мес.</x:v>
      </x:c>
      <x:c r="B5" s="38" t="n">
        <x:v>702</x:v>
      </x:c>
    </x:row>
    <x:row r="6" ht="15" hidden="0" customHeight="1">
      <x:c r="A6" s="24" t="str">
        <x:v>Продажи в год при минимуме, пар</x:v>
      </x:c>
      <x:c r="B6" s="38" t="n">
        <x:v>8424</x:v>
      </x:c>
    </x:row>
    <x:row r="7" ht="15" hidden="0" customHeight="1">
      <x:c r="A7" s="24" t="str">
        <x:v>Продажи за 36 мес., пар</x:v>
      </x:c>
      <x:c r="B7" s="38" t="n">
        <x:v>25272</x:v>
      </x:c>
    </x:row>
    <x:row r="8" ht="15" hidden="0" customHeight="1">
      <x:c r="A8" s="24" t="str">
        <x:v>Минимальный денежный остаток, руб.</x:v>
      </x:c>
      <x:c r="B8" s="38" t="n">
        <x:v>102372.92011904204</x:v>
      </x:c>
    </x:row>
    <x:row r="9" ht="15" hidden="0" customHeight="1">
      <x:c r="A9" s="24" t="str">
        <x:v>Дата минимального денежного остатка</x:v>
      </x:c>
      <x:c r="B9" s="104" t="str">
        <x:v>август 2029</x:v>
      </x:c>
    </x:row>
    <x:row r="10" ht="15" hidden="0" customHeight="1">
      <x:c r="A10" s="24" t="str">
        <x:v>Результат проекта за 36 мес., руб.</x:v>
      </x:c>
      <x:c r="B10" s="38" t="n">
        <x:v>5307066.259976825</x:v>
      </x:c>
    </x:row>
    <x:row r="11" ht="15" hidden="0" customHeight="1">
      <x:c r="A11" s="24" t="str">
        <x:v>Контроль: 701 пар/мес., минимальный остаток, руб.</x:v>
      </x:c>
      <x:c r="B11" s="38" t="n">
        <x:v>-25248.074285717215</x:v>
      </x:c>
    </x:row>
    <x:row r="12" ht="15" hidden="0" customHeight="1">
      <x:c r="A12" s="24" t="str">
        <x:v>Практический ориентир, пар/мес.</x:v>
      </x:c>
      <x:c r="B12" s="38" t="n">
        <x:v>750</x:v>
      </x:c>
    </x:row>
    <x:row r="13"/>
    <x:row r="14" ht="15" hidden="0" customHeight="1">
      <x:c r="A14" s="102" t="str">
        <x:v>Средние продажи, пар/мес.</x:v>
      </x:c>
      <x:c r="B14" s="102" t="str">
        <x:v>Продажи 36м, пар</x:v>
      </x:c>
      <x:c r="C14" s="102" t="str">
        <x:v>Мин. денежный остаток, руб.</x:v>
      </x:c>
      <x:c r="D14" s="102" t="str">
        <x:v>Деньги на конец, руб.</x:v>
      </x:c>
      <x:c r="E14" s="102" t="str">
        <x:v>Результат проекта, руб.</x:v>
      </x:c>
      <x:c r="F14" s="102" t="str">
        <x:v>Дозаказы, пар</x:v>
      </x:c>
      <x:c r="G14" s="102" t="str">
        <x:v>Склад на конец, пар</x:v>
      </x:c>
      <x:c r="H14" s="102" t="str">
        <x:v>Статус</x:v>
      </x:c>
    </x:row>
    <x:row r="15" ht="15" hidden="0" customHeight="1">
      <x:c r="A15" t="n">
        <x:v>600</x:v>
      </x:c>
      <x:c r="B15" s="38" t="n">
        <x:v>21600</x:v>
      </x:c>
      <x:c r="C15" s="38" t="n">
        <x:v>-5906183.003709627</x:v>
      </x:c>
      <x:c r="D15" s="38" t="n">
        <x:v>-2337989.1979714483</x:v>
      </x:c>
      <x:c r="E15" s="38" t="n">
        <x:v>-1558416.6154044177</x:v>
      </x:c>
      <x:c r="F15" s="38" t="n">
        <x:v>19000</x:v>
      </x:c>
      <x:c r="G15" s="38" t="n">
        <x:v>400</x:v>
      </x:c>
      <x:c r="H15" t="str">
        <x:v>Нужен доп. капитал</x:v>
      </x:c>
    </x:row>
    <x:row r="16" ht="15" hidden="0" customHeight="1">
      <x:c r="A16" t="n">
        <x:v>650</x:v>
      </x:c>
      <x:c r="B16" s="38" t="n">
        <x:v>23400</x:v>
      </x:c>
      <x:c r="C16" s="38" t="n">
        <x:v>-2471620.5530210435</x:v>
      </x:c>
      <x:c r="D16" s="38" t="n">
        <x:v>476784.73685222445</x:v>
      </x:c>
      <x:c r="E16" s="38" t="n">
        <x:v>1807016.166645201</x:v>
      </x:c>
      <x:c r="F16" s="38" t="n">
        <x:v>21000</x:v>
      </x:c>
      <x:c r="G16" s="38" t="n">
        <x:v>600</x:v>
      </x:c>
      <x:c r="H16" t="str">
        <x:v>Нужен доп. капитал</x:v>
      </x:c>
    </x:row>
    <x:row r="17" ht="15" hidden="0" customHeight="1">
      <x:c r="A17" t="n">
        <x:v>675</x:v>
      </x:c>
      <x:c r="B17" s="38" t="n">
        <x:v>24306</x:v>
      </x:c>
      <x:c r="C17" s="38" t="n">
        <x:v>-1398601.947404853</x:v>
      </x:c>
      <x:c r="D17" s="38" t="n">
        <x:v>2069564.6837779393</x:v>
      </x:c>
      <x:c r="E17" s="38" t="n">
        <x:v>3500950.666943526</x:v>
      </x:c>
      <x:c r="F17" s="38" t="n">
        <x:v>22000</x:v>
      </x:c>
      <x:c r="G17" s="38" t="n">
        <x:v>694</x:v>
      </x:c>
      <x:c r="H17" t="str">
        <x:v>Нужен доп. капитал</x:v>
      </x:c>
    </x:row>
    <x:row r="18" ht="15" hidden="0" customHeight="1">
      <x:c r="A18" t="n">
        <x:v>700</x:v>
      </x:c>
      <x:c r="B18" s="38" t="n">
        <x:v>25200</x:v>
      </x:c>
      <x:c r="C18" s="38" t="n">
        <x:v>-152869.0686904816</x:v>
      </x:c>
      <x:c r="D18" s="38" t="n">
        <x:v>3397048.872293898</x:v>
      </x:c>
      <x:c r="E18" s="38" t="n">
        <x:v>5172448.948694844</x:v>
      </x:c>
      <x:c r="F18" s="38" t="n">
        <x:v>23000</x:v>
      </x:c>
      <x:c r="G18" s="38" t="n">
        <x:v>800</x:v>
      </x:c>
      <x:c r="H18" t="str">
        <x:v>Нужен доп. капитал</x:v>
      </x:c>
    </x:row>
    <x:row r="19" ht="15" hidden="0" customHeight="1">
      <x:c r="A19" t="n">
        <x:v>701</x:v>
      </x:c>
      <x:c r="B19" s="38" t="n">
        <x:v>25236</x:v>
      </x:c>
      <x:c r="C19" s="38" t="n">
        <x:v>-25248.074285717215</x:v>
      </x:c>
      <x:c r="D19" s="38" t="n">
        <x:v>3544171.4137224727</x:v>
      </x:c>
      <x:c r="E19" s="38" t="n">
        <x:v>5239757.604335843</x:v>
      </x:c>
      <x:c r="F19" s="38" t="n">
        <x:v>23000</x:v>
      </x:c>
      <x:c r="G19" s="38" t="n">
        <x:v>764</x:v>
      </x:c>
      <x:c r="H19" t="str">
        <x:v>Нужен доп. капитал</x:v>
      </x:c>
    </x:row>
    <x:row r="20" ht="15" hidden="0" customHeight="1">
      <x:c r="A20" t="n">
        <x:v>702</x:v>
      </x:c>
      <x:c r="B20" s="38" t="n">
        <x:v>25272</x:v>
      </x:c>
      <x:c r="C20" s="38" t="n">
        <x:v>102372.92011904204</x:v>
      </x:c>
      <x:c r="D20" s="38" t="n">
        <x:v>3691293.955151039</x:v>
      </x:c>
      <x:c r="E20" s="38" t="n">
        <x:v>5307066.259976825</x:v>
      </x:c>
      <x:c r="F20" s="38" t="n">
        <x:v>23000</x:v>
      </x:c>
      <x:c r="G20" s="38" t="n">
        <x:v>728</x:v>
      </x:c>
      <x:c r="H20" t="str">
        <x:v>Проходит 15 млн</x:v>
      </x:c>
    </x:row>
    <x:row r="21" ht="15" hidden="0" customHeight="1">
      <x:c r="A21" t="n">
        <x:v>725</x:v>
      </x:c>
      <x:c r="B21" s="38" t="n">
        <x:v>26106</x:v>
      </x:c>
      <x:c r="C21" s="38" t="n">
        <x:v>818718.1219029399</x:v>
      </x:c>
      <x:c r="D21" s="38" t="n">
        <x:v>4884338.618601604</x:v>
      </x:c>
      <x:c r="E21" s="38" t="n">
        <x:v>6866383.448993144</x:v>
      </x:c>
      <x:c r="F21" s="38" t="n">
        <x:v>24000</x:v>
      </x:c>
      <x:c r="G21" s="38" t="n">
        <x:v>894</x:v>
      </x:c>
      <x:c r="H21" t="str">
        <x:v>Проходит 15 млн</x:v>
      </x:c>
    </x:row>
    <x:row r="22" ht="15" hidden="0" customHeight="1">
      <x:c r="A22" t="n">
        <x:v>750</x:v>
      </x:c>
      <x:c r="B22" s="38" t="n">
        <x:v>27000</x:v>
      </x:c>
      <x:c r="C22" s="38" t="n">
        <x:v>3287481.270442793</x:v>
      </x:c>
      <x:c r="D22" s="38" t="n">
        <x:v>8537881.730744464</x:v>
      </x:c>
      <x:c r="E22" s="38" t="n">
        <x:v>8537881.73074448</x:v>
      </x:c>
      <x:c r="F22" s="38" t="n">
        <x:v>24000</x:v>
      </x:c>
      <x:c r="G22" s="38" t="n">
        <x:v>0</x:v>
      </x:c>
      <x:c r="H22" t="str">
        <x:v>Проходит 15 млн</x:v>
      </x:c>
    </x:row>
    <x:row r="23" ht="15" hidden="0" customHeight="1">
      <x:c r="A23" t="n">
        <x:v>775</x:v>
      </x:c>
      <x:c r="B23" s="38" t="n">
        <x:v>27897</x:v>
      </x:c>
      <x:c r="C23" s="38" t="n">
        <x:v>4537149.606852215</x:v>
      </x:c>
      <x:c r="D23" s="38" t="n">
        <x:v>10093881.042313037</x:v>
      </x:c>
      <x:c r="E23" s="38" t="n">
        <x:v>10214989.067132546</x:v>
      </x:c>
      <x:c r="F23" s="38" t="n">
        <x:v>25000</x:v>
      </x:c>
      <x:c r="G23" s="38" t="n">
        <x:v>103</x:v>
      </x:c>
      <x:c r="H23" t="str">
        <x:v>Проходит 15 млн</x:v>
      </x:c>
    </x:row>
    <x:row r="24" ht="15" hidden="0" customHeight="1">
      <x:c r="A24" t="n">
        <x:v>800</x:v>
      </x:c>
      <x:c r="B24" s="38" t="n">
        <x:v>28800</x:v>
      </x:c>
      <x:c r="C24" s="38" t="n">
        <x:v>5499234.764588507</x:v>
      </x:c>
      <x:c r="D24" s="38" t="n">
        <x:v>11568910.57683504</x:v>
      </x:c>
      <x:c r="E24" s="38" t="n">
        <x:v>11903314.5127941</x:v>
      </x:c>
      <x:c r="F24" s="38" t="n">
        <x:v>26000</x:v>
      </x:c>
      <x:c r="G24" s="38" t="n">
        <x:v>200</x:v>
      </x:c>
      <x:c r="H24" t="str">
        <x:v>Проходит 15 млн</x:v>
      </x:c>
    </x:row>
    <x:row r="25"/>
    <x:row r="26"/>
    <x:row r="27" ht="15" hidden="0" customHeight="1">
      <x:c r="A27" s="103" t="str">
        <x:v>Интерпретация</x:v>
      </x:c>
      <x:c r="B27" s="103"/>
      <x:c r="C27" s="103"/>
      <x:c r="D27" s="103"/>
      <x:c r="E27" s="103"/>
      <x:c r="F27" s="103"/>
      <x:c r="G27" s="103"/>
      <x:c r="H27" s="103"/>
    </x:row>
    <x:row r="28" ht="15" hidden="0" customHeight="1">
      <x:c r="A28" s="24" t="str">
        <x:v>701 пар/мес. ещё не хватает: дефицит около 25 тыс. руб. в худшей точке. 702 — первое целое значение, которое проходит. Это математический минимум, а не безопасный план.</x:v>
      </x:c>
      <x:c r="B28" s="24"/>
      <x:c r="C28" s="24"/>
      <x:c r="D28" s="24"/>
      <x:c r="E28" s="24"/>
      <x:c r="F28" s="24"/>
      <x:c r="G28" s="24"/>
      <x:c r="H28" s="24"/>
    </x:row>
    <x:row r="29" ht="15" hidden="0" customHeight="1">
      <x:c r="A29" s="24" t="str">
        <x:v>750 пар/мес. используется как контрольный рабочий ориентир: он даёт существенно больший запас ликвидности, но не является гарантией спроса.</x:v>
      </x:c>
      <x:c r="B29" s="24"/>
      <x:c r="C29" s="24"/>
      <x:c r="D29" s="24"/>
      <x:c r="E29" s="24"/>
      <x:c r="F29" s="24"/>
      <x:c r="G29" s="24"/>
      <x:c r="H29" s="24"/>
    </x:row>
  </x:sheetData>
  <x:mergeCells>
    <x:mergeCell ref="A1:H1"/>
    <x:mergeCell ref="A27:H27"/>
    <x:mergeCell ref="A28:H28"/>
    <x:mergeCell ref="A29:H29"/>
  </x:mergeCells>
  <x:pageMargins left="0.7" right="0.7" top="0.75" bottom="0.75" header="0.3" footer="0.3"/>
</x:worksheet>
</file>