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<sst xmlns="http://schemas.openxmlformats.org/spreadsheetml/2006/main" count="127" uniqueCount="127">
  <si>
    <t xml:space="preserve">ФИНАНСОВАЯ МОДЕЛЬ</t>
  </si>
  <si>
    <r>
      <rPr>
        <i/>
        <sz val="11"/>
        <color rgb="FF404040"/>
        <rFont val="Carlito"/>
      </rPr>
      <t xml:space="preserve">Все синие значения — входные параметры. Изменяйте </t>
    </r>
    <r>
      <rPr>
        <b/>
        <i/>
        <sz val="14"/>
        <color theme="5" tint="0"/>
        <rFont val="Carlito"/>
      </rPr>
      <t xml:space="preserve">инвестиции, налог и курс</t>
    </r>
    <r>
      <rPr>
        <i/>
        <sz val="11"/>
        <color rgb="FF404040"/>
        <rFont val="Carlito"/>
      </rPr>
      <t xml:space="preserve"> — модель пересчитается автоматически. Налог считается с дохода ПОСЛЕ вывода 35%, но ДО остальных расходов.</t>
    </r>
  </si>
  <si>
    <t xml:space="preserve">ВХОДНЫЕ ПАРАМЕТРЫ</t>
  </si>
  <si>
    <t xml:space="preserve">РАСЧЁТ БАЗОВЫХ ПАРАМЕТРОВ</t>
  </si>
  <si>
    <t>Параметр</t>
  </si>
  <si>
    <t>Значение</t>
  </si>
  <si>
    <t>Ед.</t>
  </si>
  <si>
    <t xml:space="preserve">Источник / примечание</t>
  </si>
  <si>
    <t>Показатель</t>
  </si>
  <si>
    <t xml:space="preserve">Курс USD/RUB для модели</t>
  </si>
  <si>
    <t>₽/$</t>
  </si>
  <si>
    <t xml:space="preserve">Редактируемое значение</t>
  </si>
  <si>
    <t xml:space="preserve">Аккаунтов на 1 ПК</t>
  </si>
  <si>
    <t>акк.</t>
  </si>
  <si>
    <t xml:space="preserve">Доход 1 аккаунта в неделю</t>
  </si>
  <si>
    <t>$/нед</t>
  </si>
  <si>
    <t xml:space="preserve">Спросить у представителя проекта сколько сейчас составляет.</t>
  </si>
  <si>
    <t xml:space="preserve">Доход 1 аккаунта / мес до вывода</t>
  </si>
  <si>
    <t>₽/мес</t>
  </si>
  <si>
    <t xml:space="preserve">Недель в году</t>
  </si>
  <si>
    <t>нед.</t>
  </si>
  <si>
    <t xml:space="preserve">Стоимость 1 аккаунта</t>
  </si>
  <si>
    <t>₽</t>
  </si>
  <si>
    <t xml:space="preserve">Аккаунтов на 1 виртуальную машину</t>
  </si>
  <si>
    <t xml:space="preserve">Стоимость аккаунтов на 1 ПК</t>
  </si>
  <si>
    <t xml:space="preserve">Виртуальных машин на 1 ПК</t>
  </si>
  <si>
    <t>ВМ</t>
  </si>
  <si>
    <t xml:space="preserve">Полный CAPEX 1 ПК + аккаунты</t>
  </si>
  <si>
    <t xml:space="preserve">Стоимость 1 ПК</t>
  </si>
  <si>
    <t xml:space="preserve">Базовый рабочий CAPEX 320 ПК</t>
  </si>
  <si>
    <t>$</t>
  </si>
  <si>
    <t xml:space="preserve">Резерв при инвестиции 100 млн</t>
  </si>
  <si>
    <t xml:space="preserve">Подписка на панель на 1 ВМ / 60 аккаунтов</t>
  </si>
  <si>
    <t>$/мес</t>
  </si>
  <si>
    <t xml:space="preserve">Аренда офиса — база 320 ПК</t>
  </si>
  <si>
    <t xml:space="preserve">Электричество — база 320 ПК</t>
  </si>
  <si>
    <t xml:space="preserve">Интернет — база 320 ПК</t>
  </si>
  <si>
    <t xml:space="preserve">IP — база 320 ПК</t>
  </si>
  <si>
    <t xml:space="preserve">Прокси — база 320 ПК</t>
  </si>
  <si>
    <t xml:space="preserve">Вывод с площадки</t>
  </si>
  <si>
    <t>%</t>
  </si>
  <si>
    <t xml:space="preserve">Налоговая ставка</t>
  </si>
  <si>
    <t>Инвестиции</t>
  </si>
  <si>
    <t xml:space="preserve">Базовая сумма инвестиций</t>
  </si>
  <si>
    <t xml:space="preserve">База масштабирования</t>
  </si>
  <si>
    <t xml:space="preserve">Базовое количество ПК</t>
  </si>
  <si>
    <t>шт.</t>
  </si>
  <si>
    <t xml:space="preserve">База модели 100 млн ₽</t>
  </si>
  <si>
    <t xml:space="preserve">Логика масштабирования: 100 млн ₽ = 320 ПК. При изменении инвестиций количество ПК и базовые расходы масштабируются пропорционально.</t>
  </si>
  <si>
    <t xml:space="preserve">ЭКОНОМИКА 1 АККАУНТА</t>
  </si>
  <si>
    <t xml:space="preserve">ЭКОНОМИКА 1 ПК (3 ВМ / 180 АККАУНТОВ)</t>
  </si>
  <si>
    <t>₽/год</t>
  </si>
  <si>
    <t>Комментарий</t>
  </si>
  <si>
    <t xml:space="preserve">Валовый доход</t>
  </si>
  <si>
    <t xml:space="preserve">$1 × 52 / 12</t>
  </si>
  <si>
    <t xml:space="preserve">180 аккаунтов</t>
  </si>
  <si>
    <t xml:space="preserve">35% от валового дохода</t>
  </si>
  <si>
    <t>35%</t>
  </si>
  <si>
    <t xml:space="preserve">Доход после вывода</t>
  </si>
  <si>
    <t>Подписка</t>
  </si>
  <si>
    <t xml:space="preserve">1/60 панели</t>
  </si>
  <si>
    <t xml:space="preserve">3 панели × $15</t>
  </si>
  <si>
    <t>Аренда</t>
  </si>
  <si>
    <t xml:space="preserve">Доля расходов базы 320 ПК</t>
  </si>
  <si>
    <t xml:space="preserve">1/320 базы</t>
  </si>
  <si>
    <t>Электричество</t>
  </si>
  <si>
    <t>Интернет</t>
  </si>
  <si>
    <t>IP</t>
  </si>
  <si>
    <t>Прокси</t>
  </si>
  <si>
    <t xml:space="preserve">Прибыль до налога</t>
  </si>
  <si>
    <t xml:space="preserve">После вывода и всех операционных расходов, до налога</t>
  </si>
  <si>
    <t>Налоги</t>
  </si>
  <si>
    <t xml:space="preserve">Налог = доход после вывода × ставка B20</t>
  </si>
  <si>
    <t xml:space="preserve">Чистая прибыль</t>
  </si>
  <si>
    <t xml:space="preserve">Прибыль после налога</t>
  </si>
  <si>
    <t xml:space="preserve">Полный CAPEX на 1 аккаунт</t>
  </si>
  <si>
    <t xml:space="preserve">Стоимость аккаунта + доля 1/180 ПК</t>
  </si>
  <si>
    <t xml:space="preserve">Полный CAPEX ПК + аккаунты</t>
  </si>
  <si>
    <t xml:space="preserve">ПК + 180 аккаунтов</t>
  </si>
  <si>
    <t>Окупаемость</t>
  </si>
  <si>
    <t>Месяцев</t>
  </si>
  <si>
    <t xml:space="preserve">Доходность годовая</t>
  </si>
  <si>
    <t xml:space="preserve">На полный CAPEX аккаунта + доля ПК</t>
  </si>
  <si>
    <t xml:space="preserve">На рабочий CAPEX</t>
  </si>
  <si>
    <t xml:space="preserve">ЭКОНОМИКА ИНВЕСТИЦИИ — СЦЕНАРИЙ ИЗ ЯЧЕЙКИ B21</t>
  </si>
  <si>
    <t xml:space="preserve">Сумма инвестиций</t>
  </si>
  <si>
    <t xml:space="preserve">Меняется в B21</t>
  </si>
  <si>
    <t xml:space="preserve">Количество ПК</t>
  </si>
  <si>
    <t xml:space="preserve">Масштабируется от базы 320 ПК / 100 млн</t>
  </si>
  <si>
    <t xml:space="preserve">Рабочий CAPEX: ПК + аккаунты</t>
  </si>
  <si>
    <t xml:space="preserve">Количество аккаунтов</t>
  </si>
  <si>
    <t xml:space="preserve">Резерв / организация / непредвиденные</t>
  </si>
  <si>
    <t xml:space="preserve">Доля рабочего CAPEX</t>
  </si>
  <si>
    <t xml:space="preserve">Покупка ПК</t>
  </si>
  <si>
    <t xml:space="preserve">Доля резерва</t>
  </si>
  <si>
    <t xml:space="preserve">Покупка аккаунтов</t>
  </si>
  <si>
    <t xml:space="preserve">Инвестиции на 1 аккаунт</t>
  </si>
  <si>
    <t>₽/акк.</t>
  </si>
  <si>
    <t xml:space="preserve">Включая резерв</t>
  </si>
  <si>
    <t xml:space="preserve">ДОХОДЫ И РАСХОДЫ В МЕСЯЦ</t>
  </si>
  <si>
    <t>Статья</t>
  </si>
  <si>
    <t xml:space="preserve">% от валового дохода</t>
  </si>
  <si>
    <t>Логика</t>
  </si>
  <si>
    <t xml:space="preserve">Ключевой KPI</t>
  </si>
  <si>
    <t xml:space="preserve">Аккаунты × $1 × 52 / 12</t>
  </si>
  <si>
    <t xml:space="preserve">Валовый доход / год</t>
  </si>
  <si>
    <t xml:space="preserve">Чистая прибыль / год</t>
  </si>
  <si>
    <t xml:space="preserve">Валовый доход − вывод</t>
  </si>
  <si>
    <t xml:space="preserve">Чистая маржа</t>
  </si>
  <si>
    <t xml:space="preserve">3 ВМ × $15 на каждый ПК</t>
  </si>
  <si>
    <t xml:space="preserve">Прибыль на 1 ПК / мес</t>
  </si>
  <si>
    <t xml:space="preserve">Пропорционально количеству ПК</t>
  </si>
  <si>
    <t xml:space="preserve">Прибыль на 1 аккаунт / мес</t>
  </si>
  <si>
    <t xml:space="preserve">Налог = доход после вывода (B59) × ставка B20</t>
  </si>
  <si>
    <t xml:space="preserve">ОКУПАЕМОСТЬ И ДОХОДНОСТЬ</t>
  </si>
  <si>
    <t xml:space="preserve">Окупаемость всей инвестиции</t>
  </si>
  <si>
    <t>мес.</t>
  </si>
  <si>
    <t xml:space="preserve">Инвестиции / чистая прибыль в месяц</t>
  </si>
  <si>
    <t xml:space="preserve">ROI годовой на всю инвестицию</t>
  </si>
  <si>
    <t xml:space="preserve">Чистая прибыль за год / инвестиции</t>
  </si>
  <si>
    <t xml:space="preserve">Окупаемость рабочего CAPEX</t>
  </si>
  <si>
    <t xml:space="preserve">Рабочий CAPEX / чистая прибыль</t>
  </si>
  <si>
    <t xml:space="preserve">ROI годовой на рабочий CAPEX</t>
  </si>
  <si>
    <t xml:space="preserve">Без резерва</t>
  </si>
  <si>
    <t xml:space="preserve">Чистая прибыль за 12 месяцев</t>
  </si>
  <si>
    <t xml:space="preserve">ROI месячный на всю инвестицию</t>
  </si>
  <si>
    <t xml:space="preserve">Резерв после закупок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</si>
</sst>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4" formatCode="#,##0;[Red](#,##0);-"/>
    <numFmt numFmtId="165" formatCode="0.0%;[Red](0.0%);-"/>
    <numFmt numFmtId="166" formatCode="#,##0.00;[Red](#,##0.00);-"/>
    <numFmt numFmtId="167" formatCode="#,##0.00;[Red]&quot;(&quot;#,##0.00&quot;)&quot;;&quot;-&quot;"/>
  </numFmts>
  <fonts count="11">
    <font>
      <sz val="11.000000"/>
      <color theme="1"/>
      <name val="Calibri"/>
      <scheme val="minor"/>
    </font>
    <font>
      <b/>
      <sz val="16.000000"/>
      <color indexed="65"/>
      <name val="Carlito"/>
    </font>
    <font>
      <i/>
      <sz val="11.000000"/>
      <color rgb="FF404040"/>
      <name val="Carlito"/>
    </font>
    <font>
      <b/>
      <sz val="11.000000"/>
      <color indexed="65"/>
      <name val="Carlito"/>
    </font>
    <font>
      <b/>
      <sz val="11.000000"/>
      <name val="Carlito"/>
    </font>
    <font>
      <sz val="11.000000"/>
      <name val="Carlito"/>
    </font>
    <font>
      <sz val="11.000000"/>
      <color indexed="4"/>
      <name val="Carlito"/>
    </font>
    <font>
      <b/>
      <sz val="16.000000"/>
      <color indexed="2"/>
      <name val="Carlito"/>
    </font>
    <font>
      <b/>
      <sz val="12.000000"/>
      <color theme="5" tint="0"/>
      <name val="Carlito"/>
    </font>
    <font>
      <sz val="11.000000"/>
      <color indexed="2"/>
      <name val="Carlito"/>
    </font>
    <font>
      <b/>
      <sz val="11.000000"/>
      <color indexed="2"/>
      <name val="Carlito"/>
    </font>
  </fonts>
  <fills count="12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F2F2F2"/>
      </patternFill>
    </fill>
    <fill>
      <patternFill patternType="solid">
        <fgColor theme="5" tint="0"/>
        <bgColor theme="5" tint="0"/>
      </patternFill>
    </fill>
    <fill>
      <patternFill patternType="solid">
        <fgColor rgb="FFC00000"/>
        <bgColor rgb="FFC00000"/>
      </patternFill>
    </fill>
    <fill>
      <patternFill patternType="solid">
        <fgColor rgb="FFFFF2CC"/>
      </patternFill>
    </fill>
    <fill>
      <patternFill patternType="solid">
        <fgColor rgb="FFEAF2F8"/>
      </patternFill>
    </fill>
    <fill>
      <patternFill patternType="solid">
        <fgColor rgb="FFE2F0D9"/>
      </patternFill>
    </fill>
    <fill>
      <patternFill patternType="solid">
        <fgColor theme="9" tint="0.79998168889431442"/>
        <bgColor theme="9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rgb="FFD9D9D9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none"/>
      <right style="thin">
        <color rgb="FFD9D9D9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rgb="FFD9D9D9"/>
      </bottom>
      <diagonal style="none"/>
    </border>
    <border>
      <left style="none"/>
      <right style="none"/>
      <top style="none"/>
      <bottom style="thin">
        <color rgb="FFD9D9D9"/>
      </bottom>
      <diagonal style="none"/>
    </border>
    <border>
      <left style="none"/>
      <right style="thin">
        <color rgb="FFD9D9D9"/>
      </right>
      <top style="none"/>
      <bottom style="thin">
        <color rgb="FFD9D9D9"/>
      </bottom>
      <diagonal style="none"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1" fillId="2" borderId="1" numFmtId="0" xfId="0" applyFont="1" applyFill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2" fillId="3" borderId="1" numFmtId="0" xfId="0" applyFont="1" applyFill="1" applyBorder="1" applyAlignment="1">
      <alignment horizontal="left" vertical="center" wrapText="1"/>
    </xf>
    <xf fontId="2" fillId="3" borderId="2" numFmtId="0" xfId="0" applyFont="1" applyFill="1" applyBorder="1" applyAlignment="1">
      <alignment horizontal="left" vertical="center" wrapText="1"/>
    </xf>
    <xf fontId="2" fillId="3" borderId="3" numFmtId="0" xfId="0" applyFont="1" applyFill="1" applyBorder="1" applyAlignment="1">
      <alignment horizontal="left" vertical="center" wrapText="1"/>
    </xf>
    <xf fontId="3" fillId="4" borderId="1" numFmtId="0" xfId="0" applyFont="1" applyFill="1" applyBorder="1" applyAlignment="1">
      <alignment horizontal="left" vertical="center" wrapText="1"/>
    </xf>
    <xf fontId="3" fillId="4" borderId="2" numFmtId="0" xfId="0" applyFont="1" applyFill="1" applyBorder="1" applyAlignment="1">
      <alignment horizontal="left" vertical="center" wrapText="1"/>
    </xf>
    <xf fontId="3" fillId="4" borderId="3" numFmtId="0" xfId="0" applyFont="1" applyFill="1" applyBorder="1" applyAlignment="1">
      <alignment horizontal="left" vertical="center" wrapText="1"/>
    </xf>
    <xf fontId="4" fillId="5" borderId="4" numFmtId="0" xfId="0" applyFont="1" applyFill="1" applyBorder="1" applyAlignment="1">
      <alignment horizontal="center" vertical="center" wrapText="1"/>
    </xf>
    <xf fontId="5" fillId="0" borderId="4" numFmtId="0" xfId="0" applyFont="1" applyBorder="1" applyAlignment="1">
      <alignment vertical="center" wrapText="1"/>
    </xf>
    <xf fontId="6" fillId="6" borderId="4" numFmtId="2" xfId="0" applyNumberFormat="1" applyFont="1" applyFill="1" applyBorder="1" applyAlignment="1">
      <alignment vertical="center" wrapText="1"/>
    </xf>
    <xf fontId="7" fillId="0" borderId="4" numFmtId="0" xfId="0" applyFont="1" applyBorder="1" applyAlignment="1">
      <alignment vertical="center" wrapText="1"/>
    </xf>
    <xf fontId="5" fillId="0" borderId="4" numFmtId="1" xfId="0" applyNumberFormat="1" applyFont="1" applyBorder="1" applyAlignment="1">
      <alignment vertical="center" wrapText="1"/>
    </xf>
    <xf fontId="6" fillId="7" borderId="4" numFmtId="2" xfId="0" applyNumberFormat="1" applyFont="1" applyFill="1" applyBorder="1" applyAlignment="1">
      <alignment vertical="center" wrapText="1"/>
    </xf>
    <xf fontId="8" fillId="0" borderId="4" numFmtId="0" xfId="0" applyFont="1" applyBorder="1" applyAlignment="1">
      <alignment vertical="center" wrapText="1"/>
    </xf>
    <xf fontId="5" fillId="0" borderId="4" numFmtId="164" xfId="0" applyNumberFormat="1" applyFont="1" applyBorder="1" applyAlignment="1">
      <alignment vertical="center" wrapText="1"/>
    </xf>
    <xf fontId="6" fillId="8" borderId="4" numFmtId="1" xfId="0" applyNumberFormat="1" applyFont="1" applyFill="1" applyBorder="1" applyAlignment="1">
      <alignment vertical="center" wrapText="1"/>
    </xf>
    <xf fontId="6" fillId="8" borderId="4" numFmtId="164" xfId="0" applyNumberFormat="1" applyFont="1" applyFill="1" applyBorder="1" applyAlignment="1">
      <alignment vertical="center" wrapText="1"/>
    </xf>
    <xf fontId="6" fillId="8" borderId="4" numFmtId="2" xfId="0" applyNumberFormat="1" applyFont="1" applyFill="1" applyBorder="1" applyAlignment="1">
      <alignment vertical="center" wrapText="1"/>
    </xf>
    <xf fontId="6" fillId="8" borderId="4" numFmtId="165" xfId="0" applyNumberFormat="1" applyFont="1" applyFill="1" applyBorder="1" applyAlignment="1">
      <alignment vertical="center" wrapText="1"/>
    </xf>
    <xf fontId="6" fillId="6" borderId="4" numFmtId="10" xfId="0" applyNumberFormat="1" applyFont="1" applyFill="1" applyBorder="1" applyAlignment="1">
      <alignment vertical="center" wrapText="1"/>
    </xf>
    <xf fontId="6" fillId="6" borderId="4" numFmtId="164" xfId="0" applyNumberFormat="1" applyFont="1" applyFill="1" applyBorder="1" applyAlignment="1">
      <alignment vertical="center" wrapText="1"/>
    </xf>
    <xf fontId="2" fillId="9" borderId="1" numFmtId="0" xfId="0" applyFont="1" applyFill="1" applyBorder="1" applyAlignment="1">
      <alignment horizontal="left" vertical="center" wrapText="1"/>
    </xf>
    <xf fontId="2" fillId="9" borderId="2" numFmtId="0" xfId="0" applyFont="1" applyFill="1" applyBorder="1" applyAlignment="1">
      <alignment horizontal="left" vertical="center" wrapText="1"/>
    </xf>
    <xf fontId="2" fillId="9" borderId="3" numFmtId="0" xfId="0" applyFont="1" applyFill="1" applyBorder="1" applyAlignment="1">
      <alignment horizontal="left" vertical="center" wrapText="1"/>
    </xf>
    <xf fontId="5" fillId="0" borderId="2" numFmtId="0" xfId="0" applyFont="1" applyBorder="1" applyAlignment="1">
      <alignment vertical="center" wrapText="1"/>
    </xf>
    <xf fontId="5" fillId="0" borderId="0" numFmtId="0" xfId="0" applyFont="1" applyAlignment="1">
      <alignment vertical="center" wrapText="1"/>
    </xf>
    <xf fontId="5" fillId="0" borderId="5" numFmtId="0" xfId="0" applyFont="1" applyBorder="1" applyAlignment="1">
      <alignment vertical="center" wrapText="1"/>
    </xf>
    <xf fontId="5" fillId="0" borderId="4" numFmtId="166" xfId="0" applyNumberFormat="1" applyFont="1" applyBorder="1" applyAlignment="1">
      <alignment vertical="center" wrapText="1"/>
    </xf>
    <xf fontId="9" fillId="0" borderId="4" numFmtId="166" xfId="0" applyNumberFormat="1" applyFont="1" applyBorder="1" applyAlignment="1">
      <alignment vertical="center" wrapText="1"/>
    </xf>
    <xf fontId="9" fillId="0" borderId="4" numFmtId="164" xfId="0" applyNumberFormat="1" applyFont="1" applyBorder="1" applyAlignment="1">
      <alignment vertical="center" wrapText="1"/>
    </xf>
    <xf fontId="4" fillId="0" borderId="4" numFmtId="0" xfId="0" applyFont="1" applyBorder="1" applyAlignment="1">
      <alignment vertical="center" wrapText="1"/>
    </xf>
    <xf fontId="4" fillId="0" borderId="4" numFmtId="166" xfId="0" applyNumberFormat="1" applyFont="1" applyBorder="1" applyAlignment="1">
      <alignment vertical="center" wrapText="1"/>
    </xf>
    <xf fontId="4" fillId="0" borderId="4" numFmtId="164" xfId="0" applyNumberFormat="1" applyFont="1" applyBorder="1" applyAlignment="1">
      <alignment vertical="center" wrapText="1"/>
    </xf>
    <xf fontId="4" fillId="10" borderId="4" numFmtId="166" xfId="0" applyNumberFormat="1" applyFont="1" applyFill="1" applyBorder="1" applyAlignment="1">
      <alignment vertical="center" wrapText="1"/>
    </xf>
    <xf fontId="5" fillId="11" borderId="4" numFmtId="166" xfId="0" applyNumberFormat="1" applyFont="1" applyFill="1" applyBorder="1" applyAlignment="1">
      <alignment vertical="center" wrapText="1"/>
    </xf>
    <xf fontId="4" fillId="10" borderId="4" numFmtId="164" xfId="0" applyNumberFormat="1" applyFont="1" applyFill="1" applyBorder="1" applyAlignment="1">
      <alignment vertical="center" wrapText="1"/>
    </xf>
    <xf fontId="5" fillId="11" borderId="4" numFmtId="164" xfId="0" applyNumberFormat="1" applyFont="1" applyFill="1" applyBorder="1" applyAlignment="1">
      <alignment vertical="center" wrapText="1"/>
    </xf>
    <xf fontId="4" fillId="0" borderId="4" numFmtId="2" xfId="0" applyNumberFormat="1" applyFont="1" applyBorder="1" applyAlignment="1">
      <alignment vertical="center" wrapText="1"/>
    </xf>
    <xf fontId="4" fillId="0" borderId="4" numFmtId="165" xfId="0" applyNumberFormat="1" applyFont="1" applyBorder="1" applyAlignment="1">
      <alignment vertical="center" wrapText="1"/>
    </xf>
    <xf fontId="5" fillId="0" borderId="6" numFmtId="0" xfId="0" applyFont="1" applyBorder="1" applyAlignment="1">
      <alignment vertical="center" wrapText="1"/>
    </xf>
    <xf fontId="5" fillId="0" borderId="4" numFmtId="165" xfId="0" applyNumberFormat="1" applyFont="1" applyBorder="1" applyAlignment="1">
      <alignment vertical="center" wrapText="1"/>
    </xf>
    <xf fontId="5" fillId="0" borderId="7" numFmtId="0" xfId="0" applyFont="1" applyBorder="1" applyAlignment="1">
      <alignment vertical="center" wrapText="1"/>
    </xf>
    <xf fontId="0" fillId="0" borderId="4" numFmtId="1" xfId="0" applyNumberFormat="1" applyBorder="1"/>
    <xf fontId="9" fillId="0" borderId="4" numFmtId="165" xfId="0" applyNumberFormat="1" applyFont="1" applyBorder="1" applyAlignment="1">
      <alignment vertical="center" wrapText="1"/>
    </xf>
    <xf fontId="5" fillId="0" borderId="4" numFmtId="167" xfId="0" applyNumberFormat="1" applyFont="1" applyBorder="1" applyAlignment="1">
      <alignment vertical="center" wrapText="1"/>
    </xf>
    <xf fontId="5" fillId="0" borderId="6" numFmtId="166" xfId="0" applyNumberFormat="1" applyFont="1" applyBorder="1" applyAlignment="1">
      <alignment vertical="center" wrapText="1"/>
    </xf>
    <xf fontId="10" fillId="0" borderId="4" numFmtId="165" xfId="0" applyNumberFormat="1" applyFont="1" applyBorder="1" applyAlignment="1">
      <alignment vertical="center" wrapText="1"/>
    </xf>
    <xf fontId="5" fillId="0" borderId="8" numFmtId="0" xfId="0" applyFont="1" applyBorder="1" applyAlignment="1">
      <alignment vertical="center" wrapText="1"/>
    </xf>
    <xf fontId="5" fillId="0" borderId="9" numFmtId="0" xfId="0" applyFont="1" applyBorder="1" applyAlignment="1">
      <alignment vertical="center" wrapText="1"/>
    </xf>
    <xf fontId="5" fillId="0" borderId="9" numFmtId="164" xfId="0" applyNumberFormat="1" applyFont="1" applyBorder="1" applyAlignment="1">
      <alignment vertical="center" wrapText="1"/>
    </xf>
    <xf fontId="5" fillId="0" borderId="10" numFmtId="0" xfId="0" applyFont="1" applyBorder="1" applyAlignment="1">
      <alignment vertical="center" wrapText="1"/>
    </xf>
    <xf fontId="5" fillId="0" borderId="11" numFmtId="0" xfId="0" applyFont="1" applyBorder="1" applyAlignment="1">
      <alignment vertical="center" wrapText="1"/>
    </xf>
    <xf fontId="5" fillId="0" borderId="12" numFmtId="0" xfId="0" applyFont="1" applyBorder="1" applyAlignment="1">
      <alignment vertical="center" wrapText="1"/>
    </xf>
    <xf fontId="5" fillId="0" borderId="13" numFmtId="0" xfId="0" applyFont="1" applyBorder="1" applyAlignment="1">
      <alignment vertical="center" wrapText="1"/>
    </xf>
    <xf fontId="4" fillId="10" borderId="4" numFmtId="2" xfId="0" applyNumberFormat="1" applyFont="1" applyFill="1" applyBorder="1" applyAlignment="1">
      <alignment vertical="center" wrapText="1"/>
    </xf>
    <xf fontId="4" fillId="10" borderId="4" numFmtId="165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2" max="2" width="20.57421875"/>
    <col customWidth="1" min="3" max="3" width="19.57421875"/>
    <col customWidth="1" min="4" max="4" width="20.8515625"/>
    <col customWidth="1" min="5" max="5" width="38.7109375"/>
    <col bestFit="1" customWidth="1" min="7" max="7" width="23.3828125"/>
    <col customWidth="1" min="8" max="8" width="12.57421875"/>
    <col customWidth="1" min="9" max="9" width="13.140625"/>
    <col customWidth="1" min="10" max="10" width="34.28125"/>
  </cols>
  <sheetData>
    <row r="1" ht="30.5" customHeight="1">
      <c r="B1" s="1" t="s">
        <v>0</v>
      </c>
      <c r="C1" s="2"/>
      <c r="D1" s="2"/>
      <c r="E1" s="2"/>
      <c r="F1" s="2"/>
      <c r="G1" s="2"/>
      <c r="H1" s="2"/>
      <c r="I1" s="3"/>
    </row>
    <row r="2" ht="30.5" customHeight="1">
      <c r="B2" s="4" t="s">
        <v>1</v>
      </c>
      <c r="C2" s="5"/>
      <c r="D2" s="5"/>
      <c r="E2" s="5"/>
      <c r="F2" s="5"/>
      <c r="G2" s="5"/>
      <c r="H2" s="5"/>
      <c r="I2" s="6"/>
    </row>
    <row r="3" ht="17" customHeight="1"/>
    <row r="4" ht="28.5">
      <c r="B4" s="7" t="s">
        <v>2</v>
      </c>
      <c r="C4" s="8"/>
      <c r="D4" s="8"/>
      <c r="E4" s="9"/>
      <c r="G4" s="7" t="s">
        <v>3</v>
      </c>
      <c r="H4" s="8"/>
      <c r="I4" s="9"/>
    </row>
    <row r="5" ht="28.5">
      <c r="B5" s="10" t="s">
        <v>4</v>
      </c>
      <c r="C5" s="10" t="s">
        <v>5</v>
      </c>
      <c r="D5" s="10" t="s">
        <v>6</v>
      </c>
      <c r="E5" s="10" t="s">
        <v>7</v>
      </c>
      <c r="G5" s="10" t="s">
        <v>8</v>
      </c>
      <c r="H5" s="10" t="s">
        <v>5</v>
      </c>
      <c r="I5" s="10" t="s">
        <v>6</v>
      </c>
    </row>
    <row r="6" ht="28.5">
      <c r="B6" s="11" t="s">
        <v>9</v>
      </c>
      <c r="C6" s="12">
        <v>86.819999999999993</v>
      </c>
      <c r="D6" s="11" t="s">
        <v>10</v>
      </c>
      <c r="E6" s="13" t="s">
        <v>11</v>
      </c>
      <c r="G6" s="11" t="s">
        <v>12</v>
      </c>
      <c r="H6" s="14">
        <v>180</v>
      </c>
      <c r="I6" s="11" t="s">
        <v>13</v>
      </c>
    </row>
    <row r="7" ht="33">
      <c r="B7" s="11" t="s">
        <v>14</v>
      </c>
      <c r="C7" s="15">
        <v>1.25</v>
      </c>
      <c r="D7" s="11" t="s">
        <v>15</v>
      </c>
      <c r="E7" s="16" t="s">
        <v>16</v>
      </c>
      <c r="G7" s="11" t="s">
        <v>17</v>
      </c>
      <c r="H7" s="17">
        <f>C7*C6*52/12</f>
        <v>470.27499999999992</v>
      </c>
      <c r="I7" s="11" t="s">
        <v>18</v>
      </c>
    </row>
    <row r="8" ht="28.5">
      <c r="B8" s="11" t="s">
        <v>19</v>
      </c>
      <c r="C8" s="18">
        <v>52</v>
      </c>
      <c r="D8" s="11" t="s">
        <v>20</v>
      </c>
      <c r="E8" s="11"/>
      <c r="G8" s="11" t="s">
        <v>21</v>
      </c>
      <c r="H8" s="17">
        <f>17*C6</f>
        <v>1475.9399999999998</v>
      </c>
      <c r="I8" s="11" t="s">
        <v>22</v>
      </c>
    </row>
    <row r="9" ht="28.5">
      <c r="B9" s="11" t="s">
        <v>23</v>
      </c>
      <c r="C9" s="18">
        <v>60</v>
      </c>
      <c r="D9" s="11" t="s">
        <v>13</v>
      </c>
      <c r="E9" s="11"/>
      <c r="G9" s="11" t="s">
        <v>24</v>
      </c>
      <c r="H9" s="17">
        <f>H6*H8</f>
        <v>265669.19999999995</v>
      </c>
      <c r="I9" s="11" t="s">
        <v>22</v>
      </c>
    </row>
    <row r="10" ht="28.5">
      <c r="B10" s="11" t="s">
        <v>25</v>
      </c>
      <c r="C10" s="18">
        <v>3</v>
      </c>
      <c r="D10" s="11" t="s">
        <v>26</v>
      </c>
      <c r="E10" s="11"/>
      <c r="G10" s="11" t="s">
        <v>27</v>
      </c>
      <c r="H10" s="17">
        <f>H9+C11</f>
        <v>301669.19999999995</v>
      </c>
      <c r="I10" s="11" t="s">
        <v>22</v>
      </c>
    </row>
    <row r="11" ht="28.5">
      <c r="B11" s="11" t="s">
        <v>28</v>
      </c>
      <c r="C11" s="19">
        <v>36000</v>
      </c>
      <c r="D11" s="11" t="s">
        <v>22</v>
      </c>
      <c r="E11" s="11"/>
      <c r="G11" s="11" t="s">
        <v>29</v>
      </c>
      <c r="H11" s="17">
        <f>H10*C23</f>
        <v>96534143.999999985</v>
      </c>
      <c r="I11" s="11" t="s">
        <v>22</v>
      </c>
    </row>
    <row r="12" ht="28.5">
      <c r="B12" s="11" t="s">
        <v>21</v>
      </c>
      <c r="C12" s="20">
        <v>17</v>
      </c>
      <c r="D12" s="11" t="s">
        <v>30</v>
      </c>
      <c r="E12" s="11"/>
      <c r="G12" s="11" t="s">
        <v>31</v>
      </c>
      <c r="H12" s="17">
        <f>C21*0.05</f>
        <v>5000000</v>
      </c>
      <c r="I12" s="11" t="s">
        <v>22</v>
      </c>
    </row>
    <row r="13" ht="42.75">
      <c r="B13" s="11" t="s">
        <v>32</v>
      </c>
      <c r="C13" s="20">
        <v>15</v>
      </c>
      <c r="D13" s="11" t="s">
        <v>33</v>
      </c>
      <c r="E13" s="11"/>
    </row>
    <row r="14" ht="28.5">
      <c r="B14" s="11" t="s">
        <v>34</v>
      </c>
      <c r="C14" s="19">
        <v>400000</v>
      </c>
      <c r="D14" s="11" t="s">
        <v>18</v>
      </c>
      <c r="E14" s="11"/>
    </row>
    <row r="15" ht="28.5">
      <c r="B15" s="11" t="s">
        <v>35</v>
      </c>
      <c r="C15" s="19">
        <v>600000</v>
      </c>
      <c r="D15" s="11" t="s">
        <v>18</v>
      </c>
      <c r="E15" s="11"/>
    </row>
    <row r="16" ht="28.5">
      <c r="B16" s="11" t="s">
        <v>36</v>
      </c>
      <c r="C16" s="19">
        <v>200000</v>
      </c>
      <c r="D16" s="11" t="s">
        <v>18</v>
      </c>
      <c r="E16" s="11"/>
    </row>
    <row r="17" ht="14.25">
      <c r="B17" s="11" t="s">
        <v>37</v>
      </c>
      <c r="C17" s="19">
        <v>20000</v>
      </c>
      <c r="D17" s="11" t="s">
        <v>18</v>
      </c>
      <c r="E17" s="11"/>
    </row>
    <row r="18" ht="16.5">
      <c r="B18" s="11" t="s">
        <v>38</v>
      </c>
      <c r="C18" s="20">
        <v>200</v>
      </c>
      <c r="D18" s="11" t="s">
        <v>33</v>
      </c>
      <c r="E18" s="11"/>
    </row>
    <row r="19" ht="16.5">
      <c r="B19" s="11" t="s">
        <v>39</v>
      </c>
      <c r="C19" s="21">
        <v>0.34999999999999998</v>
      </c>
      <c r="D19" s="11" t="s">
        <v>40</v>
      </c>
      <c r="E19" s="11"/>
    </row>
    <row r="20" ht="21">
      <c r="B20" s="11" t="s">
        <v>41</v>
      </c>
      <c r="C20" s="22">
        <v>0</v>
      </c>
      <c r="D20" s="11" t="s">
        <v>40</v>
      </c>
      <c r="E20" s="13" t="s">
        <v>11</v>
      </c>
    </row>
    <row r="21" ht="21">
      <c r="B21" s="11" t="s">
        <v>42</v>
      </c>
      <c r="C21" s="23">
        <v>100000000</v>
      </c>
      <c r="D21" s="11" t="s">
        <v>22</v>
      </c>
      <c r="E21" s="13" t="s">
        <v>11</v>
      </c>
    </row>
    <row r="22" ht="28.5">
      <c r="B22" s="11" t="s">
        <v>43</v>
      </c>
      <c r="C22" s="19">
        <v>100000000</v>
      </c>
      <c r="D22" s="11" t="s">
        <v>22</v>
      </c>
      <c r="E22" s="11" t="s">
        <v>44</v>
      </c>
    </row>
    <row r="23" ht="28.5">
      <c r="B23" s="11" t="s">
        <v>45</v>
      </c>
      <c r="C23" s="18">
        <v>320</v>
      </c>
      <c r="D23" s="11" t="s">
        <v>46</v>
      </c>
      <c r="E23" s="11" t="s">
        <v>47</v>
      </c>
    </row>
    <row r="25" ht="21.5" customHeight="1">
      <c r="B25" s="24" t="s">
        <v>48</v>
      </c>
      <c r="C25" s="25"/>
      <c r="D25" s="25"/>
      <c r="E25" s="25"/>
      <c r="F25" s="25"/>
      <c r="G25" s="25"/>
      <c r="H25" s="25"/>
      <c r="I25" s="25"/>
      <c r="J25" s="26"/>
    </row>
    <row r="26" ht="14.25">
      <c r="B26" s="27"/>
      <c r="C26" s="27"/>
      <c r="D26" s="27"/>
      <c r="E26" s="27"/>
      <c r="F26" s="28"/>
      <c r="G26" s="27"/>
      <c r="H26" s="27"/>
      <c r="I26" s="27"/>
      <c r="J26" s="27"/>
    </row>
    <row r="27" ht="14.25">
      <c r="B27" s="7" t="s">
        <v>49</v>
      </c>
      <c r="C27" s="8"/>
      <c r="D27" s="8"/>
      <c r="E27" s="9"/>
      <c r="F27" s="29"/>
      <c r="G27" s="7" t="s">
        <v>50</v>
      </c>
      <c r="H27" s="8"/>
      <c r="I27" s="8"/>
      <c r="J27" s="9"/>
    </row>
    <row r="28" ht="14.25">
      <c r="B28" s="10" t="s">
        <v>8</v>
      </c>
      <c r="C28" s="10" t="s">
        <v>18</v>
      </c>
      <c r="D28" s="10" t="s">
        <v>51</v>
      </c>
      <c r="E28" s="10" t="s">
        <v>52</v>
      </c>
      <c r="F28" s="29"/>
      <c r="G28" s="10" t="s">
        <v>8</v>
      </c>
      <c r="H28" s="10" t="s">
        <v>18</v>
      </c>
      <c r="I28" s="10" t="s">
        <v>51</v>
      </c>
      <c r="J28" s="10" t="s">
        <v>52</v>
      </c>
    </row>
    <row r="29" ht="14.25">
      <c r="B29" s="11" t="s">
        <v>53</v>
      </c>
      <c r="C29" s="30">
        <f>H7</f>
        <v>470.27499999999992</v>
      </c>
      <c r="D29" s="30">
        <f t="shared" ref="D29:D40" si="0">C29*12</f>
        <v>5643.2999999999993</v>
      </c>
      <c r="E29" s="11" t="s">
        <v>54</v>
      </c>
      <c r="F29" s="29"/>
      <c r="G29" s="11" t="s">
        <v>53</v>
      </c>
      <c r="H29" s="17">
        <f>C29*H6</f>
        <v>84649.499999999985</v>
      </c>
      <c r="I29" s="17">
        <f t="shared" ref="I29:I40" si="1">H29*12</f>
        <v>1015793.9999999998</v>
      </c>
      <c r="J29" s="11" t="s">
        <v>55</v>
      </c>
    </row>
    <row r="30" ht="14.25">
      <c r="B30" s="11" t="s">
        <v>39</v>
      </c>
      <c r="C30" s="31">
        <f>C29*0.35</f>
        <v>164.59624999999997</v>
      </c>
      <c r="D30" s="31">
        <f t="shared" si="0"/>
        <v>1975.1549999999997</v>
      </c>
      <c r="E30" s="11" t="s">
        <v>56</v>
      </c>
      <c r="F30" s="29"/>
      <c r="G30" s="11" t="s">
        <v>39</v>
      </c>
      <c r="H30" s="32">
        <f>C30*H6</f>
        <v>29627.324999999993</v>
      </c>
      <c r="I30" s="32">
        <f t="shared" si="1"/>
        <v>355527.89999999991</v>
      </c>
      <c r="J30" s="11" t="s">
        <v>57</v>
      </c>
    </row>
    <row r="31" ht="14.25">
      <c r="B31" s="33" t="s">
        <v>58</v>
      </c>
      <c r="C31" s="34">
        <f>C29-C30</f>
        <v>305.67874999999992</v>
      </c>
      <c r="D31" s="30">
        <f t="shared" si="0"/>
        <v>3668.1449999999991</v>
      </c>
      <c r="E31" s="33"/>
      <c r="F31" s="29"/>
      <c r="G31" s="33" t="s">
        <v>58</v>
      </c>
      <c r="H31" s="35">
        <f>C31*H6</f>
        <v>55022.174999999988</v>
      </c>
      <c r="I31" s="17">
        <f t="shared" si="1"/>
        <v>660266.09999999986</v>
      </c>
      <c r="J31" s="33"/>
    </row>
    <row r="32" ht="14.25">
      <c r="B32" s="11" t="s">
        <v>59</v>
      </c>
      <c r="C32" s="31">
        <f>C13*C6/60</f>
        <v>21.704999999999998</v>
      </c>
      <c r="D32" s="31">
        <f t="shared" si="0"/>
        <v>260.45999999999998</v>
      </c>
      <c r="E32" s="11" t="s">
        <v>60</v>
      </c>
      <c r="F32" s="29"/>
      <c r="G32" s="11" t="s">
        <v>59</v>
      </c>
      <c r="H32" s="32">
        <f>C32*H6</f>
        <v>3906.8999999999996</v>
      </c>
      <c r="I32" s="32">
        <f t="shared" si="1"/>
        <v>46882.799999999996</v>
      </c>
      <c r="J32" s="11" t="s">
        <v>61</v>
      </c>
    </row>
    <row r="33" ht="14.25">
      <c r="B33" s="11" t="s">
        <v>62</v>
      </c>
      <c r="C33" s="31">
        <f>C14/C23/H6</f>
        <v>6.9444444444444446</v>
      </c>
      <c r="D33" s="31">
        <f t="shared" si="0"/>
        <v>83.333333333333343</v>
      </c>
      <c r="E33" s="11" t="s">
        <v>63</v>
      </c>
      <c r="F33" s="29"/>
      <c r="G33" s="11" t="s">
        <v>62</v>
      </c>
      <c r="H33" s="32">
        <f>C33*H6</f>
        <v>1250</v>
      </c>
      <c r="I33" s="32">
        <f t="shared" si="1"/>
        <v>15000</v>
      </c>
      <c r="J33" s="11" t="s">
        <v>64</v>
      </c>
    </row>
    <row r="34" ht="14.25">
      <c r="B34" s="11" t="s">
        <v>65</v>
      </c>
      <c r="C34" s="31">
        <f>C15/C23/H6</f>
        <v>10.416666666666666</v>
      </c>
      <c r="D34" s="31">
        <f t="shared" si="0"/>
        <v>125</v>
      </c>
      <c r="E34" s="11" t="s">
        <v>63</v>
      </c>
      <c r="F34" s="29"/>
      <c r="G34" s="11" t="s">
        <v>65</v>
      </c>
      <c r="H34" s="32">
        <f>C34*H6</f>
        <v>1875</v>
      </c>
      <c r="I34" s="32">
        <f t="shared" si="1"/>
        <v>22500</v>
      </c>
      <c r="J34" s="11" t="s">
        <v>64</v>
      </c>
    </row>
    <row r="35" ht="14.25">
      <c r="B35" s="11" t="s">
        <v>66</v>
      </c>
      <c r="C35" s="31">
        <f>C16/C23/H6</f>
        <v>3.4722222222222223</v>
      </c>
      <c r="D35" s="31">
        <f t="shared" si="0"/>
        <v>41.666666666666671</v>
      </c>
      <c r="E35" s="11" t="s">
        <v>63</v>
      </c>
      <c r="F35" s="29"/>
      <c r="G35" s="11" t="s">
        <v>66</v>
      </c>
      <c r="H35" s="32">
        <f>C35*H6</f>
        <v>625</v>
      </c>
      <c r="I35" s="32">
        <f t="shared" si="1"/>
        <v>7500</v>
      </c>
      <c r="J35" s="11" t="s">
        <v>64</v>
      </c>
    </row>
    <row r="36" ht="14.25">
      <c r="B36" s="11" t="s">
        <v>67</v>
      </c>
      <c r="C36" s="31">
        <f>C17/C23/H6</f>
        <v>0.34722222222222221</v>
      </c>
      <c r="D36" s="31">
        <f t="shared" si="0"/>
        <v>4.1666666666666661</v>
      </c>
      <c r="E36" s="11" t="s">
        <v>63</v>
      </c>
      <c r="F36" s="29"/>
      <c r="G36" s="11" t="s">
        <v>67</v>
      </c>
      <c r="H36" s="32">
        <f>C36*H6</f>
        <v>62.5</v>
      </c>
      <c r="I36" s="32">
        <f t="shared" si="1"/>
        <v>750</v>
      </c>
      <c r="J36" s="11" t="s">
        <v>64</v>
      </c>
    </row>
    <row r="37" ht="14.25">
      <c r="B37" s="11" t="s">
        <v>68</v>
      </c>
      <c r="C37" s="31">
        <f>C18*C6/C23/H6</f>
        <v>0.30145833333333333</v>
      </c>
      <c r="D37" s="31">
        <f t="shared" si="0"/>
        <v>3.6174999999999997</v>
      </c>
      <c r="E37" s="11" t="s">
        <v>63</v>
      </c>
      <c r="F37" s="29"/>
      <c r="G37" s="11" t="s">
        <v>68</v>
      </c>
      <c r="H37" s="32">
        <f>C37*H6</f>
        <v>54.262499999999996</v>
      </c>
      <c r="I37" s="32">
        <f t="shared" si="1"/>
        <v>651.14999999999998</v>
      </c>
      <c r="J37" s="11" t="s">
        <v>64</v>
      </c>
    </row>
    <row r="38" ht="28.5">
      <c r="B38" s="33" t="s">
        <v>69</v>
      </c>
      <c r="C38" s="34">
        <f>C31-SUM(C32:C37)</f>
        <v>262.49173611111104</v>
      </c>
      <c r="D38" s="30">
        <f t="shared" si="0"/>
        <v>3149.9008333333322</v>
      </c>
      <c r="E38" s="33" t="s">
        <v>70</v>
      </c>
      <c r="F38" s="29"/>
      <c r="G38" s="33" t="s">
        <v>69</v>
      </c>
      <c r="H38" s="35">
        <f>C38*H6</f>
        <v>47248.51249999999</v>
      </c>
      <c r="I38" s="17">
        <f t="shared" si="1"/>
        <v>566982.14999999991</v>
      </c>
      <c r="J38" s="33" t="s">
        <v>70</v>
      </c>
    </row>
    <row r="39" ht="28.5">
      <c r="B39" s="11" t="s">
        <v>71</v>
      </c>
      <c r="C39" s="31">
        <f>C31*C20</f>
        <v>0</v>
      </c>
      <c r="D39" s="31">
        <f t="shared" si="0"/>
        <v>0</v>
      </c>
      <c r="E39" s="11" t="s">
        <v>72</v>
      </c>
      <c r="F39" s="29"/>
      <c r="G39" s="11" t="s">
        <v>71</v>
      </c>
      <c r="H39" s="32">
        <f>C39*H6</f>
        <v>0</v>
      </c>
      <c r="I39" s="32">
        <f t="shared" si="1"/>
        <v>0</v>
      </c>
      <c r="J39" s="11" t="s">
        <v>72</v>
      </c>
    </row>
    <row r="40" ht="14.25">
      <c r="B40" s="33" t="s">
        <v>73</v>
      </c>
      <c r="C40" s="36">
        <f>C31-C39-SUM(C32:C37)</f>
        <v>262.49173611111104</v>
      </c>
      <c r="D40" s="37">
        <f t="shared" si="0"/>
        <v>3149.9008333333322</v>
      </c>
      <c r="E40" s="33" t="s">
        <v>74</v>
      </c>
      <c r="F40" s="29"/>
      <c r="G40" s="33" t="s">
        <v>73</v>
      </c>
      <c r="H40" s="38">
        <f>C40*H6</f>
        <v>47248.51249999999</v>
      </c>
      <c r="I40" s="39">
        <f t="shared" si="1"/>
        <v>566982.14999999991</v>
      </c>
      <c r="J40" s="33" t="s">
        <v>74</v>
      </c>
    </row>
    <row r="41" ht="28.5">
      <c r="B41" s="33" t="s">
        <v>75</v>
      </c>
      <c r="C41" s="34">
        <f>H8+C11/H6</f>
        <v>1675.9399999999998</v>
      </c>
      <c r="D41" s="34">
        <f t="shared" ref="D41:D43" si="2">C41</f>
        <v>1675.9399999999998</v>
      </c>
      <c r="E41" s="33" t="s">
        <v>76</v>
      </c>
      <c r="F41" s="29"/>
      <c r="G41" s="33" t="s">
        <v>77</v>
      </c>
      <c r="H41" s="35">
        <f>C41*H6</f>
        <v>301669.19999999995</v>
      </c>
      <c r="I41" s="35">
        <f t="shared" ref="I41:I43" si="3">H41</f>
        <v>301669.19999999995</v>
      </c>
      <c r="J41" s="33" t="s">
        <v>78</v>
      </c>
    </row>
    <row r="42" ht="14.25">
      <c r="B42" s="33" t="s">
        <v>79</v>
      </c>
      <c r="C42" s="40">
        <f>C41/C40</f>
        <v>6.3847343342290417</v>
      </c>
      <c r="D42" s="40">
        <f t="shared" si="2"/>
        <v>6.3847343342290417</v>
      </c>
      <c r="E42" s="33" t="s">
        <v>80</v>
      </c>
      <c r="F42" s="29"/>
      <c r="G42" s="33" t="s">
        <v>79</v>
      </c>
      <c r="H42" s="40">
        <f>IF(H40&gt;0,H41/H40,"")</f>
        <v>6.3847343342290408</v>
      </c>
      <c r="I42" s="40">
        <f t="shared" si="3"/>
        <v>6.3847343342290408</v>
      </c>
      <c r="J42" s="33" t="s">
        <v>80</v>
      </c>
    </row>
    <row r="43" ht="14.25">
      <c r="B43" s="33" t="s">
        <v>81</v>
      </c>
      <c r="C43" s="41">
        <f>((C40*12)/C41)</f>
        <v>1.8794830562748861</v>
      </c>
      <c r="D43" s="41">
        <f t="shared" si="2"/>
        <v>1.8794830562748861</v>
      </c>
      <c r="E43" s="33" t="s">
        <v>82</v>
      </c>
      <c r="F43" s="29"/>
      <c r="G43" s="33" t="s">
        <v>81</v>
      </c>
      <c r="H43" s="41">
        <f>IF(H41&gt;0,H40*12/H41,"")</f>
        <v>1.8794830562748865</v>
      </c>
      <c r="I43" s="41">
        <f t="shared" si="3"/>
        <v>1.8794830562748865</v>
      </c>
      <c r="J43" s="33" t="s">
        <v>83</v>
      </c>
    </row>
    <row r="45" ht="14.25">
      <c r="B45" s="7" t="s">
        <v>84</v>
      </c>
      <c r="C45" s="8"/>
      <c r="D45" s="8"/>
      <c r="E45" s="8"/>
      <c r="F45" s="8"/>
      <c r="G45" s="8"/>
      <c r="H45" s="8"/>
      <c r="I45" s="8"/>
      <c r="J45" s="9"/>
    </row>
    <row r="46" ht="14.25">
      <c r="B46" s="10" t="s">
        <v>8</v>
      </c>
      <c r="C46" s="10" t="s">
        <v>5</v>
      </c>
      <c r="D46" s="10" t="s">
        <v>6</v>
      </c>
      <c r="E46" s="10" t="s">
        <v>52</v>
      </c>
      <c r="F46" s="10"/>
      <c r="G46" s="10" t="s">
        <v>8</v>
      </c>
      <c r="H46" s="10" t="s">
        <v>5</v>
      </c>
      <c r="I46" s="10" t="s">
        <v>6</v>
      </c>
      <c r="J46" s="10" t="s">
        <v>52</v>
      </c>
    </row>
    <row r="47" ht="28.5">
      <c r="B47" s="11" t="s">
        <v>85</v>
      </c>
      <c r="C47" s="17">
        <f>C21</f>
        <v>100000000</v>
      </c>
      <c r="D47" s="11" t="s">
        <v>22</v>
      </c>
      <c r="E47" s="11" t="s">
        <v>86</v>
      </c>
      <c r="F47" s="42"/>
      <c r="G47" s="11" t="s">
        <v>87</v>
      </c>
      <c r="H47" s="17">
        <f>ROUNDDOWN((C21-H12)/H10,0)</f>
        <v>314</v>
      </c>
      <c r="I47" s="11" t="s">
        <v>46</v>
      </c>
      <c r="J47" s="11" t="s">
        <v>88</v>
      </c>
    </row>
    <row r="48" ht="28.5">
      <c r="B48" s="33" t="s">
        <v>89</v>
      </c>
      <c r="C48" s="35">
        <f>C47-C49</f>
        <v>95000000</v>
      </c>
      <c r="D48" s="33" t="s">
        <v>22</v>
      </c>
      <c r="E48" s="33"/>
      <c r="F48" s="29"/>
      <c r="G48" s="11" t="s">
        <v>90</v>
      </c>
      <c r="H48" s="14">
        <f>ROUNDDOWN((C21-H12)/H10,0)*H6</f>
        <v>56520</v>
      </c>
      <c r="I48" s="11" t="s">
        <v>13</v>
      </c>
      <c r="J48" s="11"/>
    </row>
    <row r="49" ht="28.5">
      <c r="B49" s="33" t="s">
        <v>91</v>
      </c>
      <c r="C49" s="35">
        <f>H12</f>
        <v>5000000</v>
      </c>
      <c r="D49" s="33" t="s">
        <v>22</v>
      </c>
      <c r="E49" s="33"/>
      <c r="F49" s="29"/>
      <c r="G49" s="11" t="s">
        <v>92</v>
      </c>
      <c r="H49" s="43">
        <f>C48/C21</f>
        <v>0.94999999999999996</v>
      </c>
      <c r="I49" s="11" t="s">
        <v>40</v>
      </c>
      <c r="J49" s="11"/>
    </row>
    <row r="50" ht="14.25">
      <c r="B50" s="11" t="s">
        <v>93</v>
      </c>
      <c r="C50" s="17">
        <f>ROUNDDOWN((C21-H12)/H10,0)*C11</f>
        <v>11304000</v>
      </c>
      <c r="D50" s="11" t="s">
        <v>22</v>
      </c>
      <c r="E50" s="11"/>
      <c r="F50" s="29"/>
      <c r="G50" s="11" t="s">
        <v>94</v>
      </c>
      <c r="H50" s="43">
        <f>H12/C21</f>
        <v>5.0000000000000003e-002</v>
      </c>
      <c r="I50" s="11" t="s">
        <v>40</v>
      </c>
      <c r="J50" s="11"/>
    </row>
    <row r="51" ht="14.25">
      <c r="B51" s="11" t="s">
        <v>95</v>
      </c>
      <c r="C51" s="17">
        <f>ROUNDDOWN((C21-H12)/H10,0)*H8*H6</f>
        <v>83420128.799999997</v>
      </c>
      <c r="D51" s="11" t="s">
        <v>22</v>
      </c>
      <c r="E51" s="11"/>
      <c r="F51" s="44"/>
      <c r="G51" s="11" t="s">
        <v>96</v>
      </c>
      <c r="H51" s="45">
        <f>C21/H48</f>
        <v>1769.2852087756546</v>
      </c>
      <c r="I51" s="11" t="s">
        <v>97</v>
      </c>
      <c r="J51" s="11" t="s">
        <v>98</v>
      </c>
    </row>
    <row r="53" ht="14.25">
      <c r="B53" s="7" t="s">
        <v>99</v>
      </c>
      <c r="C53" s="8"/>
      <c r="D53" s="8"/>
      <c r="E53" s="8"/>
      <c r="F53" s="8"/>
      <c r="G53" s="8"/>
      <c r="H53" s="8"/>
      <c r="I53" s="8"/>
      <c r="J53" s="9"/>
    </row>
    <row r="54" ht="14.25">
      <c r="B54" s="10" t="s">
        <v>100</v>
      </c>
      <c r="C54" s="10" t="s">
        <v>18</v>
      </c>
      <c r="D54" s="10" t="s">
        <v>101</v>
      </c>
      <c r="E54" s="10" t="s">
        <v>102</v>
      </c>
      <c r="F54" s="10"/>
      <c r="G54" s="10" t="s">
        <v>103</v>
      </c>
      <c r="H54" s="10" t="s">
        <v>5</v>
      </c>
      <c r="I54" s="10" t="s">
        <v>6</v>
      </c>
      <c r="J54" s="10"/>
    </row>
    <row r="55" ht="14.25">
      <c r="B55" s="11" t="s">
        <v>53</v>
      </c>
      <c r="C55" s="17">
        <f>C29*H48</f>
        <v>26579942.999999996</v>
      </c>
      <c r="D55" s="43">
        <f>C55/C55</f>
        <v>1</v>
      </c>
      <c r="E55" s="11" t="s">
        <v>104</v>
      </c>
      <c r="F55" s="42"/>
      <c r="G55" s="11" t="s">
        <v>105</v>
      </c>
      <c r="H55" s="17">
        <f>C55*12</f>
        <v>318959315.99999994</v>
      </c>
      <c r="I55" s="11" t="s">
        <v>51</v>
      </c>
      <c r="J55" s="11"/>
    </row>
    <row r="56" ht="14.25">
      <c r="B56" s="11" t="s">
        <v>39</v>
      </c>
      <c r="C56" s="32">
        <f>C55*0.35</f>
        <v>9302980.0499999989</v>
      </c>
      <c r="D56" s="46">
        <f>C56/C55</f>
        <v>0.35000000000000003</v>
      </c>
      <c r="E56" s="11" t="s">
        <v>56</v>
      </c>
      <c r="F56" s="29"/>
      <c r="G56" s="11" t="s">
        <v>106</v>
      </c>
      <c r="H56" s="17">
        <f>C66*12</f>
        <v>178032395.09999996</v>
      </c>
      <c r="I56" s="11" t="s">
        <v>51</v>
      </c>
      <c r="J56" s="11"/>
    </row>
    <row r="57" ht="14.25">
      <c r="B57" s="33" t="s">
        <v>58</v>
      </c>
      <c r="C57" s="35">
        <f>C55-C56</f>
        <v>17276962.949999996</v>
      </c>
      <c r="D57" s="41">
        <f>C57/C55</f>
        <v>0.64999999999999991</v>
      </c>
      <c r="E57" s="33" t="s">
        <v>107</v>
      </c>
      <c r="F57" s="29"/>
      <c r="G57" s="11" t="s">
        <v>108</v>
      </c>
      <c r="H57" s="43">
        <f>H56/H55</f>
        <v>0.55816646879190068</v>
      </c>
      <c r="I57" s="11" t="s">
        <v>40</v>
      </c>
      <c r="J57" s="11"/>
    </row>
    <row r="58" ht="14.25">
      <c r="B58" s="11" t="s">
        <v>59</v>
      </c>
      <c r="C58" s="32">
        <f>C32*H48</f>
        <v>1226766.5999999999</v>
      </c>
      <c r="D58" s="46">
        <f>C58/C55</f>
        <v>4.6153846153846156e-002</v>
      </c>
      <c r="E58" s="11" t="s">
        <v>109</v>
      </c>
      <c r="F58" s="29"/>
      <c r="G58" s="11" t="s">
        <v>110</v>
      </c>
      <c r="H58" s="47">
        <f>H40</f>
        <v>47248.51249999999</v>
      </c>
      <c r="I58" s="11" t="s">
        <v>22</v>
      </c>
      <c r="J58" s="11"/>
    </row>
    <row r="59" ht="28.5">
      <c r="B59" s="11" t="s">
        <v>62</v>
      </c>
      <c r="C59" s="32">
        <f>C33*H48</f>
        <v>392500</v>
      </c>
      <c r="D59" s="46">
        <f>C59/C55</f>
        <v>1.4766773578107375e-002</v>
      </c>
      <c r="E59" s="11" t="s">
        <v>111</v>
      </c>
      <c r="F59" s="29"/>
      <c r="G59" s="42" t="s">
        <v>112</v>
      </c>
      <c r="H59" s="48">
        <f>C40</f>
        <v>262.49173611111104</v>
      </c>
      <c r="I59" s="42" t="s">
        <v>22</v>
      </c>
      <c r="J59" s="42"/>
    </row>
    <row r="60" ht="14.25">
      <c r="B60" s="11" t="s">
        <v>65</v>
      </c>
      <c r="C60" s="32">
        <f>C34*H48</f>
        <v>588750</v>
      </c>
      <c r="D60" s="49">
        <f>C60/C55</f>
        <v>2.2150160367161061e-002</v>
      </c>
      <c r="E60" s="11" t="s">
        <v>111</v>
      </c>
      <c r="F60" s="50"/>
      <c r="G60" s="51"/>
      <c r="H60" s="52"/>
      <c r="I60" s="51"/>
      <c r="J60" s="51"/>
    </row>
    <row r="61" ht="14.25">
      <c r="B61" s="11" t="s">
        <v>66</v>
      </c>
      <c r="C61" s="32">
        <f>C35*H48</f>
        <v>196250</v>
      </c>
      <c r="D61" s="46">
        <f>C61/C55</f>
        <v>7.3833867890536874e-003</v>
      </c>
      <c r="E61" s="11" t="s">
        <v>111</v>
      </c>
      <c r="F61" s="28"/>
      <c r="G61" s="28"/>
      <c r="H61" s="28"/>
      <c r="I61" s="28"/>
      <c r="J61" s="53"/>
    </row>
    <row r="62" ht="14.25">
      <c r="B62" s="11" t="s">
        <v>67</v>
      </c>
      <c r="C62" s="32">
        <f>C36*H48</f>
        <v>19625</v>
      </c>
      <c r="D62" s="46">
        <f>C62/C55</f>
        <v>7.3833867890536872e-004</v>
      </c>
      <c r="E62" s="11" t="s">
        <v>111</v>
      </c>
      <c r="F62" s="28"/>
      <c r="G62" s="28"/>
      <c r="H62" s="28"/>
      <c r="I62" s="28"/>
      <c r="J62" s="53"/>
    </row>
    <row r="63" ht="14.25">
      <c r="B63" s="11" t="s">
        <v>68</v>
      </c>
      <c r="C63" s="32">
        <f>C37*H48</f>
        <v>17038.424999999999</v>
      </c>
      <c r="D63" s="49">
        <f>C63/C55</f>
        <v>6.4102564102564113e-004</v>
      </c>
      <c r="E63" s="11" t="s">
        <v>111</v>
      </c>
      <c r="F63" s="28"/>
      <c r="G63" s="28"/>
      <c r="H63" s="28"/>
      <c r="I63" s="28"/>
      <c r="J63" s="53"/>
    </row>
    <row r="64" ht="28.5">
      <c r="B64" s="33" t="s">
        <v>69</v>
      </c>
      <c r="C64" s="35">
        <f>C57-SUM(C58:C63)</f>
        <v>14836032.924999997</v>
      </c>
      <c r="D64" s="43">
        <f>C64/C55</f>
        <v>0.55816646879190068</v>
      </c>
      <c r="E64" s="33" t="s">
        <v>70</v>
      </c>
      <c r="F64" s="28"/>
      <c r="G64" s="28"/>
      <c r="H64" s="28"/>
      <c r="I64" s="28"/>
      <c r="J64" s="53"/>
    </row>
    <row r="65" ht="14.25">
      <c r="B65" s="11" t="s">
        <v>71</v>
      </c>
      <c r="C65" s="32">
        <f>C57*C20</f>
        <v>0</v>
      </c>
      <c r="D65" s="46">
        <f>C65/C55</f>
        <v>0</v>
      </c>
      <c r="E65" s="11" t="s">
        <v>113</v>
      </c>
      <c r="F65" s="28"/>
      <c r="G65" s="28"/>
      <c r="H65" s="28"/>
      <c r="I65" s="28"/>
      <c r="J65" s="53"/>
    </row>
    <row r="66" ht="14.25">
      <c r="B66" s="33" t="s">
        <v>73</v>
      </c>
      <c r="C66" s="38">
        <f>C64-C65</f>
        <v>14836032.924999997</v>
      </c>
      <c r="D66" s="41">
        <f>C66/C55</f>
        <v>0.55816646879190068</v>
      </c>
      <c r="E66" s="33" t="s">
        <v>74</v>
      </c>
      <c r="F66" s="54"/>
      <c r="G66" s="55"/>
      <c r="H66" s="55"/>
      <c r="I66" s="55"/>
      <c r="J66" s="56"/>
    </row>
    <row r="68" ht="14.25">
      <c r="B68" s="7" t="s">
        <v>114</v>
      </c>
      <c r="C68" s="8"/>
      <c r="D68" s="8"/>
      <c r="E68" s="8"/>
      <c r="F68" s="8"/>
      <c r="G68" s="8"/>
      <c r="H68" s="8"/>
      <c r="I68" s="8"/>
      <c r="J68" s="9"/>
    </row>
    <row r="69" ht="14.25">
      <c r="B69" s="10" t="s">
        <v>8</v>
      </c>
      <c r="C69" s="10" t="s">
        <v>5</v>
      </c>
      <c r="D69" s="10" t="s">
        <v>6</v>
      </c>
      <c r="E69" s="10" t="s">
        <v>52</v>
      </c>
      <c r="F69" s="10"/>
      <c r="G69" s="10" t="s">
        <v>8</v>
      </c>
      <c r="H69" s="10" t="s">
        <v>5</v>
      </c>
      <c r="I69" s="10" t="s">
        <v>6</v>
      </c>
      <c r="J69" s="10" t="s">
        <v>52</v>
      </c>
    </row>
    <row r="70" ht="14.25">
      <c r="B70" s="11" t="s">
        <v>115</v>
      </c>
      <c r="C70" s="57">
        <f>C21/C66</f>
        <v>6.7403463247571631</v>
      </c>
      <c r="D70" s="11" t="s">
        <v>116</v>
      </c>
      <c r="E70" s="11" t="s">
        <v>117</v>
      </c>
      <c r="F70" s="42"/>
      <c r="G70" s="11" t="s">
        <v>118</v>
      </c>
      <c r="H70" s="58">
        <f>C72/C21</f>
        <v>1.7803239509999997</v>
      </c>
      <c r="I70" s="11" t="s">
        <v>40</v>
      </c>
      <c r="J70" s="11" t="s">
        <v>119</v>
      </c>
    </row>
    <row r="71" ht="14.25">
      <c r="B71" s="11" t="s">
        <v>120</v>
      </c>
      <c r="C71" s="57">
        <f>C48/C66</f>
        <v>6.4033290085193055</v>
      </c>
      <c r="D71" s="11" t="s">
        <v>116</v>
      </c>
      <c r="E71" s="11" t="s">
        <v>121</v>
      </c>
      <c r="F71" s="29"/>
      <c r="G71" s="11" t="s">
        <v>122</v>
      </c>
      <c r="H71" s="58">
        <f>C43</f>
        <v>1.8794830562748861</v>
      </c>
      <c r="I71" s="11" t="s">
        <v>40</v>
      </c>
      <c r="J71" s="11" t="s">
        <v>123</v>
      </c>
    </row>
    <row r="72" ht="14.25">
      <c r="B72" s="11" t="s">
        <v>124</v>
      </c>
      <c r="C72" s="38">
        <f>H56</f>
        <v>178032395.09999996</v>
      </c>
      <c r="D72" s="11" t="s">
        <v>22</v>
      </c>
      <c r="E72" s="11"/>
      <c r="F72" s="29"/>
      <c r="G72" s="11" t="s">
        <v>125</v>
      </c>
      <c r="H72" s="58">
        <f>H70/12</f>
        <v>0.14836032924999998</v>
      </c>
      <c r="I72" s="11" t="s">
        <v>40</v>
      </c>
      <c r="J72" s="11"/>
    </row>
    <row r="73" ht="14.25">
      <c r="F73" s="44"/>
      <c r="G73" s="11" t="s">
        <v>126</v>
      </c>
      <c r="H73" s="38">
        <f>H12</f>
        <v>5000000</v>
      </c>
      <c r="I73" s="11" t="s">
        <v>22</v>
      </c>
      <c r="J73" s="11"/>
    </row>
  </sheetData>
  <mergeCells count="10">
    <mergeCell ref="B1:I1"/>
    <mergeCell ref="B2:I2"/>
    <mergeCell ref="B4:E4"/>
    <mergeCell ref="G4:I4"/>
    <mergeCell ref="B25:J25"/>
    <mergeCell ref="B27:E27"/>
    <mergeCell ref="G27:J27"/>
    <mergeCell ref="B45:J45"/>
    <mergeCell ref="B53:J53"/>
    <mergeCell ref="B68:J68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lessThan" id="{16D05701-A136-4D1E-BF9F-8FD5DCF68796}">
            <xm:f>0</xm:f>
            <x14:dxf>
              <font>
                <b/>
                <color rgb="FF9C0006"/>
              </font>
              <fill>
                <patternFill patternType="solid">
                  <fgColor rgb="FFF4CCCC"/>
                  <bgColor rgb="FFF4CCCC"/>
                </patternFill>
              </fill>
            </x14:dxf>
          </x14:cfRule>
          <xm:sqref>C40</xm:sqref>
        </x14:conditionalFormatting>
        <x14:conditionalFormatting xmlns:xm="http://schemas.microsoft.com/office/excel/2006/main">
          <x14:cfRule type="cellIs" priority="2" operator="lessThan" id="{4837F6ED-3523-402A-AD45-CEF12D0305D2}">
            <xm:f>0</xm:f>
            <x14:dxf>
              <font>
                <b/>
                <color rgb="FF9C0006"/>
              </font>
              <fill>
                <patternFill patternType="solid">
                  <fgColor rgb="FFF4CCCC"/>
                  <bgColor rgb="FFF4CCCC"/>
                </patternFill>
              </fill>
            </x14:dxf>
          </x14:cfRule>
          <xm:sqref>H40</xm:sqref>
        </x14:conditionalFormatting>
        <x14:conditionalFormatting xmlns:xm="http://schemas.microsoft.com/office/excel/2006/main">
          <x14:cfRule type="cellIs" priority="3" operator="lessThan" id="{7BDD8059-1CEE-4AF4-B00A-E4FD050D1507}">
            <xm:f>0</xm:f>
            <x14:dxf>
              <font>
                <b/>
                <color rgb="FF9C0006"/>
              </font>
              <fill>
                <patternFill patternType="solid">
                  <fgColor rgb="FFF4CCCC"/>
                  <bgColor rgb="FFF4CCCC"/>
                </patternFill>
              </fill>
            </x14:dxf>
          </x14:cfRule>
          <xm:sqref>C66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2026-09-01T18:32:58Z</dcterms:modified>
</cp:coreProperties>
</file>