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008"/>
  <workbookPr dateCompatibility="0"/>
  <mc:AlternateContent xmlns:mc="http://schemas.openxmlformats.org/markup-compatibility/2006">
    <mc:Choice Requires="x15">
      <x15ac:absPath xmlns:x15ac="http://schemas.microsoft.com/office/spreadsheetml/2010/11/ac" url="/Users/mac/Desktop/обухов моторс/"/>
    </mc:Choice>
  </mc:AlternateContent>
  <xr:revisionPtr revIDLastSave="0" documentId="8_{3646FA85-4F91-E246-A7D9-881477F85B7F}" xr6:coauthVersionLast="47" xr6:coauthVersionMax="47" xr10:uidLastSave="{00000000-0000-0000-0000-000000000000}"/>
  <bookViews>
    <workbookView xWindow="0" yWindow="520" windowWidth="28800" windowHeight="16220" activeTab="4" xr2:uid="{00000000-000D-0000-FFFF-FFFF00000000}"/>
  </bookViews>
  <sheets>
    <sheet name="Лучший сценарий" sheetId="1" r:id="rId1"/>
    <sheet name="Средний сценарий" sheetId="9" r:id="rId2"/>
    <sheet name="Худший сценарий" sheetId="3" r:id="rId3"/>
    <sheet name="1 год - расшифровка" sheetId="4" r:id="rId4"/>
    <sheet name="1 год - по месяцам" sheetId="5" r:id="rId5"/>
    <sheet name="Формулы" sheetId="6" r:id="rId6"/>
    <sheet name="Юнит-экономика" sheetId="7" r:id="rId7"/>
    <sheet name="B2B 5-20 лет (млн)" sheetId="8" r:id="rId8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N2" i="5" l="1"/>
  <c r="R5" i="5"/>
  <c r="R6" i="5"/>
  <c r="R7" i="5"/>
  <c r="R8" i="5"/>
  <c r="R9" i="5"/>
  <c r="R10" i="5"/>
  <c r="R11" i="5"/>
  <c r="R12" i="5"/>
  <c r="R13" i="5"/>
  <c r="R4" i="5"/>
  <c r="R3" i="5"/>
  <c r="R2" i="5"/>
  <c r="B21" i="4"/>
  <c r="Q12" i="5"/>
  <c r="P2" i="5"/>
  <c r="B19" i="4"/>
  <c r="P3" i="5"/>
  <c r="Q6" i="5"/>
  <c r="Q7" i="5"/>
  <c r="Q8" i="5"/>
  <c r="Q9" i="5"/>
  <c r="Q10" i="5"/>
  <c r="Q11" i="5"/>
  <c r="Q13" i="5"/>
  <c r="Q5" i="5"/>
  <c r="Q4" i="5"/>
  <c r="Q3" i="5"/>
  <c r="P6" i="5"/>
  <c r="P7" i="5"/>
  <c r="P8" i="5"/>
  <c r="P9" i="5"/>
  <c r="P10" i="5"/>
  <c r="P11" i="5"/>
  <c r="P12" i="5"/>
  <c r="P13" i="5"/>
  <c r="P5" i="5"/>
  <c r="P4" i="5"/>
  <c r="O5" i="5"/>
  <c r="O6" i="5"/>
  <c r="O7" i="5"/>
  <c r="O8" i="5"/>
  <c r="O9" i="5"/>
  <c r="O10" i="5"/>
  <c r="O11" i="5"/>
  <c r="O12" i="5"/>
  <c r="O13" i="5"/>
  <c r="O4" i="5"/>
  <c r="O2" i="5"/>
  <c r="O3" i="5"/>
  <c r="N5" i="5"/>
  <c r="N6" i="5"/>
  <c r="N7" i="5"/>
  <c r="N8" i="5"/>
  <c r="N9" i="5"/>
  <c r="N10" i="5"/>
  <c r="N11" i="5"/>
  <c r="N12" i="5"/>
  <c r="N13" i="5"/>
  <c r="N4" i="5"/>
  <c r="N3" i="5"/>
  <c r="Q2" i="5"/>
  <c r="S2" i="5"/>
  <c r="S6" i="5"/>
  <c r="S7" i="5"/>
  <c r="B9" i="5"/>
  <c r="B10" i="5"/>
  <c r="B11" i="5"/>
  <c r="B12" i="5"/>
  <c r="B13" i="5"/>
  <c r="B3" i="5"/>
  <c r="B4" i="5"/>
  <c r="B5" i="5"/>
  <c r="B6" i="5"/>
  <c r="B7" i="5"/>
  <c r="B8" i="5"/>
  <c r="C3" i="5"/>
  <c r="AD2" i="1"/>
  <c r="B17" i="4"/>
  <c r="Z2" i="1"/>
  <c r="B18" i="4"/>
  <c r="B16" i="4"/>
  <c r="B14" i="4"/>
  <c r="B12" i="4"/>
  <c r="X2" i="1"/>
  <c r="B15" i="4"/>
  <c r="W2" i="1"/>
  <c r="Y2" i="1"/>
  <c r="U2" i="1"/>
  <c r="B7" i="4"/>
  <c r="B6" i="4"/>
  <c r="B5" i="4"/>
  <c r="E2" i="1"/>
  <c r="Y14" i="3"/>
  <c r="Y4" i="3"/>
  <c r="Y3" i="3"/>
  <c r="Y2" i="3"/>
  <c r="Y3" i="9"/>
  <c r="P4" i="9"/>
  <c r="T14" i="1"/>
  <c r="T5" i="1"/>
  <c r="T6" i="1"/>
  <c r="T7" i="1"/>
  <c r="T8" i="1"/>
  <c r="T9" i="1"/>
  <c r="T10" i="1"/>
  <c r="T11" i="1"/>
  <c r="T12" i="1"/>
  <c r="T13" i="1"/>
  <c r="T15" i="1"/>
  <c r="T16" i="1"/>
  <c r="T4" i="1"/>
  <c r="T3" i="1"/>
  <c r="T2" i="1"/>
  <c r="Y6" i="9"/>
  <c r="Y5" i="9"/>
  <c r="Y7" i="9"/>
  <c r="Y8" i="9"/>
  <c r="Y9" i="9"/>
  <c r="Y10" i="9"/>
  <c r="Y11" i="9"/>
  <c r="Y12" i="9"/>
  <c r="Y13" i="9"/>
  <c r="Y14" i="9"/>
  <c r="Y15" i="9"/>
  <c r="Y16" i="9"/>
  <c r="Y17" i="9"/>
  <c r="Y18" i="9"/>
  <c r="Y19" i="9"/>
  <c r="Y20" i="9"/>
  <c r="Y21" i="9"/>
  <c r="Y2" i="9"/>
  <c r="C4" i="3"/>
  <c r="C3" i="3"/>
  <c r="E2" i="3"/>
  <c r="W3" i="3"/>
  <c r="W2" i="3"/>
  <c r="I6" i="1"/>
  <c r="I7" i="1"/>
  <c r="I8" i="1"/>
  <c r="I9" i="1"/>
  <c r="I10" i="1"/>
  <c r="I11" i="1"/>
  <c r="I12" i="1"/>
  <c r="I13" i="1"/>
  <c r="I14" i="1"/>
  <c r="I15" i="1"/>
  <c r="I16" i="1"/>
  <c r="I5" i="1"/>
  <c r="I4" i="1"/>
  <c r="I3" i="1"/>
  <c r="F2" i="1"/>
  <c r="D2" i="1"/>
  <c r="X2" i="9"/>
  <c r="W2" i="9"/>
  <c r="W3" i="9"/>
  <c r="X3" i="9"/>
  <c r="C3" i="9"/>
  <c r="C4" i="9"/>
  <c r="C5" i="9" s="1"/>
  <c r="C6" i="9" s="1"/>
  <c r="C7" i="9" s="1"/>
  <c r="C8" i="9" s="1"/>
  <c r="C9" i="9" s="1"/>
  <c r="C10" i="9" s="1"/>
  <c r="C11" i="9" s="1"/>
  <c r="C12" i="9" s="1"/>
  <c r="C13" i="9" s="1"/>
  <c r="C14" i="9" s="1"/>
  <c r="C15" i="9" s="1"/>
  <c r="C16" i="9" s="1"/>
  <c r="C17" i="9" s="1"/>
  <c r="C18" i="9" s="1"/>
  <c r="C19" i="9" s="1"/>
  <c r="C20" i="9" s="1"/>
  <c r="C21" i="9" s="1"/>
  <c r="D3" i="9"/>
  <c r="H2" i="1"/>
  <c r="H3" i="1"/>
  <c r="P4" i="1"/>
  <c r="F8" i="1"/>
  <c r="C3" i="1"/>
  <c r="L3" i="1" s="1"/>
  <c r="AB2" i="9"/>
  <c r="D17" i="8"/>
  <c r="D16" i="8"/>
  <c r="D15" i="8"/>
  <c r="D14" i="8"/>
  <c r="D13" i="8"/>
  <c r="D12" i="8"/>
  <c r="D11" i="8"/>
  <c r="D10" i="8"/>
  <c r="D9" i="8"/>
  <c r="D8" i="8"/>
  <c r="D7" i="8"/>
  <c r="D6" i="8"/>
  <c r="D5" i="8"/>
  <c r="D4" i="8"/>
  <c r="D3" i="8"/>
  <c r="D2" i="8"/>
  <c r="K3" i="5"/>
  <c r="K2" i="5"/>
  <c r="M2" i="5" s="1"/>
  <c r="K13" i="5"/>
  <c r="K5" i="5"/>
  <c r="K6" i="5"/>
  <c r="K7" i="5"/>
  <c r="K8" i="5"/>
  <c r="K9" i="5"/>
  <c r="K10" i="5"/>
  <c r="K11" i="5"/>
  <c r="K12" i="5"/>
  <c r="K4" i="5"/>
  <c r="B13" i="4"/>
  <c r="F2" i="9"/>
  <c r="H2" i="9"/>
  <c r="I2" i="9"/>
  <c r="M2" i="9"/>
  <c r="P2" i="9"/>
  <c r="J2" i="9" s="1"/>
  <c r="F3" i="9"/>
  <c r="I3" i="9"/>
  <c r="L3" i="9"/>
  <c r="P3" i="9"/>
  <c r="G3" i="9" s="1"/>
  <c r="H3" i="9" s="1"/>
  <c r="AB3" i="9" s="1"/>
  <c r="F4" i="9"/>
  <c r="F5" i="9" s="1"/>
  <c r="F6" i="9" s="1"/>
  <c r="F7" i="9" s="1"/>
  <c r="J4" i="9"/>
  <c r="F8" i="9"/>
  <c r="F9" i="9" s="1"/>
  <c r="F10" i="9" s="1"/>
  <c r="F11" i="9" s="1"/>
  <c r="F12" i="9" s="1"/>
  <c r="F13" i="9" s="1"/>
  <c r="F14" i="9" s="1"/>
  <c r="F15" i="9" s="1"/>
  <c r="F16" i="9" s="1"/>
  <c r="F17" i="9" s="1"/>
  <c r="F18" i="9" s="1"/>
  <c r="F19" i="9" s="1"/>
  <c r="F20" i="9" s="1"/>
  <c r="F21" i="9" s="1"/>
  <c r="AB3" i="1"/>
  <c r="P4" i="3"/>
  <c r="J4" i="3" s="1"/>
  <c r="D2" i="9"/>
  <c r="E2" i="9" s="1"/>
  <c r="F8" i="3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P3" i="3"/>
  <c r="J3" i="3" s="1"/>
  <c r="I3" i="3"/>
  <c r="F3" i="3"/>
  <c r="F4" i="3" s="1"/>
  <c r="F5" i="3" s="1"/>
  <c r="F6" i="3" s="1"/>
  <c r="F7" i="3" s="1"/>
  <c r="P2" i="3"/>
  <c r="J2" i="3" s="1"/>
  <c r="M2" i="3"/>
  <c r="I2" i="3"/>
  <c r="H2" i="3"/>
  <c r="AB2" i="3" s="1"/>
  <c r="F2" i="3"/>
  <c r="D2" i="3"/>
  <c r="F3" i="1"/>
  <c r="I2" i="1"/>
  <c r="J4" i="1"/>
  <c r="P3" i="1"/>
  <c r="G3" i="1" s="1"/>
  <c r="P2" i="1"/>
  <c r="J2" i="1" s="1"/>
  <c r="M2" i="1"/>
  <c r="F9" i="1"/>
  <c r="F10" i="1" s="1"/>
  <c r="AB2" i="1"/>
  <c r="B3" i="7"/>
  <c r="B4" i="7" s="1"/>
  <c r="B7" i="7" s="1"/>
  <c r="L10" i="5"/>
  <c r="S13" i="5" l="1"/>
  <c r="S9" i="5"/>
  <c r="S4" i="5"/>
  <c r="S8" i="5"/>
  <c r="S10" i="5"/>
  <c r="S11" i="5"/>
  <c r="S12" i="5"/>
  <c r="S5" i="5"/>
  <c r="S3" i="5"/>
  <c r="U2" i="9"/>
  <c r="AH2" i="9" s="1"/>
  <c r="L4" i="9"/>
  <c r="Q2" i="1"/>
  <c r="C4" i="1"/>
  <c r="W3" i="1"/>
  <c r="D3" i="1"/>
  <c r="AH2" i="1"/>
  <c r="W4" i="9"/>
  <c r="Z2" i="9"/>
  <c r="L4" i="5"/>
  <c r="M4" i="5" s="1"/>
  <c r="C4" i="5"/>
  <c r="Q2" i="9"/>
  <c r="T2" i="9" s="1"/>
  <c r="V2" i="9" s="1"/>
  <c r="AI2" i="9" s="1"/>
  <c r="AC2" i="9"/>
  <c r="AF2" i="9" s="1"/>
  <c r="L11" i="5"/>
  <c r="L5" i="9"/>
  <c r="W5" i="9"/>
  <c r="AA2" i="9"/>
  <c r="L5" i="5"/>
  <c r="M5" i="5" s="1"/>
  <c r="C5" i="5"/>
  <c r="L3" i="5"/>
  <c r="M3" i="5" s="1"/>
  <c r="L6" i="5"/>
  <c r="M6" i="5" s="1"/>
  <c r="C6" i="5"/>
  <c r="C13" i="5"/>
  <c r="L7" i="5"/>
  <c r="M7" i="5" s="1"/>
  <c r="C7" i="5"/>
  <c r="C12" i="5"/>
  <c r="L12" i="5"/>
  <c r="M12" i="5" s="1"/>
  <c r="L13" i="5"/>
  <c r="M13" i="5" s="1"/>
  <c r="Z2" i="3"/>
  <c r="AA2" i="3"/>
  <c r="U2" i="3"/>
  <c r="AC2" i="3"/>
  <c r="C11" i="5"/>
  <c r="L8" i="5"/>
  <c r="L9" i="5"/>
  <c r="M9" i="5" s="1"/>
  <c r="C9" i="5"/>
  <c r="C10" i="5"/>
  <c r="AA2" i="1"/>
  <c r="C8" i="5"/>
  <c r="J3" i="9"/>
  <c r="G9" i="8"/>
  <c r="E2" i="8"/>
  <c r="E4" i="8"/>
  <c r="E6" i="8"/>
  <c r="E8" i="8"/>
  <c r="E10" i="8"/>
  <c r="E12" i="8"/>
  <c r="E14" i="8"/>
  <c r="E16" i="8"/>
  <c r="G2" i="8"/>
  <c r="G6" i="8"/>
  <c r="G8" i="8"/>
  <c r="E3" i="8"/>
  <c r="E5" i="8"/>
  <c r="E7" i="8"/>
  <c r="E9" i="8"/>
  <c r="E11" i="8"/>
  <c r="E13" i="8"/>
  <c r="E15" i="8"/>
  <c r="E17" i="8"/>
  <c r="M10" i="5"/>
  <c r="D4" i="9"/>
  <c r="D4" i="3"/>
  <c r="E4" i="3" s="1"/>
  <c r="Q2" i="3"/>
  <c r="D3" i="3"/>
  <c r="G3" i="3"/>
  <c r="H3" i="3" s="1"/>
  <c r="AB3" i="3" s="1"/>
  <c r="W4" i="3"/>
  <c r="L3" i="3"/>
  <c r="F4" i="1"/>
  <c r="F5" i="1" s="1"/>
  <c r="F6" i="1" s="1"/>
  <c r="F7" i="1" s="1"/>
  <c r="F11" i="1"/>
  <c r="J3" i="1"/>
  <c r="B6" i="7"/>
  <c r="M11" i="5" l="1"/>
  <c r="M8" i="5"/>
  <c r="AA3" i="3"/>
  <c r="E3" i="3"/>
  <c r="AH2" i="3"/>
  <c r="T2" i="3"/>
  <c r="C5" i="3"/>
  <c r="C6" i="3" s="1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L4" i="3"/>
  <c r="V2" i="1"/>
  <c r="AI2" i="1" s="1"/>
  <c r="AG2" i="1"/>
  <c r="K3" i="1"/>
  <c r="M3" i="1" s="1"/>
  <c r="E3" i="1"/>
  <c r="X3" i="1" s="1"/>
  <c r="AG3" i="1" s="1"/>
  <c r="AA3" i="1"/>
  <c r="C5" i="1"/>
  <c r="C6" i="1" s="1"/>
  <c r="L4" i="1"/>
  <c r="U3" i="1"/>
  <c r="AC3" i="1" s="1"/>
  <c r="AF3" i="1" s="1"/>
  <c r="W4" i="1"/>
  <c r="E3" i="9"/>
  <c r="AA3" i="9"/>
  <c r="Z3" i="9"/>
  <c r="E4" i="9"/>
  <c r="AK2" i="9"/>
  <c r="AJ2" i="9"/>
  <c r="F15" i="8"/>
  <c r="P15" i="8"/>
  <c r="F2" i="8"/>
  <c r="P2" i="8"/>
  <c r="F11" i="8"/>
  <c r="P11" i="8"/>
  <c r="F17" i="8"/>
  <c r="P17" i="8" s="1"/>
  <c r="F6" i="8"/>
  <c r="P6" i="8"/>
  <c r="AC2" i="1"/>
  <c r="AF2" i="1" s="1"/>
  <c r="Q4" i="9"/>
  <c r="K4" i="9"/>
  <c r="M4" i="9" s="1"/>
  <c r="N4" i="9" s="1"/>
  <c r="Z4" i="9"/>
  <c r="U4" i="9"/>
  <c r="AA4" i="9"/>
  <c r="F16" i="8"/>
  <c r="H16" i="8" s="1"/>
  <c r="G15" i="8"/>
  <c r="F7" i="8"/>
  <c r="H7" i="8" s="1"/>
  <c r="F12" i="8"/>
  <c r="J12" i="8" s="1"/>
  <c r="K12" i="8" s="1"/>
  <c r="P12" i="8"/>
  <c r="G7" i="8"/>
  <c r="F14" i="8"/>
  <c r="H14" i="8" s="1"/>
  <c r="F5" i="8"/>
  <c r="J5" i="8" s="1"/>
  <c r="K5" i="8" s="1"/>
  <c r="P5" i="8"/>
  <c r="F10" i="8"/>
  <c r="H10" i="8" s="1"/>
  <c r="P10" i="8"/>
  <c r="G5" i="8"/>
  <c r="AA4" i="3"/>
  <c r="Z4" i="3"/>
  <c r="F4" i="8"/>
  <c r="H4" i="8" s="1"/>
  <c r="P4" i="8"/>
  <c r="K3" i="9"/>
  <c r="M3" i="9" s="1"/>
  <c r="N3" i="9" s="1"/>
  <c r="R3" i="9" s="1"/>
  <c r="S3" i="9" s="1"/>
  <c r="Q3" i="9"/>
  <c r="U3" i="9"/>
  <c r="AC3" i="9" s="1"/>
  <c r="F13" i="8"/>
  <c r="H13" i="8" s="1"/>
  <c r="P13" i="8"/>
  <c r="F9" i="8"/>
  <c r="P9" i="8"/>
  <c r="W6" i="9"/>
  <c r="L6" i="9"/>
  <c r="Z3" i="3"/>
  <c r="F3" i="8"/>
  <c r="P3" i="8"/>
  <c r="F8" i="8"/>
  <c r="J8" i="8" s="1"/>
  <c r="K8" i="8" s="1"/>
  <c r="H17" i="8"/>
  <c r="J17" i="8"/>
  <c r="K17" i="8" s="1"/>
  <c r="J16" i="8"/>
  <c r="K16" i="8" s="1"/>
  <c r="J15" i="8"/>
  <c r="K15" i="8" s="1"/>
  <c r="H15" i="8"/>
  <c r="J14" i="8"/>
  <c r="K14" i="8" s="1"/>
  <c r="G17" i="8"/>
  <c r="I17" i="8" s="1"/>
  <c r="H12" i="8"/>
  <c r="J13" i="8"/>
  <c r="K13" i="8" s="1"/>
  <c r="H11" i="8"/>
  <c r="J11" i="8"/>
  <c r="K11" i="8" s="1"/>
  <c r="G14" i="8"/>
  <c r="J10" i="8"/>
  <c r="K10" i="8" s="1"/>
  <c r="J9" i="8"/>
  <c r="K9" i="8" s="1"/>
  <c r="H9" i="8"/>
  <c r="I9" i="8" s="1"/>
  <c r="H8" i="8"/>
  <c r="I8" i="8" s="1"/>
  <c r="G11" i="8"/>
  <c r="G12" i="8"/>
  <c r="G4" i="8"/>
  <c r="J6" i="8"/>
  <c r="K6" i="8" s="1"/>
  <c r="H6" i="8"/>
  <c r="I6" i="8" s="1"/>
  <c r="J7" i="8"/>
  <c r="K7" i="8" s="1"/>
  <c r="G3" i="8"/>
  <c r="I3" i="8" s="1"/>
  <c r="I15" i="8"/>
  <c r="G16" i="8"/>
  <c r="J4" i="8"/>
  <c r="K4" i="8" s="1"/>
  <c r="H3" i="8"/>
  <c r="J3" i="8"/>
  <c r="K3" i="8" s="1"/>
  <c r="G10" i="8"/>
  <c r="I10" i="8" s="1"/>
  <c r="I2" i="8"/>
  <c r="J2" i="8"/>
  <c r="K2" i="8" s="1"/>
  <c r="H2" i="8"/>
  <c r="G13" i="8"/>
  <c r="I13" i="8" s="1"/>
  <c r="Q4" i="3"/>
  <c r="D5" i="9"/>
  <c r="U4" i="3"/>
  <c r="K4" i="3"/>
  <c r="M4" i="3" s="1"/>
  <c r="N4" i="3" s="1"/>
  <c r="O4" i="3" s="1"/>
  <c r="Q3" i="3"/>
  <c r="K3" i="3"/>
  <c r="M3" i="3" s="1"/>
  <c r="N3" i="3" s="1"/>
  <c r="R3" i="3" s="1"/>
  <c r="S3" i="3" s="1"/>
  <c r="U3" i="3"/>
  <c r="N3" i="1"/>
  <c r="R3" i="1" s="1"/>
  <c r="S3" i="1" s="1"/>
  <c r="Z3" i="1"/>
  <c r="Q3" i="1"/>
  <c r="D4" i="1"/>
  <c r="E4" i="1" s="1"/>
  <c r="F12" i="1"/>
  <c r="W5" i="3" l="1"/>
  <c r="D5" i="3"/>
  <c r="E5" i="3" s="1"/>
  <c r="AC4" i="3"/>
  <c r="AH4" i="3"/>
  <c r="T3" i="3"/>
  <c r="X3" i="3" s="1"/>
  <c r="L5" i="3"/>
  <c r="AC3" i="3"/>
  <c r="AH3" i="3"/>
  <c r="V2" i="3"/>
  <c r="X2" i="3"/>
  <c r="AE2" i="1"/>
  <c r="AH3" i="1"/>
  <c r="T3" i="9"/>
  <c r="AG3" i="9" s="1"/>
  <c r="C7" i="1"/>
  <c r="C8" i="1" s="1"/>
  <c r="C9" i="1" s="1"/>
  <c r="C10" i="1" s="1"/>
  <c r="C11" i="1" s="1"/>
  <c r="C12" i="1" s="1"/>
  <c r="AJ2" i="1"/>
  <c r="AK2" i="1"/>
  <c r="K4" i="1"/>
  <c r="M4" i="1" s="1"/>
  <c r="N4" i="1" s="1"/>
  <c r="AF3" i="9"/>
  <c r="AH3" i="9"/>
  <c r="AC4" i="9"/>
  <c r="AF4" i="9" s="1"/>
  <c r="AH4" i="9"/>
  <c r="E5" i="9"/>
  <c r="AG2" i="9"/>
  <c r="AD2" i="9"/>
  <c r="AE2" i="9" s="1"/>
  <c r="I12" i="8"/>
  <c r="I16" i="8"/>
  <c r="P8" i="8"/>
  <c r="I7" i="8"/>
  <c r="P16" i="8"/>
  <c r="AA5" i="3"/>
  <c r="Z5" i="3"/>
  <c r="L7" i="9"/>
  <c r="W7" i="9"/>
  <c r="P14" i="8"/>
  <c r="P7" i="8"/>
  <c r="H5" i="8"/>
  <c r="I5" i="8" s="1"/>
  <c r="Z5" i="9"/>
  <c r="AA5" i="9"/>
  <c r="Q5" i="9"/>
  <c r="U5" i="9"/>
  <c r="K5" i="9"/>
  <c r="M5" i="9" s="1"/>
  <c r="V3" i="9"/>
  <c r="AD3" i="9" s="1"/>
  <c r="AA4" i="1"/>
  <c r="I4" i="8"/>
  <c r="I14" i="8"/>
  <c r="R4" i="9"/>
  <c r="S4" i="9" s="1"/>
  <c r="O4" i="9"/>
  <c r="M13" i="8"/>
  <c r="Q13" i="8" s="1"/>
  <c r="L13" i="8"/>
  <c r="L4" i="8"/>
  <c r="M4" i="8"/>
  <c r="Q4" i="8" s="1"/>
  <c r="L12" i="8"/>
  <c r="M12" i="8"/>
  <c r="Q12" i="8" s="1"/>
  <c r="M16" i="8"/>
  <c r="Q16" i="8" s="1"/>
  <c r="L16" i="8"/>
  <c r="M11" i="8"/>
  <c r="Q11" i="8" s="1"/>
  <c r="L11" i="8"/>
  <c r="M14" i="8"/>
  <c r="Q14" i="8" s="1"/>
  <c r="L14" i="8"/>
  <c r="M15" i="8"/>
  <c r="Q15" i="8" s="1"/>
  <c r="L15" i="8"/>
  <c r="M17" i="8"/>
  <c r="Q17" i="8" s="1"/>
  <c r="L17" i="8"/>
  <c r="L2" i="8"/>
  <c r="M2" i="8"/>
  <c r="I11" i="8"/>
  <c r="M3" i="8"/>
  <c r="Q3" i="8" s="1"/>
  <c r="L3" i="8"/>
  <c r="L8" i="8"/>
  <c r="M8" i="8"/>
  <c r="M7" i="8"/>
  <c r="Q7" i="8" s="1"/>
  <c r="L7" i="8"/>
  <c r="M5" i="8"/>
  <c r="Q5" i="8" s="1"/>
  <c r="L5" i="8"/>
  <c r="M9" i="8"/>
  <c r="Q9" i="8" s="1"/>
  <c r="L9" i="8"/>
  <c r="M6" i="8"/>
  <c r="Q6" i="8" s="1"/>
  <c r="L6" i="8"/>
  <c r="L10" i="8"/>
  <c r="M10" i="8"/>
  <c r="Q10" i="8" s="1"/>
  <c r="D6" i="9"/>
  <c r="R4" i="3"/>
  <c r="S4" i="3" s="1"/>
  <c r="G4" i="3"/>
  <c r="H4" i="3" s="1"/>
  <c r="AB4" i="3" s="1"/>
  <c r="I4" i="3"/>
  <c r="W6" i="3"/>
  <c r="D6" i="3"/>
  <c r="E6" i="3" s="1"/>
  <c r="L6" i="3"/>
  <c r="U5" i="3"/>
  <c r="K5" i="3"/>
  <c r="M5" i="3" s="1"/>
  <c r="Q5" i="3"/>
  <c r="L5" i="1"/>
  <c r="W5" i="1"/>
  <c r="Q4" i="1"/>
  <c r="Z4" i="1"/>
  <c r="U4" i="1"/>
  <c r="AH4" i="1" s="1"/>
  <c r="F13" i="1"/>
  <c r="W6" i="1"/>
  <c r="D5" i="1"/>
  <c r="V3" i="3" l="1"/>
  <c r="T4" i="3"/>
  <c r="X4" i="3" s="1"/>
  <c r="N5" i="3"/>
  <c r="AI3" i="3"/>
  <c r="AD3" i="3"/>
  <c r="AC5" i="3"/>
  <c r="AH5" i="3"/>
  <c r="AD2" i="3"/>
  <c r="AI2" i="3"/>
  <c r="AC4" i="1"/>
  <c r="AF4" i="1" s="1"/>
  <c r="C13" i="1"/>
  <c r="C14" i="1" s="1"/>
  <c r="C15" i="1" s="1"/>
  <c r="C16" i="1" s="1"/>
  <c r="C17" i="1" s="1"/>
  <c r="C18" i="1" s="1"/>
  <c r="C19" i="1" s="1"/>
  <c r="C20" i="1" s="1"/>
  <c r="C21" i="1" s="1"/>
  <c r="R4" i="1"/>
  <c r="S4" i="1" s="1"/>
  <c r="O4" i="1"/>
  <c r="E5" i="1"/>
  <c r="K5" i="1"/>
  <c r="M5" i="1" s="1"/>
  <c r="E6" i="9"/>
  <c r="AC5" i="9"/>
  <c r="AF5" i="9" s="1"/>
  <c r="AH5" i="9"/>
  <c r="AE3" i="9"/>
  <c r="AI3" i="9"/>
  <c r="N5" i="9"/>
  <c r="G4" i="9"/>
  <c r="H4" i="9" s="1"/>
  <c r="I4" i="9"/>
  <c r="L8" i="9"/>
  <c r="W8" i="9"/>
  <c r="N8" i="8"/>
  <c r="O8" i="8" s="1"/>
  <c r="Q8" i="8"/>
  <c r="N2" i="8"/>
  <c r="O2" i="8" s="1"/>
  <c r="Q2" i="8"/>
  <c r="AA5" i="1"/>
  <c r="Z6" i="3"/>
  <c r="AA6" i="3"/>
  <c r="U6" i="9"/>
  <c r="AH6" i="9" s="1"/>
  <c r="AA6" i="9"/>
  <c r="K6" i="9"/>
  <c r="M6" i="9" s="1"/>
  <c r="Z6" i="9"/>
  <c r="Q6" i="9"/>
  <c r="N7" i="8"/>
  <c r="O7" i="8" s="1"/>
  <c r="N6" i="8"/>
  <c r="O6" i="8" s="1"/>
  <c r="N13" i="8"/>
  <c r="O13" i="8" s="1"/>
  <c r="N12" i="8"/>
  <c r="O12" i="8" s="1"/>
  <c r="N17" i="8"/>
  <c r="O17" i="8" s="1"/>
  <c r="N15" i="8"/>
  <c r="O15" i="8" s="1"/>
  <c r="N16" i="8"/>
  <c r="O16" i="8" s="1"/>
  <c r="N9" i="8"/>
  <c r="O9" i="8" s="1"/>
  <c r="N10" i="8"/>
  <c r="O10" i="8" s="1"/>
  <c r="N3" i="8"/>
  <c r="O3" i="8" s="1"/>
  <c r="N4" i="8"/>
  <c r="O4" i="8" s="1"/>
  <c r="N14" i="8"/>
  <c r="O14" i="8" s="1"/>
  <c r="N5" i="8"/>
  <c r="O5" i="8" s="1"/>
  <c r="N11" i="8"/>
  <c r="O11" i="8" s="1"/>
  <c r="D7" i="9"/>
  <c r="O5" i="3"/>
  <c r="R5" i="3"/>
  <c r="S5" i="3" s="1"/>
  <c r="Q6" i="3"/>
  <c r="U6" i="3"/>
  <c r="K6" i="3"/>
  <c r="M6" i="3" s="1"/>
  <c r="W7" i="3"/>
  <c r="D7" i="3"/>
  <c r="E7" i="3" s="1"/>
  <c r="L7" i="3"/>
  <c r="L6" i="1"/>
  <c r="D6" i="1"/>
  <c r="W7" i="1"/>
  <c r="F14" i="1"/>
  <c r="Z5" i="1"/>
  <c r="Q5" i="1"/>
  <c r="U5" i="1"/>
  <c r="V3" i="1"/>
  <c r="Y3" i="1" s="1"/>
  <c r="AK3" i="3" l="1"/>
  <c r="AJ3" i="3"/>
  <c r="AJ2" i="3"/>
  <c r="AK2" i="3"/>
  <c r="AC6" i="3"/>
  <c r="AH6" i="3"/>
  <c r="T4" i="9"/>
  <c r="X4" i="9" s="1"/>
  <c r="AC6" i="9"/>
  <c r="AF6" i="9" s="1"/>
  <c r="K6" i="1"/>
  <c r="E6" i="1"/>
  <c r="AC5" i="1"/>
  <c r="AF5" i="1" s="1"/>
  <c r="AH5" i="1"/>
  <c r="E7" i="9"/>
  <c r="AK3" i="9"/>
  <c r="AJ3" i="9"/>
  <c r="AD3" i="1"/>
  <c r="AE3" i="1" s="1"/>
  <c r="AI3" i="1"/>
  <c r="AA6" i="1"/>
  <c r="L9" i="9"/>
  <c r="W9" i="9"/>
  <c r="AB4" i="9"/>
  <c r="Z7" i="3"/>
  <c r="AA7" i="3"/>
  <c r="Q7" i="9"/>
  <c r="U7" i="9"/>
  <c r="AH7" i="9" s="1"/>
  <c r="Z7" i="9"/>
  <c r="K7" i="9"/>
  <c r="M7" i="9" s="1"/>
  <c r="AA7" i="9"/>
  <c r="O5" i="9"/>
  <c r="R5" i="9"/>
  <c r="S5" i="9" s="1"/>
  <c r="N6" i="3"/>
  <c r="R6" i="3" s="1"/>
  <c r="S6" i="3" s="1"/>
  <c r="D8" i="9"/>
  <c r="L8" i="3"/>
  <c r="D8" i="3"/>
  <c r="E8" i="3" s="1"/>
  <c r="W8" i="3"/>
  <c r="U7" i="3"/>
  <c r="K7" i="3"/>
  <c r="M7" i="3" s="1"/>
  <c r="Q7" i="3"/>
  <c r="V4" i="3"/>
  <c r="P5" i="3"/>
  <c r="J5" i="3" s="1"/>
  <c r="I5" i="3"/>
  <c r="F15" i="1"/>
  <c r="W8" i="1"/>
  <c r="D7" i="1"/>
  <c r="L7" i="1"/>
  <c r="Z6" i="1"/>
  <c r="Q6" i="1"/>
  <c r="U6" i="1"/>
  <c r="M6" i="1"/>
  <c r="G4" i="1"/>
  <c r="O6" i="3" l="1"/>
  <c r="AI4" i="3"/>
  <c r="AC7" i="3"/>
  <c r="AH7" i="3"/>
  <c r="E7" i="1"/>
  <c r="AC7" i="9"/>
  <c r="AF7" i="9" s="1"/>
  <c r="AC6" i="1"/>
  <c r="AF6" i="1" s="1"/>
  <c r="AH6" i="1"/>
  <c r="E8" i="9"/>
  <c r="AK3" i="1"/>
  <c r="AJ3" i="1"/>
  <c r="I5" i="9"/>
  <c r="P5" i="9"/>
  <c r="J5" i="9" s="1"/>
  <c r="N6" i="9"/>
  <c r="W10" i="9"/>
  <c r="L10" i="9"/>
  <c r="Z8" i="3"/>
  <c r="AA8" i="3"/>
  <c r="V4" i="9"/>
  <c r="Y4" i="9" s="1"/>
  <c r="AA7" i="1"/>
  <c r="K8" i="9"/>
  <c r="M8" i="9" s="1"/>
  <c r="AA8" i="9"/>
  <c r="Q8" i="9"/>
  <c r="U8" i="9"/>
  <c r="AH8" i="9" s="1"/>
  <c r="Z8" i="9"/>
  <c r="AD4" i="3"/>
  <c r="D9" i="9"/>
  <c r="N7" i="3"/>
  <c r="O7" i="3" s="1"/>
  <c r="K8" i="3"/>
  <c r="M8" i="3" s="1"/>
  <c r="U8" i="3"/>
  <c r="Q8" i="3"/>
  <c r="I6" i="3"/>
  <c r="P6" i="3"/>
  <c r="J6" i="3" s="1"/>
  <c r="P7" i="3"/>
  <c r="J7" i="3" s="1"/>
  <c r="W9" i="3"/>
  <c r="L9" i="3"/>
  <c r="D9" i="3"/>
  <c r="E9" i="3" s="1"/>
  <c r="G5" i="3"/>
  <c r="H5" i="3" s="1"/>
  <c r="K7" i="1"/>
  <c r="M7" i="1" s="1"/>
  <c r="H4" i="1"/>
  <c r="U7" i="1"/>
  <c r="Z7" i="1"/>
  <c r="Q7" i="1"/>
  <c r="W9" i="1"/>
  <c r="D8" i="1"/>
  <c r="L8" i="1"/>
  <c r="F16" i="1"/>
  <c r="N5" i="1"/>
  <c r="R5" i="1" s="1"/>
  <c r="S5" i="1" s="1"/>
  <c r="AC8" i="3" l="1"/>
  <c r="AH8" i="3"/>
  <c r="AK4" i="3"/>
  <c r="AJ4" i="3"/>
  <c r="E8" i="1"/>
  <c r="AC7" i="1"/>
  <c r="AF7" i="1" s="1"/>
  <c r="AH7" i="1"/>
  <c r="E9" i="9"/>
  <c r="AC8" i="9"/>
  <c r="AF8" i="9" s="1"/>
  <c r="AI4" i="9"/>
  <c r="AD4" i="9"/>
  <c r="AE4" i="9" s="1"/>
  <c r="AB4" i="1"/>
  <c r="X4" i="1"/>
  <c r="AG4" i="1" s="1"/>
  <c r="AA8" i="1"/>
  <c r="Z9" i="9"/>
  <c r="AA9" i="9"/>
  <c r="K9" i="9"/>
  <c r="M9" i="9" s="1"/>
  <c r="U9" i="9"/>
  <c r="AH9" i="9" s="1"/>
  <c r="Q9" i="9"/>
  <c r="AG4" i="9"/>
  <c r="R6" i="9"/>
  <c r="S6" i="9" s="1"/>
  <c r="O6" i="9"/>
  <c r="AB5" i="3"/>
  <c r="T5" i="3"/>
  <c r="L11" i="9"/>
  <c r="W11" i="9"/>
  <c r="R7" i="3"/>
  <c r="S7" i="3" s="1"/>
  <c r="G5" i="9"/>
  <c r="H5" i="9" s="1"/>
  <c r="T5" i="9" s="1"/>
  <c r="Z9" i="3"/>
  <c r="AA9" i="3"/>
  <c r="D10" i="9"/>
  <c r="G6" i="3"/>
  <c r="H6" i="3" s="1"/>
  <c r="N8" i="3"/>
  <c r="O8" i="3" s="1"/>
  <c r="Q9" i="3"/>
  <c r="K9" i="3"/>
  <c r="M9" i="3" s="1"/>
  <c r="U9" i="3"/>
  <c r="AH9" i="3" s="1"/>
  <c r="L10" i="3"/>
  <c r="D10" i="3"/>
  <c r="E10" i="3" s="1"/>
  <c r="W10" i="3"/>
  <c r="G7" i="3"/>
  <c r="H7" i="3" s="1"/>
  <c r="I7" i="3"/>
  <c r="K8" i="1"/>
  <c r="M8" i="1" s="1"/>
  <c r="O5" i="1"/>
  <c r="N6" i="1" s="1"/>
  <c r="F17" i="1"/>
  <c r="U8" i="1"/>
  <c r="AH8" i="1" s="1"/>
  <c r="Q8" i="1"/>
  <c r="Z8" i="1"/>
  <c r="W10" i="1"/>
  <c r="L9" i="1"/>
  <c r="D9" i="1"/>
  <c r="V5" i="3" l="1"/>
  <c r="X5" i="3"/>
  <c r="AC9" i="3"/>
  <c r="E9" i="1"/>
  <c r="AC8" i="1"/>
  <c r="AF8" i="1" s="1"/>
  <c r="AC9" i="9"/>
  <c r="AF9" i="9" s="1"/>
  <c r="E10" i="9"/>
  <c r="AK4" i="9"/>
  <c r="AJ4" i="9"/>
  <c r="L12" i="9"/>
  <c r="W12" i="9"/>
  <c r="U10" i="9"/>
  <c r="AA10" i="9"/>
  <c r="K10" i="9"/>
  <c r="M10" i="9" s="1"/>
  <c r="Q10" i="9"/>
  <c r="Z10" i="9"/>
  <c r="AA10" i="3"/>
  <c r="Z10" i="3"/>
  <c r="V5" i="9"/>
  <c r="AB5" i="9"/>
  <c r="AB6" i="3"/>
  <c r="T6" i="3"/>
  <c r="X6" i="3" s="1"/>
  <c r="AA9" i="1"/>
  <c r="N7" i="9"/>
  <c r="P6" i="9"/>
  <c r="J6" i="9" s="1"/>
  <c r="I6" i="9"/>
  <c r="P7" i="9"/>
  <c r="J7" i="9" s="1"/>
  <c r="AB7" i="3"/>
  <c r="T7" i="3"/>
  <c r="X7" i="3" s="1"/>
  <c r="D11" i="9"/>
  <c r="R8" i="3"/>
  <c r="S8" i="3" s="1"/>
  <c r="N9" i="3"/>
  <c r="O9" i="3" s="1"/>
  <c r="U10" i="3"/>
  <c r="Q10" i="3"/>
  <c r="K10" i="3"/>
  <c r="M10" i="3" s="1"/>
  <c r="P8" i="3"/>
  <c r="J8" i="3" s="1"/>
  <c r="I8" i="3"/>
  <c r="D11" i="3"/>
  <c r="E11" i="3" s="1"/>
  <c r="L11" i="3"/>
  <c r="W11" i="3"/>
  <c r="K9" i="1"/>
  <c r="M9" i="1" s="1"/>
  <c r="P5" i="1"/>
  <c r="J5" i="1" s="1"/>
  <c r="U9" i="1"/>
  <c r="Z9" i="1"/>
  <c r="Q9" i="1"/>
  <c r="V4" i="1"/>
  <c r="Y4" i="1" s="1"/>
  <c r="W11" i="1"/>
  <c r="L10" i="1"/>
  <c r="D10" i="1"/>
  <c r="F18" i="1"/>
  <c r="R6" i="1"/>
  <c r="S6" i="1" s="1"/>
  <c r="O6" i="1"/>
  <c r="P7" i="1" s="1"/>
  <c r="AI5" i="3" l="1"/>
  <c r="Y5" i="3"/>
  <c r="AD5" i="3" s="1"/>
  <c r="AK5" i="3"/>
  <c r="AJ5" i="3"/>
  <c r="V6" i="3"/>
  <c r="Y6" i="3" s="1"/>
  <c r="AC10" i="3"/>
  <c r="AH10" i="3"/>
  <c r="E10" i="1"/>
  <c r="AC9" i="1"/>
  <c r="AF9" i="1" s="1"/>
  <c r="AH9" i="1"/>
  <c r="AI5" i="9"/>
  <c r="AC10" i="9"/>
  <c r="AF10" i="9" s="1"/>
  <c r="AH10" i="9"/>
  <c r="E11" i="9"/>
  <c r="AD4" i="1"/>
  <c r="AE4" i="1" s="1"/>
  <c r="AI4" i="1"/>
  <c r="O7" i="9"/>
  <c r="R7" i="9"/>
  <c r="S7" i="9" s="1"/>
  <c r="Q11" i="9"/>
  <c r="U11" i="9"/>
  <c r="K11" i="9"/>
  <c r="M11" i="9" s="1"/>
  <c r="Z11" i="9"/>
  <c r="AA11" i="9"/>
  <c r="G6" i="9"/>
  <c r="H6" i="9" s="1"/>
  <c r="T6" i="9" s="1"/>
  <c r="AA11" i="3"/>
  <c r="Z11" i="3"/>
  <c r="X5" i="9"/>
  <c r="AA10" i="1"/>
  <c r="L13" i="9"/>
  <c r="W13" i="9"/>
  <c r="D12" i="9"/>
  <c r="R9" i="3"/>
  <c r="S9" i="3" s="1"/>
  <c r="N10" i="3"/>
  <c r="O10" i="3" s="1"/>
  <c r="V7" i="3"/>
  <c r="Y7" i="3" s="1"/>
  <c r="K11" i="3"/>
  <c r="M11" i="3" s="1"/>
  <c r="Q11" i="3"/>
  <c r="U11" i="3"/>
  <c r="AH11" i="3" s="1"/>
  <c r="G8" i="3"/>
  <c r="H8" i="3" s="1"/>
  <c r="W12" i="3"/>
  <c r="L12" i="3"/>
  <c r="D12" i="3"/>
  <c r="E12" i="3" s="1"/>
  <c r="I9" i="3"/>
  <c r="P9" i="3"/>
  <c r="J9" i="3" s="1"/>
  <c r="P10" i="3"/>
  <c r="J10" i="3" s="1"/>
  <c r="G5" i="1"/>
  <c r="H5" i="1" s="1"/>
  <c r="K10" i="1"/>
  <c r="M10" i="1" s="1"/>
  <c r="Z10" i="1"/>
  <c r="Q10" i="1"/>
  <c r="U10" i="1"/>
  <c r="W12" i="1"/>
  <c r="L11" i="1"/>
  <c r="D11" i="1"/>
  <c r="N7" i="1"/>
  <c r="F19" i="1"/>
  <c r="P6" i="1"/>
  <c r="J6" i="1" s="1"/>
  <c r="J7" i="1"/>
  <c r="AI6" i="3" l="1"/>
  <c r="AD6" i="3"/>
  <c r="AI7" i="3"/>
  <c r="AC11" i="3"/>
  <c r="E11" i="1"/>
  <c r="AC10" i="1"/>
  <c r="AF10" i="1" s="1"/>
  <c r="AH10" i="1"/>
  <c r="AC11" i="9"/>
  <c r="AF11" i="9" s="1"/>
  <c r="AH11" i="9"/>
  <c r="E12" i="9"/>
  <c r="AK5" i="9"/>
  <c r="AJ5" i="9"/>
  <c r="AJ4" i="1"/>
  <c r="AK4" i="1"/>
  <c r="AA12" i="3"/>
  <c r="Z12" i="3"/>
  <c r="AB8" i="3"/>
  <c r="T8" i="3"/>
  <c r="AD5" i="9"/>
  <c r="AE5" i="9" s="1"/>
  <c r="AG5" i="9"/>
  <c r="AB6" i="9"/>
  <c r="AA11" i="1"/>
  <c r="AB5" i="1"/>
  <c r="V5" i="1"/>
  <c r="Y5" i="1" s="1"/>
  <c r="K12" i="9"/>
  <c r="M12" i="9" s="1"/>
  <c r="Q12" i="9"/>
  <c r="Z12" i="9"/>
  <c r="U12" i="9"/>
  <c r="AA12" i="9"/>
  <c r="W14" i="9"/>
  <c r="L14" i="9"/>
  <c r="N8" i="9"/>
  <c r="G7" i="9"/>
  <c r="H7" i="9" s="1"/>
  <c r="I7" i="9"/>
  <c r="AD7" i="3"/>
  <c r="R10" i="3"/>
  <c r="S10" i="3" s="1"/>
  <c r="D13" i="9"/>
  <c r="N11" i="3"/>
  <c r="O11" i="3" s="1"/>
  <c r="K12" i="3"/>
  <c r="M12" i="3" s="1"/>
  <c r="Q12" i="3"/>
  <c r="U12" i="3"/>
  <c r="V8" i="3"/>
  <c r="Y8" i="3" s="1"/>
  <c r="G9" i="3"/>
  <c r="H9" i="3" s="1"/>
  <c r="I10" i="3"/>
  <c r="G10" i="3"/>
  <c r="H10" i="3" s="1"/>
  <c r="L13" i="3"/>
  <c r="D13" i="3"/>
  <c r="E13" i="3" s="1"/>
  <c r="W13" i="3"/>
  <c r="K11" i="1"/>
  <c r="M11" i="1" s="1"/>
  <c r="G6" i="1"/>
  <c r="H6" i="1" s="1"/>
  <c r="X6" i="1" s="1"/>
  <c r="Z11" i="1"/>
  <c r="Q11" i="1"/>
  <c r="U11" i="1"/>
  <c r="W13" i="1"/>
  <c r="D12" i="1"/>
  <c r="L12" i="1"/>
  <c r="F20" i="1"/>
  <c r="R7" i="1"/>
  <c r="S7" i="1" s="1"/>
  <c r="O7" i="1"/>
  <c r="X8" i="3" l="1"/>
  <c r="AC12" i="3"/>
  <c r="AH12" i="3"/>
  <c r="AI8" i="3"/>
  <c r="AK7" i="3"/>
  <c r="AJ7" i="3"/>
  <c r="AK6" i="3"/>
  <c r="AJ6" i="3"/>
  <c r="T7" i="9"/>
  <c r="E12" i="1"/>
  <c r="AI5" i="1"/>
  <c r="AK5" i="1" s="1"/>
  <c r="G7" i="1"/>
  <c r="N8" i="1"/>
  <c r="R8" i="1" s="1"/>
  <c r="S8" i="1" s="1"/>
  <c r="AC11" i="1"/>
  <c r="AF11" i="1" s="1"/>
  <c r="AH11" i="1"/>
  <c r="AC12" i="9"/>
  <c r="AF12" i="9" s="1"/>
  <c r="AH12" i="9"/>
  <c r="E13" i="9"/>
  <c r="AJ5" i="1"/>
  <c r="AB10" i="3"/>
  <c r="T10" i="3"/>
  <c r="X10" i="3" s="1"/>
  <c r="AB6" i="1"/>
  <c r="V6" i="1"/>
  <c r="Y6" i="1" s="1"/>
  <c r="AA13" i="9"/>
  <c r="Q13" i="9"/>
  <c r="Z13" i="9"/>
  <c r="U13" i="9"/>
  <c r="AH13" i="9" s="1"/>
  <c r="K13" i="9"/>
  <c r="M13" i="9" s="1"/>
  <c r="AA12" i="1"/>
  <c r="AB9" i="3"/>
  <c r="T9" i="3"/>
  <c r="X9" i="3" s="1"/>
  <c r="O8" i="9"/>
  <c r="R8" i="9"/>
  <c r="S8" i="9" s="1"/>
  <c r="X5" i="1"/>
  <c r="Z13" i="3"/>
  <c r="AA13" i="3"/>
  <c r="W15" i="9"/>
  <c r="L15" i="9"/>
  <c r="X7" i="9"/>
  <c r="AB7" i="9"/>
  <c r="X6" i="9"/>
  <c r="V6" i="9"/>
  <c r="R11" i="3"/>
  <c r="S11" i="3" s="1"/>
  <c r="D14" i="9"/>
  <c r="N12" i="3"/>
  <c r="R12" i="3" s="1"/>
  <c r="S12" i="3" s="1"/>
  <c r="U13" i="3"/>
  <c r="AH13" i="3" s="1"/>
  <c r="K13" i="3"/>
  <c r="M13" i="3" s="1"/>
  <c r="Q13" i="3"/>
  <c r="L14" i="3"/>
  <c r="W14" i="3"/>
  <c r="D14" i="3"/>
  <c r="E14" i="3" s="1"/>
  <c r="I11" i="3"/>
  <c r="P11" i="3"/>
  <c r="J11" i="3" s="1"/>
  <c r="K12" i="1"/>
  <c r="M12" i="1" s="1"/>
  <c r="F21" i="1"/>
  <c r="Z12" i="1"/>
  <c r="Q12" i="1"/>
  <c r="U12" i="1"/>
  <c r="AH12" i="1" s="1"/>
  <c r="W14" i="1"/>
  <c r="D13" i="1"/>
  <c r="L13" i="1"/>
  <c r="H7" i="1"/>
  <c r="X7" i="1" s="1"/>
  <c r="AD8" i="3" l="1"/>
  <c r="V9" i="3"/>
  <c r="Y9" i="3" s="1"/>
  <c r="AK8" i="3"/>
  <c r="AJ8" i="3"/>
  <c r="AC13" i="3"/>
  <c r="E13" i="1"/>
  <c r="AC12" i="1"/>
  <c r="AF12" i="1" s="1"/>
  <c r="AC13" i="9"/>
  <c r="AF13" i="9" s="1"/>
  <c r="E14" i="9"/>
  <c r="AI6" i="1"/>
  <c r="AI6" i="9"/>
  <c r="P8" i="9"/>
  <c r="J8" i="9" s="1"/>
  <c r="I8" i="9"/>
  <c r="N9" i="9"/>
  <c r="AG6" i="1"/>
  <c r="Z14" i="3"/>
  <c r="AA14" i="3"/>
  <c r="W16" i="9"/>
  <c r="L16" i="9"/>
  <c r="AG6" i="9"/>
  <c r="AD6" i="9"/>
  <c r="AE6" i="9" s="1"/>
  <c r="V7" i="9"/>
  <c r="AD5" i="1"/>
  <c r="AE5" i="1" s="1"/>
  <c r="AG5" i="1"/>
  <c r="AB7" i="1"/>
  <c r="AA13" i="1"/>
  <c r="K14" i="9"/>
  <c r="M14" i="9" s="1"/>
  <c r="AA14" i="9"/>
  <c r="Q14" i="9"/>
  <c r="U14" i="9"/>
  <c r="Z14" i="9"/>
  <c r="O12" i="3"/>
  <c r="I12" i="3" s="1"/>
  <c r="V10" i="3"/>
  <c r="Y10" i="3" s="1"/>
  <c r="D15" i="9"/>
  <c r="G11" i="3"/>
  <c r="H11" i="3" s="1"/>
  <c r="W15" i="3"/>
  <c r="L15" i="3"/>
  <c r="D15" i="3"/>
  <c r="E15" i="3" s="1"/>
  <c r="Q14" i="3"/>
  <c r="U14" i="3"/>
  <c r="AH14" i="3" s="1"/>
  <c r="K14" i="3"/>
  <c r="M14" i="3" s="1"/>
  <c r="K13" i="1"/>
  <c r="M13" i="1" s="1"/>
  <c r="O8" i="1"/>
  <c r="P8" i="1" s="1"/>
  <c r="Z13" i="1"/>
  <c r="Q13" i="1"/>
  <c r="U13" i="1"/>
  <c r="W15" i="1"/>
  <c r="L14" i="1"/>
  <c r="D14" i="1"/>
  <c r="P13" i="3" l="1"/>
  <c r="J13" i="3" s="1"/>
  <c r="N13" i="3"/>
  <c r="O13" i="3" s="1"/>
  <c r="P12" i="3"/>
  <c r="J12" i="3" s="1"/>
  <c r="AI10" i="3"/>
  <c r="AD10" i="3"/>
  <c r="AC14" i="3"/>
  <c r="AI9" i="3"/>
  <c r="AD9" i="3"/>
  <c r="E14" i="1"/>
  <c r="J8" i="1"/>
  <c r="N9" i="1"/>
  <c r="AC13" i="1"/>
  <c r="AF13" i="1" s="1"/>
  <c r="AH13" i="1"/>
  <c r="AC14" i="9"/>
  <c r="AF14" i="9" s="1"/>
  <c r="AH14" i="9"/>
  <c r="G8" i="9"/>
  <c r="H8" i="9" s="1"/>
  <c r="T8" i="9" s="1"/>
  <c r="X8" i="9" s="1"/>
  <c r="AI7" i="9"/>
  <c r="AD7" i="9"/>
  <c r="AE7" i="9" s="1"/>
  <c r="E15" i="9"/>
  <c r="AG7" i="1"/>
  <c r="V7" i="1"/>
  <c r="Y7" i="1" s="1"/>
  <c r="AJ6" i="1"/>
  <c r="AK6" i="1"/>
  <c r="AJ6" i="9"/>
  <c r="AK6" i="9"/>
  <c r="Z15" i="3"/>
  <c r="AA15" i="3"/>
  <c r="R9" i="9"/>
  <c r="S9" i="9" s="1"/>
  <c r="O9" i="9"/>
  <c r="AG7" i="9"/>
  <c r="AB11" i="3"/>
  <c r="T11" i="3"/>
  <c r="X11" i="3" s="1"/>
  <c r="L17" i="9"/>
  <c r="W17" i="9"/>
  <c r="U15" i="9"/>
  <c r="AH15" i="9" s="1"/>
  <c r="AA15" i="9"/>
  <c r="Q15" i="9"/>
  <c r="Z15" i="9"/>
  <c r="K15" i="9"/>
  <c r="M15" i="9" s="1"/>
  <c r="AA14" i="1"/>
  <c r="AD6" i="1"/>
  <c r="AE6" i="1" s="1"/>
  <c r="R13" i="3"/>
  <c r="S13" i="3" s="1"/>
  <c r="D16" i="9"/>
  <c r="N14" i="3"/>
  <c r="R14" i="3" s="1"/>
  <c r="S14" i="3" s="1"/>
  <c r="L16" i="3"/>
  <c r="D16" i="3"/>
  <c r="E16" i="3" s="1"/>
  <c r="W16" i="3"/>
  <c r="U15" i="3"/>
  <c r="K15" i="3"/>
  <c r="M15" i="3" s="1"/>
  <c r="Q15" i="3"/>
  <c r="G13" i="3"/>
  <c r="H13" i="3" s="1"/>
  <c r="I13" i="3"/>
  <c r="K14" i="1"/>
  <c r="M14" i="1" s="1"/>
  <c r="Z14" i="1"/>
  <c r="Q14" i="1"/>
  <c r="U14" i="1"/>
  <c r="W16" i="1"/>
  <c r="D15" i="1"/>
  <c r="L15" i="1"/>
  <c r="R9" i="1"/>
  <c r="S9" i="1" s="1"/>
  <c r="G12" i="3" l="1"/>
  <c r="H12" i="3" s="1"/>
  <c r="AC15" i="3"/>
  <c r="AH15" i="3"/>
  <c r="V11" i="3"/>
  <c r="Y11" i="3" s="1"/>
  <c r="AK10" i="3"/>
  <c r="AJ10" i="3"/>
  <c r="AK9" i="3"/>
  <c r="AJ9" i="3"/>
  <c r="AB8" i="9"/>
  <c r="E15" i="1"/>
  <c r="AC15" i="9"/>
  <c r="AF15" i="9" s="1"/>
  <c r="AI7" i="1"/>
  <c r="AJ7" i="1" s="1"/>
  <c r="AD7" i="1"/>
  <c r="AE7" i="1" s="1"/>
  <c r="AC14" i="1"/>
  <c r="AF14" i="1" s="1"/>
  <c r="AH14" i="1"/>
  <c r="G8" i="1"/>
  <c r="H8" i="1" s="1"/>
  <c r="X8" i="1" s="1"/>
  <c r="E16" i="9"/>
  <c r="AK7" i="9"/>
  <c r="AJ7" i="9"/>
  <c r="AK7" i="1"/>
  <c r="AA15" i="1"/>
  <c r="Z16" i="3"/>
  <c r="AA16" i="3"/>
  <c r="L18" i="9"/>
  <c r="W18" i="9"/>
  <c r="P10" i="9"/>
  <c r="J10" i="9" s="1"/>
  <c r="P9" i="9"/>
  <c r="J9" i="9" s="1"/>
  <c r="I9" i="9"/>
  <c r="N10" i="9"/>
  <c r="AB13" i="3"/>
  <c r="T13" i="3"/>
  <c r="X13" i="3" s="1"/>
  <c r="AB12" i="3"/>
  <c r="T12" i="3"/>
  <c r="X12" i="3" s="1"/>
  <c r="Q16" i="9"/>
  <c r="K16" i="9"/>
  <c r="M16" i="9" s="1"/>
  <c r="Z16" i="9"/>
  <c r="AA16" i="9"/>
  <c r="U16" i="9"/>
  <c r="AH16" i="9" s="1"/>
  <c r="V8" i="9"/>
  <c r="O14" i="3"/>
  <c r="N15" i="3" s="1"/>
  <c r="O15" i="3" s="1"/>
  <c r="D17" i="9"/>
  <c r="W17" i="3"/>
  <c r="L17" i="3"/>
  <c r="D17" i="3"/>
  <c r="E17" i="3" s="1"/>
  <c r="K16" i="3"/>
  <c r="M16" i="3" s="1"/>
  <c r="Q16" i="3"/>
  <c r="U16" i="3"/>
  <c r="AH16" i="3" s="1"/>
  <c r="K15" i="1"/>
  <c r="M15" i="1" s="1"/>
  <c r="O9" i="1"/>
  <c r="P9" i="1" s="1"/>
  <c r="U15" i="1"/>
  <c r="Z15" i="1"/>
  <c r="Q15" i="1"/>
  <c r="W17" i="1"/>
  <c r="D16" i="1"/>
  <c r="L16" i="1"/>
  <c r="P14" i="3" l="1"/>
  <c r="J14" i="3" s="1"/>
  <c r="I14" i="3"/>
  <c r="AI11" i="3"/>
  <c r="AD11" i="3"/>
  <c r="AC16" i="3"/>
  <c r="AC16" i="9"/>
  <c r="AF16" i="9" s="1"/>
  <c r="E16" i="1"/>
  <c r="J9" i="1"/>
  <c r="AC15" i="1"/>
  <c r="AF15" i="1" s="1"/>
  <c r="AH15" i="1"/>
  <c r="AI8" i="9"/>
  <c r="E17" i="9"/>
  <c r="AA16" i="1"/>
  <c r="Z17" i="3"/>
  <c r="AA17" i="3"/>
  <c r="W19" i="9"/>
  <c r="L19" i="9"/>
  <c r="O10" i="9"/>
  <c r="R10" i="9"/>
  <c r="S10" i="9" s="1"/>
  <c r="AD8" i="9"/>
  <c r="AE8" i="9" s="1"/>
  <c r="AG8" i="9"/>
  <c r="G9" i="9"/>
  <c r="H9" i="9" s="1"/>
  <c r="T9" i="9" s="1"/>
  <c r="K17" i="9"/>
  <c r="M17" i="9" s="1"/>
  <c r="U17" i="9"/>
  <c r="Z17" i="9"/>
  <c r="Q17" i="9"/>
  <c r="AA17" i="9"/>
  <c r="AB8" i="1"/>
  <c r="V12" i="3"/>
  <c r="Y12" i="3" s="1"/>
  <c r="R15" i="3"/>
  <c r="S15" i="3" s="1"/>
  <c r="D18" i="9"/>
  <c r="N16" i="3"/>
  <c r="O16" i="3" s="1"/>
  <c r="G14" i="3"/>
  <c r="H14" i="3" s="1"/>
  <c r="L18" i="3"/>
  <c r="D18" i="3"/>
  <c r="E18" i="3" s="1"/>
  <c r="W18" i="3"/>
  <c r="V13" i="3"/>
  <c r="Y13" i="3" s="1"/>
  <c r="Q17" i="3"/>
  <c r="K17" i="3"/>
  <c r="M17" i="3" s="1"/>
  <c r="U17" i="3"/>
  <c r="P15" i="3"/>
  <c r="J15" i="3" s="1"/>
  <c r="P16" i="3"/>
  <c r="J16" i="3" s="1"/>
  <c r="I15" i="3"/>
  <c r="K16" i="1"/>
  <c r="M16" i="1" s="1"/>
  <c r="U16" i="1"/>
  <c r="Z16" i="1"/>
  <c r="Q16" i="1"/>
  <c r="W18" i="1"/>
  <c r="L17" i="1"/>
  <c r="D17" i="1"/>
  <c r="N10" i="1"/>
  <c r="AI13" i="3" l="1"/>
  <c r="AD13" i="3"/>
  <c r="AK11" i="3"/>
  <c r="AJ11" i="3"/>
  <c r="AI12" i="3"/>
  <c r="AD12" i="3"/>
  <c r="AC17" i="3"/>
  <c r="AH17" i="3"/>
  <c r="E17" i="1"/>
  <c r="AC16" i="1"/>
  <c r="AF16" i="1" s="1"/>
  <c r="AH16" i="1"/>
  <c r="G9" i="1"/>
  <c r="H9" i="1" s="1"/>
  <c r="X9" i="1" s="1"/>
  <c r="R10" i="1"/>
  <c r="S10" i="1" s="1"/>
  <c r="O10" i="1"/>
  <c r="E18" i="9"/>
  <c r="AC17" i="9"/>
  <c r="AF17" i="9" s="1"/>
  <c r="AH17" i="9"/>
  <c r="AK8" i="9"/>
  <c r="AJ8" i="9"/>
  <c r="V8" i="1"/>
  <c r="Y8" i="1" s="1"/>
  <c r="AG8" i="1"/>
  <c r="X9" i="9"/>
  <c r="AB9" i="9"/>
  <c r="L20" i="9"/>
  <c r="W20" i="9"/>
  <c r="Z18" i="9"/>
  <c r="AA18" i="9"/>
  <c r="U18" i="9"/>
  <c r="AH18" i="9" s="1"/>
  <c r="Q18" i="9"/>
  <c r="AC18" i="9"/>
  <c r="AF18" i="9" s="1"/>
  <c r="K18" i="9"/>
  <c r="M18" i="9" s="1"/>
  <c r="G10" i="9"/>
  <c r="H10" i="9" s="1"/>
  <c r="N11" i="9"/>
  <c r="I10" i="9"/>
  <c r="AB14" i="3"/>
  <c r="T14" i="3"/>
  <c r="AA17" i="1"/>
  <c r="AA18" i="3"/>
  <c r="Z18" i="3"/>
  <c r="R16" i="3"/>
  <c r="S16" i="3" s="1"/>
  <c r="D19" i="9"/>
  <c r="N17" i="3"/>
  <c r="O17" i="3" s="1"/>
  <c r="G15" i="3"/>
  <c r="H15" i="3" s="1"/>
  <c r="U18" i="3"/>
  <c r="K18" i="3"/>
  <c r="M18" i="3" s="1"/>
  <c r="Q18" i="3"/>
  <c r="W19" i="3"/>
  <c r="L19" i="3"/>
  <c r="D19" i="3"/>
  <c r="E19" i="3" s="1"/>
  <c r="G16" i="3"/>
  <c r="H16" i="3" s="1"/>
  <c r="I16" i="3"/>
  <c r="K17" i="1"/>
  <c r="M17" i="1" s="1"/>
  <c r="U17" i="1"/>
  <c r="Z17" i="1"/>
  <c r="Q17" i="1"/>
  <c r="W19" i="1"/>
  <c r="L18" i="1"/>
  <c r="D18" i="1"/>
  <c r="AK12" i="3" l="1"/>
  <c r="AJ12" i="3"/>
  <c r="AC18" i="3"/>
  <c r="AH18" i="3"/>
  <c r="X14" i="3"/>
  <c r="AK13" i="3"/>
  <c r="AJ13" i="3"/>
  <c r="T10" i="9"/>
  <c r="P10" i="1"/>
  <c r="J10" i="1" s="1"/>
  <c r="E18" i="1"/>
  <c r="AI8" i="1"/>
  <c r="AJ8" i="1" s="1"/>
  <c r="AD8" i="1"/>
  <c r="AE8" i="1" s="1"/>
  <c r="AC17" i="1"/>
  <c r="AF17" i="1" s="1"/>
  <c r="AH17" i="1"/>
  <c r="E19" i="9"/>
  <c r="AB16" i="3"/>
  <c r="T16" i="3"/>
  <c r="X16" i="3" s="1"/>
  <c r="V14" i="3"/>
  <c r="AA18" i="1"/>
  <c r="V9" i="9"/>
  <c r="AA19" i="3"/>
  <c r="Z19" i="3"/>
  <c r="L21" i="9"/>
  <c r="W21" i="9"/>
  <c r="O11" i="9"/>
  <c r="R11" i="9"/>
  <c r="S11" i="9" s="1"/>
  <c r="AB15" i="3"/>
  <c r="T15" i="3"/>
  <c r="X15" i="3" s="1"/>
  <c r="Z19" i="9"/>
  <c r="Q19" i="9"/>
  <c r="K19" i="9"/>
  <c r="M19" i="9" s="1"/>
  <c r="U19" i="9"/>
  <c r="AH19" i="9" s="1"/>
  <c r="AA19" i="9"/>
  <c r="AB9" i="1"/>
  <c r="AG9" i="1"/>
  <c r="AB10" i="9"/>
  <c r="X10" i="9"/>
  <c r="D20" i="9"/>
  <c r="R17" i="3"/>
  <c r="S17" i="3" s="1"/>
  <c r="N18" i="3"/>
  <c r="R18" i="3" s="1"/>
  <c r="S18" i="3" s="1"/>
  <c r="W20" i="3"/>
  <c r="L20" i="3"/>
  <c r="D20" i="3"/>
  <c r="E20" i="3" s="1"/>
  <c r="K19" i="3"/>
  <c r="M19" i="3" s="1"/>
  <c r="Q19" i="3"/>
  <c r="U19" i="3"/>
  <c r="I17" i="3"/>
  <c r="P17" i="3"/>
  <c r="J17" i="3" s="1"/>
  <c r="K18" i="1"/>
  <c r="M18" i="1" s="1"/>
  <c r="Z18" i="1"/>
  <c r="Q18" i="1"/>
  <c r="U18" i="1"/>
  <c r="AH18" i="1" s="1"/>
  <c r="W20" i="1"/>
  <c r="L19" i="1"/>
  <c r="D19" i="1"/>
  <c r="N11" i="1"/>
  <c r="O11" i="1" s="1"/>
  <c r="P11" i="1" s="1"/>
  <c r="V9" i="1"/>
  <c r="Y9" i="1" s="1"/>
  <c r="V15" i="3" l="1"/>
  <c r="Y15" i="3" s="1"/>
  <c r="AI15" i="3"/>
  <c r="AD15" i="3"/>
  <c r="AI14" i="3"/>
  <c r="AD14" i="3"/>
  <c r="AC19" i="3"/>
  <c r="AH19" i="3"/>
  <c r="E19" i="1"/>
  <c r="AK8" i="1"/>
  <c r="G10" i="1"/>
  <c r="H10" i="1" s="1"/>
  <c r="X10" i="1" s="1"/>
  <c r="AG10" i="1" s="1"/>
  <c r="AC18" i="1"/>
  <c r="AF18" i="1" s="1"/>
  <c r="E20" i="9"/>
  <c r="AC19" i="9"/>
  <c r="AF19" i="9" s="1"/>
  <c r="AI9" i="9"/>
  <c r="AD9" i="9"/>
  <c r="AE9" i="9" s="1"/>
  <c r="AD9" i="1"/>
  <c r="AE9" i="1" s="1"/>
  <c r="AI9" i="1"/>
  <c r="AG9" i="9"/>
  <c r="N12" i="9"/>
  <c r="P11" i="9"/>
  <c r="J11" i="9" s="1"/>
  <c r="I11" i="9"/>
  <c r="V10" i="9"/>
  <c r="Q20" i="9"/>
  <c r="U20" i="9"/>
  <c r="K20" i="9"/>
  <c r="M20" i="9" s="1"/>
  <c r="Z20" i="9"/>
  <c r="AA20" i="9"/>
  <c r="AA19" i="1"/>
  <c r="AA20" i="3"/>
  <c r="Z20" i="3"/>
  <c r="D21" i="9"/>
  <c r="O18" i="3"/>
  <c r="N19" i="3" s="1"/>
  <c r="G17" i="3"/>
  <c r="H17" i="3" s="1"/>
  <c r="U20" i="3"/>
  <c r="K20" i="3"/>
  <c r="M20" i="3" s="1"/>
  <c r="Q20" i="3"/>
  <c r="L21" i="3"/>
  <c r="D21" i="3"/>
  <c r="E21" i="3" s="1"/>
  <c r="W21" i="3"/>
  <c r="V16" i="3"/>
  <c r="Y16" i="3" s="1"/>
  <c r="K19" i="1"/>
  <c r="M19" i="1" s="1"/>
  <c r="R11" i="1"/>
  <c r="S11" i="1" s="1"/>
  <c r="Z19" i="1"/>
  <c r="U19" i="1"/>
  <c r="AH19" i="1" s="1"/>
  <c r="Q19" i="1"/>
  <c r="W21" i="1"/>
  <c r="D20" i="1"/>
  <c r="L20" i="1"/>
  <c r="AC20" i="3" l="1"/>
  <c r="AH20" i="3"/>
  <c r="AK14" i="3"/>
  <c r="AJ14" i="3"/>
  <c r="AK15" i="3"/>
  <c r="AJ15" i="3"/>
  <c r="AI16" i="3"/>
  <c r="AD16" i="3"/>
  <c r="G11" i="9"/>
  <c r="H11" i="9" s="1"/>
  <c r="T11" i="9" s="1"/>
  <c r="E20" i="1"/>
  <c r="AB10" i="1"/>
  <c r="AC19" i="1"/>
  <c r="AF19" i="1" s="1"/>
  <c r="E21" i="9"/>
  <c r="AK9" i="9"/>
  <c r="AJ9" i="9"/>
  <c r="AC20" i="9"/>
  <c r="AF20" i="9" s="1"/>
  <c r="AH20" i="9"/>
  <c r="AI10" i="9"/>
  <c r="AD10" i="9"/>
  <c r="AE10" i="9" s="1"/>
  <c r="AJ9" i="1"/>
  <c r="AK9" i="1"/>
  <c r="K21" i="9"/>
  <c r="M21" i="9" s="1"/>
  <c r="U21" i="9"/>
  <c r="AH21" i="9" s="1"/>
  <c r="AA21" i="9"/>
  <c r="Z21" i="9"/>
  <c r="Q21" i="9"/>
  <c r="Z21" i="3"/>
  <c r="AA21" i="3"/>
  <c r="AB11" i="9"/>
  <c r="X11" i="9"/>
  <c r="AB17" i="3"/>
  <c r="T17" i="3"/>
  <c r="R12" i="9"/>
  <c r="S12" i="9" s="1"/>
  <c r="O12" i="9"/>
  <c r="AG10" i="9"/>
  <c r="U20" i="1"/>
  <c r="AA20" i="1"/>
  <c r="R19" i="3"/>
  <c r="S19" i="3" s="1"/>
  <c r="O19" i="3"/>
  <c r="P18" i="3"/>
  <c r="J18" i="3" s="1"/>
  <c r="I18" i="3"/>
  <c r="P19" i="3"/>
  <c r="J19" i="3" s="1"/>
  <c r="U21" i="3"/>
  <c r="K21" i="3"/>
  <c r="M21" i="3" s="1"/>
  <c r="Q21" i="3"/>
  <c r="V10" i="1"/>
  <c r="Y10" i="1" s="1"/>
  <c r="K20" i="1"/>
  <c r="M20" i="1" s="1"/>
  <c r="Z20" i="1"/>
  <c r="Q20" i="1"/>
  <c r="D21" i="1"/>
  <c r="L21" i="1"/>
  <c r="N12" i="1"/>
  <c r="J11" i="1"/>
  <c r="V17" i="3" l="1"/>
  <c r="Y17" i="3" s="1"/>
  <c r="X17" i="3"/>
  <c r="AC21" i="3"/>
  <c r="AH21" i="3"/>
  <c r="AK16" i="3"/>
  <c r="AJ16" i="3"/>
  <c r="AC21" i="9"/>
  <c r="AF21" i="9" s="1"/>
  <c r="E21" i="1"/>
  <c r="AC20" i="1"/>
  <c r="AF20" i="1" s="1"/>
  <c r="AH20" i="1"/>
  <c r="AJ10" i="9"/>
  <c r="AK10" i="9"/>
  <c r="AD10" i="1"/>
  <c r="AE10" i="1" s="1"/>
  <c r="AI10" i="1"/>
  <c r="P13" i="9"/>
  <c r="J13" i="9" s="1"/>
  <c r="P12" i="9"/>
  <c r="J12" i="9" s="1"/>
  <c r="N13" i="9"/>
  <c r="I12" i="9"/>
  <c r="AA21" i="1"/>
  <c r="V11" i="9"/>
  <c r="G19" i="3"/>
  <c r="H19" i="3" s="1"/>
  <c r="G18" i="3"/>
  <c r="H18" i="3" s="1"/>
  <c r="I19" i="3"/>
  <c r="N20" i="3"/>
  <c r="O20" i="3" s="1"/>
  <c r="K21" i="1"/>
  <c r="M21" i="1" s="1"/>
  <c r="G11" i="1"/>
  <c r="H11" i="1" s="1"/>
  <c r="X11" i="1" s="1"/>
  <c r="O12" i="1"/>
  <c r="P12" i="1" s="1"/>
  <c r="R12" i="1"/>
  <c r="S12" i="1" s="1"/>
  <c r="Z21" i="1"/>
  <c r="Q21" i="1"/>
  <c r="U21" i="1"/>
  <c r="AI17" i="3" l="1"/>
  <c r="AD17" i="3"/>
  <c r="AC21" i="1"/>
  <c r="AF21" i="1" s="1"/>
  <c r="AH21" i="1"/>
  <c r="AI11" i="9"/>
  <c r="G12" i="9"/>
  <c r="H12" i="9" s="1"/>
  <c r="AJ10" i="1"/>
  <c r="AK10" i="1"/>
  <c r="V11" i="1"/>
  <c r="Y11" i="1" s="1"/>
  <c r="AB11" i="1"/>
  <c r="O13" i="9"/>
  <c r="R13" i="9"/>
  <c r="S13" i="9" s="1"/>
  <c r="AB18" i="3"/>
  <c r="T18" i="3"/>
  <c r="X18" i="3" s="1"/>
  <c r="AB19" i="3"/>
  <c r="T19" i="3"/>
  <c r="AD11" i="9"/>
  <c r="AE11" i="9" s="1"/>
  <c r="AG11" i="9"/>
  <c r="R20" i="3"/>
  <c r="S20" i="3" s="1"/>
  <c r="P20" i="3"/>
  <c r="J20" i="3" s="1"/>
  <c r="I20" i="3"/>
  <c r="N21" i="3"/>
  <c r="J12" i="1"/>
  <c r="N13" i="1"/>
  <c r="AK17" i="3" l="1"/>
  <c r="AJ17" i="3"/>
  <c r="V19" i="3"/>
  <c r="Y19" i="3" s="1"/>
  <c r="X19" i="3"/>
  <c r="T12" i="9"/>
  <c r="X12" i="9" s="1"/>
  <c r="AI11" i="1"/>
  <c r="AJ11" i="1" s="1"/>
  <c r="AB12" i="9"/>
  <c r="AK11" i="9"/>
  <c r="AJ11" i="9"/>
  <c r="V18" i="3"/>
  <c r="Y18" i="3" s="1"/>
  <c r="I13" i="9"/>
  <c r="N14" i="9"/>
  <c r="G13" i="9"/>
  <c r="H13" i="9" s="1"/>
  <c r="T13" i="9" s="1"/>
  <c r="G20" i="3"/>
  <c r="H20" i="3" s="1"/>
  <c r="R21" i="3"/>
  <c r="S21" i="3" s="1"/>
  <c r="O21" i="3"/>
  <c r="G12" i="1"/>
  <c r="H12" i="1" s="1"/>
  <c r="X12" i="1" s="1"/>
  <c r="R13" i="1"/>
  <c r="S13" i="1" s="1"/>
  <c r="O13" i="1"/>
  <c r="AK11" i="1" l="1"/>
  <c r="AI18" i="3"/>
  <c r="AD18" i="3"/>
  <c r="AI19" i="3"/>
  <c r="AD19" i="3"/>
  <c r="V12" i="9"/>
  <c r="P13" i="1"/>
  <c r="J13" i="1" s="1"/>
  <c r="AI12" i="9"/>
  <c r="AD11" i="1"/>
  <c r="AE11" i="1" s="1"/>
  <c r="AG11" i="1"/>
  <c r="AB20" i="3"/>
  <c r="T20" i="3"/>
  <c r="X20" i="3" s="1"/>
  <c r="AB12" i="1"/>
  <c r="V12" i="1"/>
  <c r="Y12" i="1" s="1"/>
  <c r="AG12" i="9"/>
  <c r="AD12" i="9"/>
  <c r="AE12" i="9" s="1"/>
  <c r="O14" i="9"/>
  <c r="R14" i="9"/>
  <c r="S14" i="9" s="1"/>
  <c r="AB13" i="9"/>
  <c r="X13" i="9"/>
  <c r="V20" i="3"/>
  <c r="Y20" i="3" s="1"/>
  <c r="P21" i="3"/>
  <c r="J21" i="3" s="1"/>
  <c r="I21" i="3"/>
  <c r="N14" i="1"/>
  <c r="AI20" i="3" l="1"/>
  <c r="AD20" i="3"/>
  <c r="AK19" i="3"/>
  <c r="AJ19" i="3"/>
  <c r="AK18" i="3"/>
  <c r="AJ18" i="3"/>
  <c r="G13" i="1"/>
  <c r="H13" i="1" s="1"/>
  <c r="X13" i="1"/>
  <c r="AG13" i="1" s="1"/>
  <c r="AK12" i="9"/>
  <c r="AJ12" i="9"/>
  <c r="AI12" i="1"/>
  <c r="V13" i="9"/>
  <c r="AG12" i="1"/>
  <c r="I14" i="9"/>
  <c r="P14" i="9"/>
  <c r="J14" i="9" s="1"/>
  <c r="N15" i="9"/>
  <c r="AB13" i="1"/>
  <c r="G21" i="3"/>
  <c r="H21" i="3" s="1"/>
  <c r="O14" i="1"/>
  <c r="P14" i="1" s="1"/>
  <c r="R14" i="1"/>
  <c r="S14" i="1" s="1"/>
  <c r="AJ20" i="3" l="1"/>
  <c r="AK20" i="3"/>
  <c r="AI13" i="9"/>
  <c r="AD13" i="9"/>
  <c r="AE13" i="9" s="1"/>
  <c r="AJ12" i="1"/>
  <c r="AK12" i="1"/>
  <c r="G14" i="9"/>
  <c r="H14" i="9" s="1"/>
  <c r="T14" i="9" s="1"/>
  <c r="O15" i="9"/>
  <c r="R15" i="9"/>
  <c r="S15" i="9" s="1"/>
  <c r="AG13" i="9"/>
  <c r="AB21" i="3"/>
  <c r="T21" i="3"/>
  <c r="X21" i="3" s="1"/>
  <c r="AD12" i="1"/>
  <c r="AE12" i="1" s="1"/>
  <c r="V21" i="3"/>
  <c r="Y21" i="3" s="1"/>
  <c r="V13" i="1"/>
  <c r="Y13" i="1" s="1"/>
  <c r="J14" i="1"/>
  <c r="N15" i="1"/>
  <c r="AI21" i="3" l="1"/>
  <c r="AK13" i="9"/>
  <c r="AJ13" i="9"/>
  <c r="AD13" i="1"/>
  <c r="AE13" i="1" s="1"/>
  <c r="AI13" i="1"/>
  <c r="AD21" i="3"/>
  <c r="N16" i="9"/>
  <c r="P16" i="9"/>
  <c r="J16" i="9" s="1"/>
  <c r="I15" i="9"/>
  <c r="P15" i="9"/>
  <c r="J15" i="9" s="1"/>
  <c r="X14" i="9"/>
  <c r="AB14" i="9"/>
  <c r="G14" i="1"/>
  <c r="H14" i="1" s="1"/>
  <c r="X14" i="1" s="1"/>
  <c r="O15" i="1"/>
  <c r="P15" i="1" s="1"/>
  <c r="R15" i="1"/>
  <c r="S15" i="1" s="1"/>
  <c r="AK21" i="3" l="1"/>
  <c r="AJ21" i="3"/>
  <c r="AJ13" i="1"/>
  <c r="AK13" i="1"/>
  <c r="AB14" i="1"/>
  <c r="V14" i="9"/>
  <c r="R16" i="9"/>
  <c r="S16" i="9" s="1"/>
  <c r="O16" i="9"/>
  <c r="G15" i="9"/>
  <c r="H15" i="9" s="1"/>
  <c r="T15" i="9" s="1"/>
  <c r="N16" i="1"/>
  <c r="J15" i="1"/>
  <c r="AI14" i="9" l="1"/>
  <c r="AD14" i="9"/>
  <c r="AE14" i="9" s="1"/>
  <c r="V14" i="1"/>
  <c r="Y14" i="1" s="1"/>
  <c r="AG14" i="1"/>
  <c r="G16" i="9"/>
  <c r="H16" i="9" s="1"/>
  <c r="I16" i="9"/>
  <c r="N17" i="9"/>
  <c r="AG14" i="9"/>
  <c r="X15" i="9"/>
  <c r="AB15" i="9"/>
  <c r="G15" i="1"/>
  <c r="H15" i="1" s="1"/>
  <c r="X15" i="1" s="1"/>
  <c r="O16" i="1"/>
  <c r="R16" i="1"/>
  <c r="S16" i="1" s="1"/>
  <c r="T16" i="9" l="1"/>
  <c r="P16" i="1"/>
  <c r="J16" i="1" s="1"/>
  <c r="AI14" i="1"/>
  <c r="AD14" i="1"/>
  <c r="AE14" i="1" s="1"/>
  <c r="AJ14" i="9"/>
  <c r="AK14" i="9"/>
  <c r="AJ14" i="1"/>
  <c r="AK14" i="1"/>
  <c r="AB15" i="1"/>
  <c r="AG15" i="1"/>
  <c r="AB16" i="9"/>
  <c r="X16" i="9"/>
  <c r="R17" i="9"/>
  <c r="S17" i="9" s="1"/>
  <c r="O17" i="9"/>
  <c r="V15" i="9"/>
  <c r="N17" i="1"/>
  <c r="R17" i="1" s="1"/>
  <c r="G16" i="1" l="1"/>
  <c r="H16" i="1" s="1"/>
  <c r="X16" i="1"/>
  <c r="AI15" i="9"/>
  <c r="V15" i="1"/>
  <c r="Y15" i="1" s="1"/>
  <c r="AG15" i="9"/>
  <c r="AD15" i="9"/>
  <c r="AE15" i="9" s="1"/>
  <c r="P17" i="9"/>
  <c r="J17" i="9" s="1"/>
  <c r="I17" i="9"/>
  <c r="N18" i="9"/>
  <c r="V16" i="9"/>
  <c r="AB16" i="1"/>
  <c r="S17" i="1"/>
  <c r="O17" i="1"/>
  <c r="AG16" i="1"/>
  <c r="P17" i="1" l="1"/>
  <c r="J17" i="1" s="1"/>
  <c r="I17" i="1"/>
  <c r="AI16" i="9"/>
  <c r="AD16" i="9"/>
  <c r="AE16" i="9" s="1"/>
  <c r="G17" i="9"/>
  <c r="H17" i="9" s="1"/>
  <c r="T17" i="9" s="1"/>
  <c r="X17" i="9" s="1"/>
  <c r="AK15" i="9"/>
  <c r="AJ15" i="9"/>
  <c r="AD15" i="1"/>
  <c r="AE15" i="1" s="1"/>
  <c r="AI15" i="1"/>
  <c r="AG16" i="9"/>
  <c r="R18" i="9"/>
  <c r="S18" i="9" s="1"/>
  <c r="O18" i="9"/>
  <c r="V16" i="1"/>
  <c r="Y16" i="1" s="1"/>
  <c r="N18" i="1"/>
  <c r="AB17" i="9" l="1"/>
  <c r="AK16" i="9"/>
  <c r="AJ16" i="9"/>
  <c r="AJ15" i="1"/>
  <c r="AK15" i="1"/>
  <c r="AD16" i="1"/>
  <c r="AE16" i="1" s="1"/>
  <c r="AI16" i="1"/>
  <c r="V17" i="9"/>
  <c r="P19" i="9"/>
  <c r="J19" i="9" s="1"/>
  <c r="I18" i="9"/>
  <c r="N19" i="9"/>
  <c r="P18" i="9"/>
  <c r="J18" i="9" s="1"/>
  <c r="G17" i="1"/>
  <c r="H17" i="1" s="1"/>
  <c r="R18" i="1"/>
  <c r="S18" i="1" s="1"/>
  <c r="O18" i="1"/>
  <c r="P18" i="1" l="1"/>
  <c r="I18" i="1"/>
  <c r="T17" i="1"/>
  <c r="X17" i="1" s="1"/>
  <c r="AI17" i="9"/>
  <c r="AJ16" i="1"/>
  <c r="AK16" i="1"/>
  <c r="AB17" i="1"/>
  <c r="G18" i="9"/>
  <c r="H18" i="9" s="1"/>
  <c r="T18" i="9" s="1"/>
  <c r="O19" i="9"/>
  <c r="R19" i="9"/>
  <c r="S19" i="9" s="1"/>
  <c r="AD17" i="9"/>
  <c r="AE17" i="9" s="1"/>
  <c r="AG17" i="9"/>
  <c r="J18" i="1"/>
  <c r="N19" i="1"/>
  <c r="AK17" i="9" l="1"/>
  <c r="AJ17" i="9"/>
  <c r="V17" i="1"/>
  <c r="Y17" i="1" s="1"/>
  <c r="AG17" i="1"/>
  <c r="G19" i="9"/>
  <c r="H19" i="9" s="1"/>
  <c r="N20" i="9"/>
  <c r="I19" i="9"/>
  <c r="X18" i="9"/>
  <c r="AB18" i="9"/>
  <c r="G18" i="1"/>
  <c r="H18" i="1" s="1"/>
  <c r="R19" i="1"/>
  <c r="S19" i="1" s="1"/>
  <c r="O19" i="1"/>
  <c r="I19" i="1" s="1"/>
  <c r="T18" i="1" l="1"/>
  <c r="X18" i="1" s="1"/>
  <c r="AG18" i="1" s="1"/>
  <c r="T19" i="9"/>
  <c r="P19" i="1"/>
  <c r="J19" i="1" s="1"/>
  <c r="AI17" i="1"/>
  <c r="AD17" i="1"/>
  <c r="AE17" i="1" s="1"/>
  <c r="AJ17" i="1"/>
  <c r="AK17" i="1"/>
  <c r="V18" i="9"/>
  <c r="X19" i="9"/>
  <c r="AB19" i="9"/>
  <c r="AB18" i="1"/>
  <c r="O20" i="9"/>
  <c r="R20" i="9"/>
  <c r="S20" i="9" s="1"/>
  <c r="N20" i="1"/>
  <c r="G19" i="1" l="1"/>
  <c r="H19" i="1" s="1"/>
  <c r="AI18" i="9"/>
  <c r="V18" i="1"/>
  <c r="Y18" i="1" s="1"/>
  <c r="V19" i="9"/>
  <c r="P20" i="9"/>
  <c r="J20" i="9" s="1"/>
  <c r="N21" i="9"/>
  <c r="I20" i="9"/>
  <c r="AB19" i="1"/>
  <c r="AD18" i="9"/>
  <c r="AE18" i="9" s="1"/>
  <c r="AG18" i="9"/>
  <c r="R20" i="1"/>
  <c r="S20" i="1" s="1"/>
  <c r="O20" i="1"/>
  <c r="P20" i="1" l="1"/>
  <c r="J20" i="1" s="1"/>
  <c r="I20" i="1"/>
  <c r="T19" i="1"/>
  <c r="X19" i="1" s="1"/>
  <c r="AG19" i="1" s="1"/>
  <c r="AI19" i="9"/>
  <c r="G20" i="9"/>
  <c r="H20" i="9" s="1"/>
  <c r="AJ18" i="9"/>
  <c r="AK18" i="9"/>
  <c r="AD18" i="1"/>
  <c r="AE18" i="1" s="1"/>
  <c r="AI18" i="1"/>
  <c r="R21" i="9"/>
  <c r="S21" i="9" s="1"/>
  <c r="O21" i="9"/>
  <c r="AG19" i="9"/>
  <c r="AD19" i="9"/>
  <c r="AE19" i="9" s="1"/>
  <c r="N21" i="1"/>
  <c r="V19" i="1" l="1"/>
  <c r="Y19" i="1" s="1"/>
  <c r="AB20" i="9"/>
  <c r="T20" i="9"/>
  <c r="X20" i="9" s="1"/>
  <c r="AK19" i="9"/>
  <c r="AJ19" i="9"/>
  <c r="AJ18" i="1"/>
  <c r="AK18" i="1"/>
  <c r="AD19" i="1"/>
  <c r="AE19" i="1" s="1"/>
  <c r="AI19" i="1"/>
  <c r="P21" i="9"/>
  <c r="J21" i="9" s="1"/>
  <c r="I21" i="9"/>
  <c r="V20" i="9"/>
  <c r="G20" i="1"/>
  <c r="H20" i="1" s="1"/>
  <c r="O21" i="1"/>
  <c r="R21" i="1"/>
  <c r="S21" i="1" s="1"/>
  <c r="P21" i="1" l="1"/>
  <c r="J21" i="1" s="1"/>
  <c r="I21" i="1"/>
  <c r="T20" i="1"/>
  <c r="X20" i="1" s="1"/>
  <c r="AI20" i="9"/>
  <c r="G21" i="9"/>
  <c r="H21" i="9" s="1"/>
  <c r="AJ19" i="1"/>
  <c r="AK19" i="1"/>
  <c r="AB20" i="1"/>
  <c r="AD20" i="9"/>
  <c r="AE20" i="9" s="1"/>
  <c r="AG20" i="9"/>
  <c r="AB21" i="9" l="1"/>
  <c r="T21" i="9"/>
  <c r="X21" i="9" s="1"/>
  <c r="AK20" i="9"/>
  <c r="AJ20" i="9"/>
  <c r="V20" i="1"/>
  <c r="Y20" i="1" s="1"/>
  <c r="AG20" i="1"/>
  <c r="V21" i="9"/>
  <c r="G21" i="1"/>
  <c r="H21" i="1" s="1"/>
  <c r="T21" i="1" l="1"/>
  <c r="X21" i="1" s="1"/>
  <c r="AG21" i="1" s="1"/>
  <c r="AI20" i="1"/>
  <c r="AD20" i="1"/>
  <c r="AE20" i="1" s="1"/>
  <c r="AI21" i="9"/>
  <c r="AK20" i="1"/>
  <c r="AJ20" i="1"/>
  <c r="AB21" i="1"/>
  <c r="AG21" i="9"/>
  <c r="AD21" i="9"/>
  <c r="AE21" i="9" s="1"/>
  <c r="V21" i="1"/>
  <c r="Y21" i="1" s="1"/>
  <c r="AK21" i="9" l="1"/>
  <c r="AJ21" i="9"/>
  <c r="AI21" i="1"/>
  <c r="AD21" i="1"/>
  <c r="AE21" i="1" s="1"/>
  <c r="AK21" i="1" l="1"/>
  <c r="AJ21" i="1"/>
</calcChain>
</file>

<file path=xl/sharedStrings.xml><?xml version="1.0" encoding="utf-8"?>
<sst xmlns="http://purl.oclc.org/ooxml/spreadsheetml/main" count="254" uniqueCount="143">
  <si>
    <t>Год</t>
  </si>
  <si>
    <t>Открыто ПВЗ</t>
  </si>
  <si>
    <t>ПВЗ всего</t>
  </si>
  <si>
    <t>СЦ всего</t>
  </si>
  <si>
    <t>Сотрудники</t>
  </si>
  <si>
    <t>Точка безубыточности (заказы)</t>
  </si>
  <si>
    <t>Показатель</t>
  </si>
  <si>
    <t>Сумма, ₽</t>
  </si>
  <si>
    <t>Выручка (всего)</t>
  </si>
  <si>
    <t>Средний чек</t>
  </si>
  <si>
    <t>Количество заказов</t>
  </si>
  <si>
    <t>Себестоимость (40%)</t>
  </si>
  <si>
    <t>Валовая прибыль (60%)</t>
  </si>
  <si>
    <t>Маркетинг (15%)</t>
  </si>
  <si>
    <t>Аренда ПВЗ (1 × 55 тыс × 12 мес)</t>
  </si>
  <si>
    <t>EBITDA</t>
  </si>
  <si>
    <t>Чистая прибыль (после налогов)</t>
  </si>
  <si>
    <t>Месяц</t>
  </si>
  <si>
    <t>Выручка (₽)</t>
  </si>
  <si>
    <t>Себестоимость (₽)</t>
  </si>
  <si>
    <t>Маркетинг (₽)</t>
  </si>
  <si>
    <t>ФОТ (₽)</t>
  </si>
  <si>
    <t>Аренда ПВЗ (₽)</t>
  </si>
  <si>
    <t>Платформа (₽)</t>
  </si>
  <si>
    <t>Непредвиденные расходы (₽)</t>
  </si>
  <si>
    <t>Итого расходы (₽)</t>
  </si>
  <si>
    <t>EBITDA (₽)</t>
  </si>
  <si>
    <t>Налог (₽)</t>
  </si>
  <si>
    <t>CapEx (₽)</t>
  </si>
  <si>
    <t>Фонд ПВЗ (₽)</t>
  </si>
  <si>
    <t>Чистая прибыль (₽)</t>
  </si>
  <si>
    <t>1 мес</t>
  </si>
  <si>
    <t>2 мес</t>
  </si>
  <si>
    <t>3 мес</t>
  </si>
  <si>
    <t>4 мес</t>
  </si>
  <si>
    <t>5 мес</t>
  </si>
  <si>
    <t>6 мес</t>
  </si>
  <si>
    <t>7 мес</t>
  </si>
  <si>
    <t>8 мес</t>
  </si>
  <si>
    <t>9 мес</t>
  </si>
  <si>
    <t>10 мес</t>
  </si>
  <si>
    <t>11 мес</t>
  </si>
  <si>
    <t>12 мес</t>
  </si>
  <si>
    <t>Выручка</t>
  </si>
  <si>
    <t>Себестоимость</t>
  </si>
  <si>
    <t>40% от выручки (наценка 60%)</t>
  </si>
  <si>
    <t>НДС</t>
  </si>
  <si>
    <t>20% от выручки при УСН 15%</t>
  </si>
  <si>
    <t>Открытие ПВЗ</t>
  </si>
  <si>
    <t>Фонд ПВЗ / 900 тыс, округляется вниз</t>
  </si>
  <si>
    <t>СЦ</t>
  </si>
  <si>
    <t>1 на 10 ПВЗ</t>
  </si>
  <si>
    <t>Значение</t>
  </si>
  <si>
    <t>Описание</t>
  </si>
  <si>
    <t>Средний чек (₽)</t>
  </si>
  <si>
    <t>Средняя сумма заказа клиента</t>
  </si>
  <si>
    <t>Себестоимость заказа (₽)</t>
  </si>
  <si>
    <t>Расходы на закупку товара</t>
  </si>
  <si>
    <t>Валовая прибыль с заказа (₽)</t>
  </si>
  <si>
    <t>Доход с одного заказа после вычета себестоимости</t>
  </si>
  <si>
    <t>CAC (₽)</t>
  </si>
  <si>
    <t>Стоимость привлечения одного клиента через маркетинг</t>
  </si>
  <si>
    <t>Contribution Margin (%)</t>
  </si>
  <si>
    <t>Оставшаяся прибыль после маркетинга, на покрытие остальных расходов</t>
  </si>
  <si>
    <t>Payback (заказов)</t>
  </si>
  <si>
    <t>Сколько заказов нужно, чтобы окупить привлечение клиента</t>
  </si>
  <si>
    <t>Объем заказов</t>
  </si>
  <si>
    <t>Выручка (с НДС)</t>
  </si>
  <si>
    <t>Себестоимость (с НДС)</t>
  </si>
  <si>
    <t>Чистая прибыль</t>
  </si>
  <si>
    <t>Эквайринг (₽)</t>
  </si>
  <si>
    <t>Opex (₽)</t>
  </si>
  <si>
    <t>Copex</t>
  </si>
  <si>
    <t>Opex</t>
  </si>
  <si>
    <t>Платформа (25 тыс × 5 мес + 30 × 7 мес)</t>
  </si>
  <si>
    <t>ФОТ (2 сотрудников × 50 тыс × 1 мес + 5 сотрудников × 50 тыс × 7 мес)</t>
  </si>
  <si>
    <t xml:space="preserve">Непредвиденные расходы </t>
  </si>
  <si>
    <t>Непредвиденные расходы (1%)</t>
  </si>
  <si>
    <t>Итого расходов</t>
  </si>
  <si>
    <t>Эквайринг (2,5%)</t>
  </si>
  <si>
    <t>НДС (₽)</t>
  </si>
  <si>
    <t>Валовая прибыль  (₽)</t>
  </si>
  <si>
    <t>Доставка  (₽)</t>
  </si>
  <si>
    <t>Аренда СЦ  (₽)</t>
  </si>
  <si>
    <t>Кол-во заказов (₽)</t>
  </si>
  <si>
    <t>Нужно ПВЗ</t>
  </si>
  <si>
    <t>Можно открыть ПВЗ</t>
  </si>
  <si>
    <t>CapEx  к списанию (₽)</t>
  </si>
  <si>
    <t>Страховые взносы с зарплаты</t>
  </si>
  <si>
    <t>ФОТ до вычета (₽)</t>
  </si>
  <si>
    <t>Кол- во заказов</t>
  </si>
  <si>
    <t>Себестоимость (без НДС)</t>
  </si>
  <si>
    <t>Выручка (без НДС)</t>
  </si>
  <si>
    <t>НДС с продаж</t>
  </si>
  <si>
    <t>НДС с покупок</t>
  </si>
  <si>
    <t>НДС к уплате</t>
  </si>
  <si>
    <t>База УСН</t>
  </si>
  <si>
    <t>УСН 15%</t>
  </si>
  <si>
    <t>Маржа чистой прибыли, %</t>
  </si>
  <si>
    <t>Валовая маржа %</t>
  </si>
  <si>
    <t>Маржа чистой прибыли  %</t>
  </si>
  <si>
    <t>EBITDA маржа %</t>
  </si>
  <si>
    <t>Переменные затраты на заказ</t>
  </si>
  <si>
    <t>Постоянные затраты</t>
  </si>
  <si>
    <t xml:space="preserve">Точка безубыточности </t>
  </si>
  <si>
    <t>Базовая выручка растет на 100% каждый год</t>
  </si>
  <si>
    <t>Валовая прибыль</t>
  </si>
  <si>
    <t>Выручка- себестоимость</t>
  </si>
  <si>
    <t>Маркетинг</t>
  </si>
  <si>
    <t>5% от выручки</t>
  </si>
  <si>
    <t xml:space="preserve">ФОТ </t>
  </si>
  <si>
    <t xml:space="preserve">Аренда ПВЗ </t>
  </si>
  <si>
    <t xml:space="preserve">50000 руб до вычета </t>
  </si>
  <si>
    <t xml:space="preserve">Платформа </t>
  </si>
  <si>
    <t xml:space="preserve"> от 25000 руб до 35000 руб с учетом роста каталогов </t>
  </si>
  <si>
    <t>90000 руб - открытие ПВЗ</t>
  </si>
  <si>
    <t>1% от выручки</t>
  </si>
  <si>
    <t xml:space="preserve">Copex </t>
  </si>
  <si>
    <t>Copex к списанию</t>
  </si>
  <si>
    <t>Copex  * 0,5, что можно будет списать при УСН 15% (доходы- расходы)</t>
  </si>
  <si>
    <t>Copex к списанию+ Opex+ Себестоимость</t>
  </si>
  <si>
    <t>Доставка</t>
  </si>
  <si>
    <t xml:space="preserve">Выручка*0,3*500 </t>
  </si>
  <si>
    <t>Выручка- Opex- Себестоимость+ Доставка</t>
  </si>
  <si>
    <t>Выручка*0,025</t>
  </si>
  <si>
    <t>ФОТ* 30%</t>
  </si>
  <si>
    <t xml:space="preserve">Налог </t>
  </si>
  <si>
    <t>(УСН 6%)= Выручка*0,06, ( УСН 15%)=  (Выручка - Итого расходов) * 0,15; 0)</t>
  </si>
  <si>
    <t>Выручка*0,01 ( 1% от выручки уходит в фонд, для последующего масштабирования ПВЗ)</t>
  </si>
  <si>
    <t>3 на ПВЗ + 5 на СЦ</t>
  </si>
  <si>
    <t>ОКРУГЛВВЕРХ(Кол- во заказов/ 60000; 0) ( выявляет потребность в открытие новых ПВЗ по количеству заказов, 1 ПВЗ способен обрабатывать 60000 заказов ежегодно</t>
  </si>
  <si>
    <t>ОКРУГЛВНИЗ(Фонд ПВЗ / 900000; 0) ( Показывает сколько ПВЗ возможно открыть из доступных в фонде средств)</t>
  </si>
  <si>
    <t xml:space="preserve">Фонд ПВЗ </t>
  </si>
  <si>
    <t>МАКС(МИН(Нужно ПВЗ- Можно открыть ПВЗ; ПВЗ всего- за прошлый год); 0) ( Позволяет точно определить сколько ПВЗ открыто за год)</t>
  </si>
  <si>
    <t xml:space="preserve">Открыто ПВЗ+ПВЗ всего за прошлый год ( суммирует открытые ПВЗ за год и остальные ПВЗ, открытые ранее) </t>
  </si>
  <si>
    <t xml:space="preserve">СЦ всего </t>
  </si>
  <si>
    <t>ЕСЛИ(ПВЗ всего &lt; 10; 0; ОКРУГЛВНИЗ(ПВЗ всего / 10; 0)) ( 1 СЦ открывается на 10 ПВЗ)</t>
  </si>
  <si>
    <t>Аренда СЦ</t>
  </si>
  <si>
    <t>550000*ПВЗ всего*12 (55000 руб с комм. услугами)</t>
  </si>
  <si>
    <t>110000*СЦ всего*12 (110000 руб с комм. услугами)</t>
  </si>
  <si>
    <t>ФОТ+ Маркетинг+ Аренда ПВЗ+Аренда СЦ+ Платформа+ Непредвиденные расходы</t>
  </si>
  <si>
    <t>Формула счета</t>
  </si>
  <si>
    <t>Налог (УСН 15%;  доходы - расходы)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</si>
</sst>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73" formatCode="#,##0\ &quot;₽&quot;"/>
    <numFmt numFmtId="180" formatCode="0.0%"/>
    <numFmt numFmtId="182" formatCode="_-* #,##0\ &quot;₽&quot;_-;\-* #,##0\ &quot;₽&quot;_-;_-* &quot;-&quot;??\ &quot;₽&quot;_-;_-@_-"/>
  </numFmts>
  <fonts count="9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4F81BD"/>
        <bgColor rgb="FF000000"/>
      </patternFill>
    </fill>
    <fill>
      <patternFill patternType="solid">
        <fgColor rgb="FFF2F2F2"/>
        <bgColor rgb="FF000000"/>
      </patternFill>
    </fill>
  </fills>
  <borders count="34">
    <border>
      <start/>
      <end/>
      <top/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 style="thin">
        <color indexed="64"/>
      </bottom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 style="medium">
        <color indexed="64"/>
      </start>
      <end style="thin">
        <color auto="1"/>
      </end>
      <top style="medium">
        <color indexed="64"/>
      </top>
      <bottom style="thin">
        <color auto="1"/>
      </bottom>
      <diagonal/>
    </border>
    <border>
      <start style="thin">
        <color auto="1"/>
      </start>
      <end style="thin">
        <color auto="1"/>
      </end>
      <top style="medium">
        <color indexed="64"/>
      </top>
      <bottom style="thin">
        <color auto="1"/>
      </bottom>
      <diagonal/>
    </border>
    <border>
      <start style="thin">
        <color auto="1"/>
      </start>
      <end style="medium">
        <color indexed="64"/>
      </end>
      <top style="medium">
        <color indexed="64"/>
      </top>
      <bottom style="thin">
        <color auto="1"/>
      </bottom>
      <diagonal/>
    </border>
    <border>
      <start style="medium">
        <color indexed="64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 style="medium">
        <color indexed="64"/>
      </end>
      <top style="thin">
        <color auto="1"/>
      </top>
      <bottom style="thin">
        <color auto="1"/>
      </bottom>
      <diagonal/>
    </border>
    <border>
      <start style="medium">
        <color indexed="64"/>
      </start>
      <end style="thin">
        <color auto="1"/>
      </end>
      <top style="thin">
        <color auto="1"/>
      </top>
      <bottom style="medium">
        <color indexed="64"/>
      </bottom>
      <diagonal/>
    </border>
    <border>
      <start style="thin">
        <color auto="1"/>
      </start>
      <end style="thin">
        <color auto="1"/>
      </end>
      <top style="thin">
        <color auto="1"/>
      </top>
      <bottom style="medium">
        <color indexed="64"/>
      </bottom>
      <diagonal/>
    </border>
    <border>
      <start style="thin">
        <color auto="1"/>
      </start>
      <end style="medium">
        <color indexed="64"/>
      </end>
      <top style="thin">
        <color auto="1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thin">
        <color auto="1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auto="1"/>
      </bottom>
      <diagonal/>
    </border>
    <border>
      <start/>
      <end style="medium">
        <color indexed="64"/>
      </end>
      <top style="thin">
        <color auto="1"/>
      </top>
      <bottom style="thin">
        <color auto="1"/>
      </bottom>
      <diagonal/>
    </border>
    <border>
      <start/>
      <end style="medium">
        <color indexed="64"/>
      </end>
      <top style="thin">
        <color auto="1"/>
      </top>
      <bottom style="medium">
        <color indexed="64"/>
      </bottom>
      <diagonal/>
    </border>
    <border>
      <start style="thin">
        <color auto="1"/>
      </start>
      <end/>
      <top style="medium">
        <color indexed="64"/>
      </top>
      <bottom style="thin">
        <color auto="1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thin">
        <color auto="1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auto="1"/>
      </start>
      <end/>
      <top style="thin">
        <color auto="1"/>
      </top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44">
    <xf numFmtId="0" fontId="0" fillId="0" borderId="0" xfId="0"/>
    <xf numFmtId="0" fontId="0" fillId="0" borderId="0" xfId="0" applyAlignment="1">
      <alignment horizontal="left"/>
    </xf>
    <xf numFmtId="0" fontId="0" fillId="0" borderId="0" xfId="0" applyFill="1"/>
    <xf numFmtId="1" fontId="0" fillId="0" borderId="0" xfId="0" applyNumberFormat="1" applyFill="1"/>
    <xf numFmtId="0" fontId="0" fillId="0" borderId="0" xfId="0" applyBorder="1"/>
    <xf numFmtId="0" fontId="0" fillId="2" borderId="0" xfId="0" applyFill="1"/>
    <xf numFmtId="0" fontId="3" fillId="3" borderId="3" xfId="0" applyFont="1" applyFill="1" applyBorder="1" applyAlignment="1">
      <alignment horizontal="center" vertical="top"/>
    </xf>
    <xf numFmtId="0" fontId="3" fillId="3" borderId="5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0" fontId="3" fillId="3" borderId="7" xfId="0" applyFont="1" applyFill="1" applyBorder="1" applyAlignment="1">
      <alignment horizontal="center" vertical="top"/>
    </xf>
    <xf numFmtId="0" fontId="1" fillId="3" borderId="5" xfId="0" applyFont="1" applyFill="1" applyBorder="1" applyAlignment="1">
      <alignment horizontal="center" vertical="top"/>
    </xf>
    <xf numFmtId="0" fontId="1" fillId="3" borderId="6" xfId="0" applyFont="1" applyFill="1" applyBorder="1" applyAlignment="1">
      <alignment horizontal="center" vertical="top"/>
    </xf>
    <xf numFmtId="0" fontId="1" fillId="3" borderId="7" xfId="0" applyFont="1" applyFill="1" applyBorder="1" applyAlignment="1">
      <alignment horizontal="center" vertical="top"/>
    </xf>
    <xf numFmtId="0" fontId="3" fillId="3" borderId="2" xfId="0" applyFont="1" applyFill="1" applyBorder="1" applyAlignment="1">
      <alignment horizontal="center" vertical="top"/>
    </xf>
    <xf numFmtId="0" fontId="3" fillId="3" borderId="4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horizontal="center" vertical="top"/>
    </xf>
    <xf numFmtId="0" fontId="0" fillId="4" borderId="3" xfId="0" applyFont="1" applyFill="1" applyBorder="1"/>
    <xf numFmtId="0" fontId="0" fillId="4" borderId="8" xfId="0" applyFont="1" applyFill="1" applyBorder="1"/>
    <xf numFmtId="0" fontId="0" fillId="4" borderId="1" xfId="0" applyFont="1" applyFill="1" applyBorder="1"/>
    <xf numFmtId="0" fontId="0" fillId="4" borderId="9" xfId="0" applyFont="1" applyFill="1" applyBorder="1"/>
    <xf numFmtId="0" fontId="0" fillId="4" borderId="0" xfId="0" applyFont="1" applyFill="1"/>
    <xf numFmtId="0" fontId="0" fillId="4" borderId="3" xfId="0" applyFill="1" applyBorder="1"/>
    <xf numFmtId="1" fontId="0" fillId="4" borderId="9" xfId="0" applyNumberFormat="1" applyFill="1" applyBorder="1"/>
    <xf numFmtId="0" fontId="0" fillId="4" borderId="9" xfId="0" applyFill="1" applyBorder="1"/>
    <xf numFmtId="0" fontId="0" fillId="4" borderId="0" xfId="0" applyFill="1"/>
    <xf numFmtId="1" fontId="0" fillId="4" borderId="1" xfId="0" applyNumberFormat="1" applyFill="1" applyBorder="1"/>
    <xf numFmtId="173" fontId="0" fillId="4" borderId="8" xfId="0" applyNumberFormat="1" applyFont="1" applyFill="1" applyBorder="1"/>
    <xf numFmtId="173" fontId="0" fillId="4" borderId="1" xfId="0" applyNumberFormat="1" applyFont="1" applyFill="1" applyBorder="1"/>
    <xf numFmtId="173" fontId="0" fillId="4" borderId="9" xfId="0" applyNumberFormat="1" applyFont="1" applyFill="1" applyBorder="1"/>
    <xf numFmtId="173" fontId="0" fillId="4" borderId="1" xfId="0" applyNumberFormat="1" applyFill="1" applyBorder="1"/>
    <xf numFmtId="173" fontId="0" fillId="4" borderId="9" xfId="0" applyNumberFormat="1" applyFill="1" applyBorder="1"/>
    <xf numFmtId="173" fontId="0" fillId="4" borderId="12" xfId="0" applyNumberFormat="1" applyFill="1" applyBorder="1"/>
    <xf numFmtId="173" fontId="0" fillId="4" borderId="4" xfId="0" applyNumberFormat="1" applyFont="1" applyFill="1" applyBorder="1"/>
    <xf numFmtId="173" fontId="0" fillId="4" borderId="4" xfId="0" applyNumberFormat="1" applyFill="1" applyBorder="1"/>
    <xf numFmtId="173" fontId="0" fillId="4" borderId="1" xfId="0" applyNumberFormat="1" applyFont="1" applyFill="1" applyBorder="1" applyAlignment="1">
      <alignment horizontal="right"/>
    </xf>
    <xf numFmtId="173" fontId="0" fillId="4" borderId="1" xfId="0" applyNumberFormat="1" applyFill="1" applyBorder="1" applyAlignment="1">
      <alignment horizontal="right"/>
    </xf>
    <xf numFmtId="173" fontId="0" fillId="4" borderId="2" xfId="0" applyNumberFormat="1" applyFill="1" applyBorder="1"/>
    <xf numFmtId="173" fontId="0" fillId="4" borderId="8" xfId="0" applyNumberFormat="1" applyFill="1" applyBorder="1"/>
    <xf numFmtId="173" fontId="0" fillId="4" borderId="10" xfId="0" applyNumberFormat="1" applyFill="1" applyBorder="1"/>
    <xf numFmtId="173" fontId="0" fillId="4" borderId="3" xfId="0" applyNumberFormat="1" applyFill="1" applyBorder="1"/>
    <xf numFmtId="1" fontId="0" fillId="4" borderId="1" xfId="0" applyNumberFormat="1" applyFont="1" applyFill="1" applyBorder="1"/>
    <xf numFmtId="1" fontId="0" fillId="4" borderId="11" xfId="0" applyNumberFormat="1" applyFill="1" applyBorder="1"/>
    <xf numFmtId="1" fontId="0" fillId="4" borderId="8" xfId="0" applyNumberFormat="1" applyFont="1" applyFill="1" applyBorder="1"/>
    <xf numFmtId="1" fontId="0" fillId="4" borderId="8" xfId="0" applyNumberFormat="1" applyFill="1" applyBorder="1"/>
    <xf numFmtId="173" fontId="0" fillId="4" borderId="2" xfId="0" applyNumberFormat="1" applyFont="1" applyFill="1" applyBorder="1"/>
    <xf numFmtId="173" fontId="0" fillId="4" borderId="3" xfId="0" applyNumberFormat="1" applyFont="1" applyFill="1" applyBorder="1"/>
    <xf numFmtId="0" fontId="1" fillId="3" borderId="4" xfId="0" applyFont="1" applyFill="1" applyBorder="1" applyAlignment="1">
      <alignment horizontal="center" vertical="top"/>
    </xf>
    <xf numFmtId="0" fontId="1" fillId="3" borderId="14" xfId="0" applyFont="1" applyFill="1" applyBorder="1" applyAlignment="1">
      <alignment horizontal="center" vertical="top"/>
    </xf>
    <xf numFmtId="173" fontId="0" fillId="4" borderId="15" xfId="0" applyNumberFormat="1" applyFont="1" applyFill="1" applyBorder="1"/>
    <xf numFmtId="173" fontId="0" fillId="4" borderId="15" xfId="0" applyNumberFormat="1" applyFill="1" applyBorder="1"/>
    <xf numFmtId="173" fontId="0" fillId="4" borderId="11" xfId="0" applyNumberFormat="1" applyFill="1" applyBorder="1" applyAlignment="1">
      <alignment horizontal="right"/>
    </xf>
    <xf numFmtId="173" fontId="0" fillId="4" borderId="11" xfId="0" applyNumberFormat="1" applyFill="1" applyBorder="1"/>
    <xf numFmtId="173" fontId="0" fillId="4" borderId="16" xfId="0" applyNumberFormat="1" applyFill="1" applyBorder="1"/>
    <xf numFmtId="0" fontId="3" fillId="3" borderId="17" xfId="0" applyFont="1" applyFill="1" applyBorder="1" applyAlignment="1">
      <alignment horizontal="center" vertical="top"/>
    </xf>
    <xf numFmtId="0" fontId="3" fillId="3" borderId="18" xfId="0" applyFont="1" applyFill="1" applyBorder="1" applyAlignment="1">
      <alignment horizontal="center" vertical="top"/>
    </xf>
    <xf numFmtId="173" fontId="0" fillId="4" borderId="20" xfId="0" applyNumberFormat="1" applyFont="1" applyFill="1" applyBorder="1"/>
    <xf numFmtId="173" fontId="0" fillId="4" borderId="20" xfId="0" applyNumberFormat="1" applyFill="1" applyBorder="1"/>
    <xf numFmtId="173" fontId="0" fillId="4" borderId="21" xfId="0" applyNumberFormat="1" applyFill="1" applyBorder="1"/>
    <xf numFmtId="0" fontId="1" fillId="3" borderId="17" xfId="0" applyFont="1" applyFill="1" applyBorder="1" applyAlignment="1">
      <alignment horizontal="center" vertical="top"/>
    </xf>
    <xf numFmtId="1" fontId="0" fillId="4" borderId="10" xfId="0" applyNumberFormat="1" applyFill="1" applyBorder="1"/>
    <xf numFmtId="0" fontId="0" fillId="4" borderId="20" xfId="0" applyFont="1" applyFill="1" applyBorder="1"/>
    <xf numFmtId="0" fontId="0" fillId="4" borderId="20" xfId="0" applyFill="1" applyBorder="1"/>
    <xf numFmtId="0" fontId="0" fillId="4" borderId="21" xfId="0" applyFill="1" applyBorder="1"/>
    <xf numFmtId="0" fontId="0" fillId="4" borderId="10" xfId="0" applyFont="1" applyFill="1" applyBorder="1"/>
    <xf numFmtId="1" fontId="0" fillId="4" borderId="12" xfId="0" applyNumberFormat="1" applyFill="1" applyBorder="1"/>
    <xf numFmtId="0" fontId="0" fillId="0" borderId="1" xfId="0" applyFill="1" applyBorder="1"/>
    <xf numFmtId="173" fontId="0" fillId="0" borderId="1" xfId="0" applyNumberFormat="1" applyFill="1" applyBorder="1"/>
    <xf numFmtId="0" fontId="0" fillId="0" borderId="8" xfId="0" applyFill="1" applyBorder="1"/>
    <xf numFmtId="173" fontId="0" fillId="0" borderId="9" xfId="0" applyNumberFormat="1" applyFill="1" applyBorder="1"/>
    <xf numFmtId="0" fontId="0" fillId="0" borderId="10" xfId="0" applyFill="1" applyBorder="1"/>
    <xf numFmtId="173" fontId="0" fillId="0" borderId="12" xfId="0" applyNumberFormat="1" applyFill="1" applyBorder="1"/>
    <xf numFmtId="0" fontId="1" fillId="0" borderId="1" xfId="0" applyFont="1" applyFill="1" applyBorder="1" applyAlignment="1">
      <alignment horizontal="left" vertical="top"/>
    </xf>
    <xf numFmtId="0" fontId="0" fillId="0" borderId="0" xfId="0" applyFill="1" applyAlignment="1">
      <alignment horizontal="left"/>
    </xf>
    <xf numFmtId="10" fontId="0" fillId="0" borderId="0" xfId="0" applyNumberFormat="1" applyFill="1" applyAlignment="1">
      <alignment horizontal="left"/>
    </xf>
    <xf numFmtId="0" fontId="0" fillId="0" borderId="23" xfId="0" applyBorder="1"/>
    <xf numFmtId="173" fontId="0" fillId="0" borderId="0" xfId="0" applyNumberFormat="1" applyBorder="1"/>
    <xf numFmtId="0" fontId="0" fillId="0" borderId="24" xfId="0" applyBorder="1"/>
    <xf numFmtId="0" fontId="0" fillId="0" borderId="26" xfId="0" applyBorder="1"/>
    <xf numFmtId="173" fontId="0" fillId="0" borderId="26" xfId="0" applyNumberFormat="1" applyBorder="1"/>
    <xf numFmtId="173" fontId="0" fillId="4" borderId="22" xfId="0" applyNumberFormat="1" applyFill="1" applyBorder="1"/>
    <xf numFmtId="0" fontId="3" fillId="3" borderId="5" xfId="0" applyFont="1" applyFill="1" applyBorder="1"/>
    <xf numFmtId="43" fontId="0" fillId="4" borderId="8" xfId="1" applyFont="1" applyFill="1" applyBorder="1"/>
    <xf numFmtId="43" fontId="0" fillId="4" borderId="1" xfId="1" applyFont="1" applyFill="1" applyBorder="1"/>
    <xf numFmtId="43" fontId="0" fillId="4" borderId="9" xfId="1" applyFont="1" applyFill="1" applyBorder="1"/>
    <xf numFmtId="43" fontId="0" fillId="4" borderId="10" xfId="1" applyFont="1" applyFill="1" applyBorder="1"/>
    <xf numFmtId="43" fontId="0" fillId="4" borderId="11" xfId="1" applyFont="1" applyFill="1" applyBorder="1"/>
    <xf numFmtId="43" fontId="0" fillId="4" borderId="12" xfId="1" applyFont="1" applyFill="1" applyBorder="1"/>
    <xf numFmtId="0" fontId="6" fillId="5" borderId="5" xfId="0" applyFont="1" applyFill="1" applyBorder="1"/>
    <xf numFmtId="43" fontId="7" fillId="6" borderId="27" xfId="0" applyNumberFormat="1" applyFont="1" applyFill="1" applyBorder="1"/>
    <xf numFmtId="43" fontId="7" fillId="6" borderId="28" xfId="0" applyNumberFormat="1" applyFont="1" applyFill="1" applyBorder="1"/>
    <xf numFmtId="43" fontId="7" fillId="6" borderId="29" xfId="0" applyNumberFormat="1" applyFont="1" applyFill="1" applyBorder="1"/>
    <xf numFmtId="43" fontId="7" fillId="6" borderId="30" xfId="0" applyNumberFormat="1" applyFont="1" applyFill="1" applyBorder="1"/>
    <xf numFmtId="43" fontId="7" fillId="6" borderId="31" xfId="0" applyNumberFormat="1" applyFont="1" applyFill="1" applyBorder="1"/>
    <xf numFmtId="43" fontId="7" fillId="6" borderId="25" xfId="0" applyNumberFormat="1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180" fontId="0" fillId="0" borderId="8" xfId="0" applyNumberFormat="1" applyBorder="1"/>
    <xf numFmtId="180" fontId="0" fillId="0" borderId="1" xfId="0" applyNumberFormat="1" applyBorder="1"/>
    <xf numFmtId="180" fontId="0" fillId="0" borderId="9" xfId="0" applyNumberFormat="1" applyBorder="1"/>
    <xf numFmtId="180" fontId="0" fillId="0" borderId="10" xfId="0" applyNumberFormat="1" applyBorder="1"/>
    <xf numFmtId="180" fontId="0" fillId="0" borderId="11" xfId="0" applyNumberFormat="1" applyBorder="1"/>
    <xf numFmtId="43" fontId="0" fillId="4" borderId="3" xfId="1" applyFont="1" applyFill="1" applyBorder="1"/>
    <xf numFmtId="43" fontId="0" fillId="4" borderId="22" xfId="1" applyFont="1" applyFill="1" applyBorder="1"/>
    <xf numFmtId="182" fontId="0" fillId="4" borderId="1" xfId="0" applyNumberFormat="1" applyFont="1" applyFill="1" applyBorder="1"/>
    <xf numFmtId="182" fontId="0" fillId="4" borderId="1" xfId="0" applyNumberFormat="1" applyFill="1" applyBorder="1"/>
    <xf numFmtId="0" fontId="8" fillId="3" borderId="32" xfId="0" applyFont="1" applyFill="1" applyBorder="1" applyAlignment="1">
      <alignment horizontal="center" vertical="top"/>
    </xf>
    <xf numFmtId="0" fontId="8" fillId="3" borderId="33" xfId="0" applyFont="1" applyFill="1" applyBorder="1" applyAlignment="1">
      <alignment horizontal="center" vertical="top"/>
    </xf>
    <xf numFmtId="173" fontId="0" fillId="4" borderId="5" xfId="0" applyNumberFormat="1" applyFont="1" applyFill="1" applyBorder="1"/>
    <xf numFmtId="173" fontId="0" fillId="4" borderId="6" xfId="0" applyNumberFormat="1" applyFont="1" applyFill="1" applyBorder="1"/>
    <xf numFmtId="182" fontId="0" fillId="4" borderId="6" xfId="0" applyNumberFormat="1" applyFont="1" applyFill="1" applyBorder="1"/>
    <xf numFmtId="1" fontId="0" fillId="4" borderId="7" xfId="0" applyNumberFormat="1" applyFont="1" applyFill="1" applyBorder="1"/>
    <xf numFmtId="1" fontId="0" fillId="4" borderId="9" xfId="0" applyNumberFormat="1" applyFont="1" applyFill="1" applyBorder="1"/>
    <xf numFmtId="182" fontId="0" fillId="4" borderId="11" xfId="0" applyNumberFormat="1" applyFill="1" applyBorder="1"/>
    <xf numFmtId="0" fontId="6" fillId="5" borderId="19" xfId="0" applyFont="1" applyFill="1" applyBorder="1"/>
    <xf numFmtId="0" fontId="6" fillId="5" borderId="14" xfId="0" applyFont="1" applyFill="1" applyBorder="1"/>
    <xf numFmtId="0" fontId="4" fillId="0" borderId="1" xfId="0" applyFont="1" applyFill="1" applyBorder="1"/>
    <xf numFmtId="173" fontId="4" fillId="0" borderId="1" xfId="0" applyNumberFormat="1" applyFont="1" applyFill="1" applyBorder="1"/>
    <xf numFmtId="173" fontId="5" fillId="0" borderId="1" xfId="0" applyNumberFormat="1" applyFont="1" applyFill="1" applyBorder="1"/>
    <xf numFmtId="173" fontId="4" fillId="0" borderId="9" xfId="0" applyNumberFormat="1" applyFont="1" applyFill="1" applyBorder="1"/>
    <xf numFmtId="173" fontId="5" fillId="0" borderId="9" xfId="0" applyNumberFormat="1" applyFont="1" applyFill="1" applyBorder="1"/>
    <xf numFmtId="0" fontId="4" fillId="0" borderId="11" xfId="0" applyFont="1" applyFill="1" applyBorder="1"/>
    <xf numFmtId="173" fontId="4" fillId="0" borderId="11" xfId="0" applyNumberFormat="1" applyFont="1" applyFill="1" applyBorder="1"/>
    <xf numFmtId="173" fontId="0" fillId="0" borderId="11" xfId="0" applyNumberFormat="1" applyFill="1" applyBorder="1"/>
    <xf numFmtId="173" fontId="5" fillId="0" borderId="11" xfId="0" applyNumberFormat="1" applyFont="1" applyFill="1" applyBorder="1"/>
    <xf numFmtId="173" fontId="5" fillId="0" borderId="12" xfId="0" applyNumberFormat="1" applyFont="1" applyFill="1" applyBorder="1"/>
    <xf numFmtId="0" fontId="0" fillId="0" borderId="0" xfId="0" applyFill="1" applyBorder="1"/>
    <xf numFmtId="0" fontId="1" fillId="0" borderId="0" xfId="0" applyFont="1" applyFill="1" applyBorder="1" applyAlignment="1">
      <alignment horizontal="center" vertical="top"/>
    </xf>
    <xf numFmtId="0" fontId="3" fillId="0" borderId="5" xfId="0" applyFont="1" applyFill="1" applyBorder="1" applyAlignment="1">
      <alignment horizontal="left"/>
    </xf>
    <xf numFmtId="0" fontId="6" fillId="0" borderId="7" xfId="0" applyFont="1" applyFill="1" applyBorder="1" applyAlignment="1">
      <alignment horizontal="left"/>
    </xf>
    <xf numFmtId="0" fontId="3" fillId="0" borderId="8" xfId="0" applyFont="1" applyFill="1" applyBorder="1" applyAlignment="1">
      <alignment horizontal="left"/>
    </xf>
    <xf numFmtId="0" fontId="6" fillId="0" borderId="9" xfId="0" applyFont="1" applyFill="1" applyBorder="1" applyAlignment="1">
      <alignment horizontal="left"/>
    </xf>
    <xf numFmtId="173" fontId="3" fillId="0" borderId="9" xfId="0" applyNumberFormat="1" applyFont="1" applyFill="1" applyBorder="1" applyAlignment="1">
      <alignment horizontal="left"/>
    </xf>
    <xf numFmtId="0" fontId="3" fillId="0" borderId="9" xfId="0" applyFont="1" applyFill="1" applyBorder="1" applyAlignment="1">
      <alignment horizontal="left"/>
    </xf>
    <xf numFmtId="0" fontId="1" fillId="0" borderId="8" xfId="0" applyFont="1" applyFill="1" applyBorder="1" applyAlignment="1">
      <alignment horizontal="left" vertical="top"/>
    </xf>
    <xf numFmtId="0" fontId="3" fillId="0" borderId="10" xfId="0" applyFont="1" applyFill="1" applyBorder="1" applyAlignment="1">
      <alignment horizontal="left"/>
    </xf>
    <xf numFmtId="0" fontId="3" fillId="0" borderId="12" xfId="0" applyFont="1" applyFill="1" applyBorder="1" applyAlignment="1">
      <alignment horizontal="left"/>
    </xf>
    <xf numFmtId="0" fontId="0" fillId="0" borderId="9" xfId="0" applyNumberFormat="1" applyFill="1" applyBorder="1"/>
    <xf numFmtId="1" fontId="4" fillId="0" borderId="1" xfId="0" applyNumberFormat="1" applyFont="1" applyFill="1" applyBorder="1"/>
    <xf numFmtId="1" fontId="4" fillId="0" borderId="11" xfId="0" applyNumberFormat="1" applyFont="1" applyFill="1" applyBorder="1"/>
    <xf numFmtId="0" fontId="5" fillId="0" borderId="1" xfId="0" applyFont="1" applyFill="1" applyBorder="1"/>
    <xf numFmtId="0" fontId="5" fillId="0" borderId="11" xfId="0" applyFont="1" applyFill="1" applyBorder="1"/>
    <xf numFmtId="173" fontId="5" fillId="0" borderId="8" xfId="0" applyNumberFormat="1" applyFont="1" applyFill="1" applyBorder="1"/>
    <xf numFmtId="173" fontId="0" fillId="0" borderId="13" xfId="0" applyNumberFormat="1" applyFont="1" applyFill="1" applyBorder="1"/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haredStrings" Target="sharedStrings.xml"/><Relationship Id="rId5" Type="http://purl.oclc.org/ooxml/officeDocument/relationships/worksheet" Target="worksheets/sheet5.xml"/><Relationship Id="rId10" Type="http://purl.oclc.org/ooxml/officeDocument/relationships/styles" Target="styles.xml"/><Relationship Id="rId4" Type="http://purl.oclc.org/ooxml/officeDocument/relationships/worksheet" Target="worksheets/sheet4.xml"/><Relationship Id="rId9" Type="http://purl.oclc.org/ooxml/officeDocument/relationships/theme" Target="theme/theme1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21"/>
  <sheetViews>
    <sheetView topLeftCell="W1" workbookViewId="0">
      <selection activeCell="W1" sqref="W1:W2"/>
    </sheetView>
  </sheetViews>
  <sheetFormatPr baseColWidth="10" defaultColWidth="16" defaultRowHeight="15" x14ac:dyDescent="0.2"/>
  <cols>
    <col min="3" max="3" width="24" customWidth="1"/>
    <col min="4" max="4" width="32.1640625" customWidth="1"/>
    <col min="9" max="9" width="17.33203125" customWidth="1"/>
    <col min="12" max="12" width="20.33203125" customWidth="1"/>
    <col min="13" max="13" width="27" customWidth="1"/>
    <col min="15" max="15" width="27.33203125" customWidth="1"/>
    <col min="17" max="17" width="26.5" customWidth="1"/>
    <col min="18" max="18" width="17" customWidth="1"/>
    <col min="19" max="19" width="22" customWidth="1"/>
    <col min="20" max="20" width="17.83203125" customWidth="1"/>
    <col min="21" max="21" width="19.83203125" customWidth="1"/>
    <col min="22" max="22" width="20.33203125" customWidth="1"/>
    <col min="23" max="23" width="23.33203125" customWidth="1"/>
    <col min="24" max="24" width="18" customWidth="1"/>
    <col min="25" max="25" width="24" customWidth="1"/>
    <col min="26" max="26" width="19.33203125" customWidth="1"/>
    <col min="28" max="28" width="26.33203125" customWidth="1"/>
    <col min="29" max="29" width="23.5" customWidth="1"/>
    <col min="31" max="31" width="34.5" customWidth="1"/>
    <col min="34" max="34" width="27" customWidth="1"/>
    <col min="35" max="35" width="27.33203125" customWidth="1"/>
    <col min="36" max="37" width="25.83203125" customWidth="1"/>
  </cols>
  <sheetData>
    <row r="1" spans="1:37" s="5" customFormat="1" ht="16" thickBot="1" x14ac:dyDescent="0.25">
      <c r="A1" s="55" t="s">
        <v>0</v>
      </c>
      <c r="B1" s="7" t="s">
        <v>54</v>
      </c>
      <c r="C1" s="9" t="s">
        <v>84</v>
      </c>
      <c r="D1" s="55" t="s">
        <v>18</v>
      </c>
      <c r="E1" s="7" t="s">
        <v>20</v>
      </c>
      <c r="F1" s="9" t="s">
        <v>23</v>
      </c>
      <c r="G1" s="10" t="s">
        <v>4</v>
      </c>
      <c r="H1" s="9" t="s">
        <v>21</v>
      </c>
      <c r="I1" s="7" t="s">
        <v>22</v>
      </c>
      <c r="J1" s="11" t="s">
        <v>83</v>
      </c>
      <c r="K1" s="11" t="s">
        <v>29</v>
      </c>
      <c r="L1" s="11" t="s">
        <v>85</v>
      </c>
      <c r="M1" s="11" t="s">
        <v>86</v>
      </c>
      <c r="N1" s="11" t="s">
        <v>1</v>
      </c>
      <c r="O1" s="11" t="s">
        <v>2</v>
      </c>
      <c r="P1" s="59" t="s">
        <v>3</v>
      </c>
      <c r="Q1" s="7" t="s">
        <v>24</v>
      </c>
      <c r="R1" s="8" t="s">
        <v>28</v>
      </c>
      <c r="S1" s="8" t="s">
        <v>87</v>
      </c>
      <c r="T1" s="8" t="s">
        <v>71</v>
      </c>
      <c r="U1" s="8" t="s">
        <v>19</v>
      </c>
      <c r="V1" s="9" t="s">
        <v>25</v>
      </c>
      <c r="W1" s="10" t="s">
        <v>82</v>
      </c>
      <c r="X1" s="9" t="s">
        <v>26</v>
      </c>
      <c r="Y1" s="7" t="s">
        <v>27</v>
      </c>
      <c r="Z1" s="8" t="s">
        <v>70</v>
      </c>
      <c r="AA1" s="12" t="s">
        <v>80</v>
      </c>
      <c r="AB1" s="48" t="s">
        <v>88</v>
      </c>
      <c r="AC1" s="10" t="s">
        <v>81</v>
      </c>
      <c r="AD1" s="54" t="s">
        <v>30</v>
      </c>
      <c r="AE1" s="81" t="s">
        <v>100</v>
      </c>
      <c r="AF1" s="95" t="s">
        <v>99</v>
      </c>
      <c r="AG1" s="96" t="s">
        <v>101</v>
      </c>
      <c r="AH1" s="106" t="s">
        <v>102</v>
      </c>
      <c r="AI1" s="107" t="s">
        <v>103</v>
      </c>
      <c r="AJ1" s="106" t="s">
        <v>104</v>
      </c>
      <c r="AK1" s="107" t="s">
        <v>5</v>
      </c>
    </row>
    <row r="2" spans="1:37" s="21" customFormat="1" x14ac:dyDescent="0.2">
      <c r="A2" s="61">
        <v>1</v>
      </c>
      <c r="B2" s="18">
        <v>3000</v>
      </c>
      <c r="C2" s="20">
        <v>20000</v>
      </c>
      <c r="D2" s="56">
        <f>B2*C2</f>
        <v>60000000</v>
      </c>
      <c r="E2" s="27">
        <f>D2*0.15</f>
        <v>9000000</v>
      </c>
      <c r="F2" s="29">
        <f>25000*4+30000* 8</f>
        <v>340000</v>
      </c>
      <c r="G2" s="43">
        <v>5</v>
      </c>
      <c r="H2" s="29">
        <f>1*100000+11*250000</f>
        <v>2850000</v>
      </c>
      <c r="I2" s="27">
        <f>O2*55000*12</f>
        <v>660000</v>
      </c>
      <c r="J2" s="28">
        <f>110000*P2*12</f>
        <v>0</v>
      </c>
      <c r="K2" s="28">
        <v>992750</v>
      </c>
      <c r="L2" s="41">
        <v>0</v>
      </c>
      <c r="M2" s="41">
        <f>ROUNDDOWN(K2 / 900000, 0)</f>
        <v>1</v>
      </c>
      <c r="N2" s="41">
        <v>0</v>
      </c>
      <c r="O2" s="19">
        <v>1</v>
      </c>
      <c r="P2" s="17">
        <f>IF(O2 &lt; 10, 0, ROUNDDOWN(O2 / 10, 0))</f>
        <v>0</v>
      </c>
      <c r="Q2" s="27">
        <f>D2*0.01</f>
        <v>600000</v>
      </c>
      <c r="R2" s="28">
        <v>900000</v>
      </c>
      <c r="S2" s="28">
        <v>0</v>
      </c>
      <c r="T2" s="28">
        <f>E2+F2+H2+I2+K2+Q2+J2</f>
        <v>14442750</v>
      </c>
      <c r="U2" s="28">
        <f>D2/1.6</f>
        <v>37500000</v>
      </c>
      <c r="V2" s="29">
        <f>S2+T2+U2+R2</f>
        <v>52842750</v>
      </c>
      <c r="W2" s="27">
        <f>C2*0.3*500</f>
        <v>3000000</v>
      </c>
      <c r="X2" s="29">
        <f>D2-T2-U2+W2</f>
        <v>11057250</v>
      </c>
      <c r="Y2" s="27">
        <f xml:space="preserve"> (D2- V2) * 0.15</f>
        <v>1073587.5</v>
      </c>
      <c r="Z2" s="35">
        <f>D2*0.025</f>
        <v>1500000</v>
      </c>
      <c r="AA2" s="29">
        <f>IF(D2&gt; 60000000,D2* 0.2 / 1.2, 0)</f>
        <v>0</v>
      </c>
      <c r="AB2" s="49">
        <f>H2 * 30%</f>
        <v>855000</v>
      </c>
      <c r="AC2" s="27">
        <f>D2-U2</f>
        <v>22500000</v>
      </c>
      <c r="AD2" s="46">
        <f>X2-Y2-Z2-AA2-AB2</f>
        <v>7628662.5</v>
      </c>
      <c r="AE2" s="82">
        <f>D2/AD2</f>
        <v>7.8650746444740474</v>
      </c>
      <c r="AF2" s="83">
        <f>AC2/D2*100</f>
        <v>37.5</v>
      </c>
      <c r="AG2" s="102">
        <f>X2/D2*100</f>
        <v>18.428750000000001</v>
      </c>
      <c r="AH2" s="108">
        <f>U2/C2</f>
        <v>1875</v>
      </c>
      <c r="AI2" s="109">
        <f>V2-U2</f>
        <v>15342750</v>
      </c>
      <c r="AJ2" s="110">
        <f>B2* (AI2/(B2-AH2))</f>
        <v>40914000</v>
      </c>
      <c r="AK2" s="111">
        <f>AI2/(B2-AH2)</f>
        <v>13638</v>
      </c>
    </row>
    <row r="3" spans="1:37" s="25" customFormat="1" x14ac:dyDescent="0.2">
      <c r="A3" s="62">
        <v>2</v>
      </c>
      <c r="B3" s="18">
        <v>3000</v>
      </c>
      <c r="C3" s="23">
        <f>C2*2.5</f>
        <v>50000</v>
      </c>
      <c r="D3" s="57">
        <f>B3*C3</f>
        <v>150000000</v>
      </c>
      <c r="E3" s="38">
        <f>D3*0.1</f>
        <v>15000000</v>
      </c>
      <c r="F3" s="31">
        <f>F2*1.1</f>
        <v>374000.00000000006</v>
      </c>
      <c r="G3" s="44">
        <f>O3*3+P3*5</f>
        <v>6</v>
      </c>
      <c r="H3" s="31">
        <f>50000*G3*12</f>
        <v>3600000</v>
      </c>
      <c r="I3" s="38">
        <f>55000*O3*12</f>
        <v>1320000</v>
      </c>
      <c r="J3" s="30">
        <f>110000*P3*12</f>
        <v>0</v>
      </c>
      <c r="K3" s="30">
        <f>D3*0.01</f>
        <v>1500000</v>
      </c>
      <c r="L3" s="26">
        <f>ROUNDUP(C3 / 60000, 0)</f>
        <v>1</v>
      </c>
      <c r="M3" s="26">
        <f>ROUNDDOWN(K3 / 900000, 0)</f>
        <v>1</v>
      </c>
      <c r="N3" s="26">
        <f>MAX(MIN(L3 - O2, M3), 0)</f>
        <v>0</v>
      </c>
      <c r="O3" s="26">
        <v>2</v>
      </c>
      <c r="P3" s="22">
        <f>IF(O3 &lt; 10, 0, ROUNDDOWN(O3 / 10, 0))</f>
        <v>0</v>
      </c>
      <c r="Q3" s="38">
        <f>D3*0.01</f>
        <v>1500000</v>
      </c>
      <c r="R3" s="28">
        <f>N3* 900000</f>
        <v>0</v>
      </c>
      <c r="S3" s="30">
        <f>R3 * 0.5</f>
        <v>0</v>
      </c>
      <c r="T3" s="30">
        <f>E3+F3+H3+I3+K3+J3+Q3</f>
        <v>23294000</v>
      </c>
      <c r="U3" s="30">
        <f>D3/1.6</f>
        <v>93750000</v>
      </c>
      <c r="V3" s="31">
        <f>S3+T3+U3</f>
        <v>117044000</v>
      </c>
      <c r="W3" s="38">
        <f>C3*0.3*500</f>
        <v>7500000</v>
      </c>
      <c r="X3" s="31">
        <f>D3-T3-U3+W3</f>
        <v>40456000</v>
      </c>
      <c r="Y3" s="38">
        <f xml:space="preserve"> (D3- V3) * 0.15</f>
        <v>4943400</v>
      </c>
      <c r="Z3" s="36">
        <f>D3*0.025</f>
        <v>3750000</v>
      </c>
      <c r="AA3" s="31">
        <f>IF(D3&gt; 60000000,D3* 0.2 / 1.2, 0)</f>
        <v>25000000</v>
      </c>
      <c r="AB3" s="50">
        <f>H3 * 30%</f>
        <v>1080000</v>
      </c>
      <c r="AC3" s="38">
        <f>D3-U3</f>
        <v>56250000</v>
      </c>
      <c r="AD3" s="40">
        <f>X3-Y3-Z3-AA3-AB3</f>
        <v>5682600</v>
      </c>
      <c r="AE3" s="82">
        <f>D3/AD3</f>
        <v>26.396367859782494</v>
      </c>
      <c r="AF3" s="83">
        <f>AC3/D3*100</f>
        <v>37.5</v>
      </c>
      <c r="AG3" s="102">
        <f>X3/D3*100</f>
        <v>26.970666666666666</v>
      </c>
      <c r="AH3" s="38">
        <f>U3/C3</f>
        <v>1875</v>
      </c>
      <c r="AI3" s="30">
        <f>V3-U3</f>
        <v>23294000</v>
      </c>
      <c r="AJ3" s="105">
        <f>B3* (AI3/(B3-AH3))</f>
        <v>62117333.333333336</v>
      </c>
      <c r="AK3" s="23">
        <f>AI3/(B3-AH3)</f>
        <v>20705.777777777777</v>
      </c>
    </row>
    <row r="4" spans="1:37" s="25" customFormat="1" x14ac:dyDescent="0.2">
      <c r="A4" s="62">
        <v>3</v>
      </c>
      <c r="B4" s="18">
        <v>3000</v>
      </c>
      <c r="C4" s="23">
        <f>C3*2</f>
        <v>100000</v>
      </c>
      <c r="D4" s="57">
        <f>B4*C4</f>
        <v>300000000</v>
      </c>
      <c r="E4" s="38">
        <f>D4*0.1</f>
        <v>30000000</v>
      </c>
      <c r="F4" s="31">
        <f t="shared" ref="F4:F10" si="0">F3*1.1</f>
        <v>411400.00000000012</v>
      </c>
      <c r="G4" s="44">
        <f>O4*3+P4*5</f>
        <v>6</v>
      </c>
      <c r="H4" s="31">
        <f>50000*G4*12</f>
        <v>3600000</v>
      </c>
      <c r="I4" s="38">
        <f>55000*O4*12</f>
        <v>1320000</v>
      </c>
      <c r="J4" s="30">
        <f>110000*P4*12</f>
        <v>0</v>
      </c>
      <c r="K4" s="30">
        <f>D4*0.01</f>
        <v>3000000</v>
      </c>
      <c r="L4" s="26">
        <f>ROUNDUP(C4 / 60000, 0)</f>
        <v>2</v>
      </c>
      <c r="M4" s="26">
        <f>ROUNDDOWN(K4 / 900000, 0)</f>
        <v>3</v>
      </c>
      <c r="N4" s="26">
        <f>MAX(MIN(L4 - O3, M4), 0)</f>
        <v>0</v>
      </c>
      <c r="O4" s="26">
        <f>N4+O3</f>
        <v>2</v>
      </c>
      <c r="P4" s="22">
        <f>IF(O3 &lt; 10, 0, ROUNDDOWN(O3 / 10, 0))</f>
        <v>0</v>
      </c>
      <c r="Q4" s="38">
        <f>D4*0.01</f>
        <v>3000000</v>
      </c>
      <c r="R4" s="30">
        <f>N4*900000</f>
        <v>0</v>
      </c>
      <c r="S4" s="30">
        <f>R4 * 0.5</f>
        <v>0</v>
      </c>
      <c r="T4" s="30">
        <f>E4+F4+H4+I4+K4+J4+Q4</f>
        <v>41331400</v>
      </c>
      <c r="U4" s="28">
        <f>D4/1.6</f>
        <v>187500000</v>
      </c>
      <c r="V4" s="31">
        <f>S4+T4+U4</f>
        <v>228831400</v>
      </c>
      <c r="W4" s="38">
        <f>C4*0.3*500</f>
        <v>15000000</v>
      </c>
      <c r="X4" s="31">
        <f>D4-T4-U4+W4</f>
        <v>86168600</v>
      </c>
      <c r="Y4" s="38">
        <f xml:space="preserve"> (D4- V4) * 0.15</f>
        <v>10675290</v>
      </c>
      <c r="Z4" s="36">
        <f>D4*0.025</f>
        <v>7500000</v>
      </c>
      <c r="AA4" s="31">
        <f>IF(D4&gt; 60000000,D4* 0.2 / 1.2, 0)</f>
        <v>50000000</v>
      </c>
      <c r="AB4" s="50">
        <f>H4 * 30%</f>
        <v>1080000</v>
      </c>
      <c r="AC4" s="38">
        <f>D4-U4</f>
        <v>112500000</v>
      </c>
      <c r="AD4" s="40">
        <f>X4-Y4-Z4-AA4-AB4</f>
        <v>16913310</v>
      </c>
      <c r="AE4" s="82">
        <f>D4/AD4</f>
        <v>17.737509689114667</v>
      </c>
      <c r="AF4" s="83">
        <f>AC4/D4*100</f>
        <v>37.5</v>
      </c>
      <c r="AG4" s="102">
        <f>X4/D4*100</f>
        <v>28.722866666666668</v>
      </c>
      <c r="AH4" s="38">
        <f>U4/C4</f>
        <v>1875</v>
      </c>
      <c r="AI4" s="30">
        <f>V4-U4</f>
        <v>41331400</v>
      </c>
      <c r="AJ4" s="105">
        <f>B4* (AI4/(B4-AH4))</f>
        <v>110217066.66666667</v>
      </c>
      <c r="AK4" s="23">
        <f>AI4/(B4-AH4)</f>
        <v>36739.022222222222</v>
      </c>
    </row>
    <row r="5" spans="1:37" s="25" customFormat="1" x14ac:dyDescent="0.2">
      <c r="A5" s="62">
        <v>4</v>
      </c>
      <c r="B5" s="18">
        <v>3000</v>
      </c>
      <c r="C5" s="23">
        <f>C4*2</f>
        <v>200000</v>
      </c>
      <c r="D5" s="57">
        <f>B5*C5</f>
        <v>600000000</v>
      </c>
      <c r="E5" s="38">
        <f>D5*0.1</f>
        <v>60000000</v>
      </c>
      <c r="F5" s="31">
        <f t="shared" si="0"/>
        <v>452540.00000000017</v>
      </c>
      <c r="G5" s="44">
        <f>O5*3+P5*5</f>
        <v>12</v>
      </c>
      <c r="H5" s="31">
        <f>50000*G5*12</f>
        <v>7200000</v>
      </c>
      <c r="I5" s="38">
        <f>55000*O5*12</f>
        <v>2640000</v>
      </c>
      <c r="J5" s="30">
        <f>110000*P5*12</f>
        <v>0</v>
      </c>
      <c r="K5" s="30">
        <f>D5*0.01</f>
        <v>6000000</v>
      </c>
      <c r="L5" s="26">
        <f>ROUNDUP(C5 / 60000, 0)</f>
        <v>4</v>
      </c>
      <c r="M5" s="26">
        <f>ROUNDDOWN(K5 / 900000, 0)</f>
        <v>6</v>
      </c>
      <c r="N5" s="26">
        <f t="shared" ref="N5:N21" si="1">MAX(MIN(L5 - O4, M5), 0)</f>
        <v>2</v>
      </c>
      <c r="O5" s="26">
        <f>N5+O4</f>
        <v>4</v>
      </c>
      <c r="P5" s="17">
        <f t="shared" ref="P5:P6" si="2">IF(O5 &lt; 10, 0, ROUNDDOWN(O5 / 10, 0))</f>
        <v>0</v>
      </c>
      <c r="Q5" s="38">
        <f>D5*0.01</f>
        <v>6000000</v>
      </c>
      <c r="R5" s="30">
        <f>N5*900000</f>
        <v>1800000</v>
      </c>
      <c r="S5" s="30">
        <f>R5 * 0.5</f>
        <v>900000</v>
      </c>
      <c r="T5" s="28">
        <f>E5+F5+H5+I5+K5+Q5+J5</f>
        <v>82292540</v>
      </c>
      <c r="U5" s="28">
        <f t="shared" ref="U5:U21" si="3">D5/1.6</f>
        <v>375000000</v>
      </c>
      <c r="V5" s="31">
        <f>S5+T5+U5</f>
        <v>458192540</v>
      </c>
      <c r="W5" s="38">
        <f>C5*0.3*500</f>
        <v>30000000</v>
      </c>
      <c r="X5" s="31">
        <f>D5-T5-U5+W5</f>
        <v>172707460</v>
      </c>
      <c r="Y5" s="27">
        <f t="shared" ref="Y5:Y20" si="4" xml:space="preserve"> (D5- V5) * 0.15</f>
        <v>21271119</v>
      </c>
      <c r="Z5" s="35">
        <f t="shared" ref="Z5:Z21" si="5">D5*0.025</f>
        <v>15000000</v>
      </c>
      <c r="AA5" s="29">
        <f t="shared" ref="AA5:AA21" si="6">IF(D5&gt; 60000000,D5* 0.2 / 1.2, 0)</f>
        <v>100000000</v>
      </c>
      <c r="AB5" s="49">
        <f t="shared" ref="AB5:AB21" si="7">H5 * 30%</f>
        <v>2160000</v>
      </c>
      <c r="AC5" s="27">
        <f t="shared" ref="AC5:AC21" si="8">D5-U5</f>
        <v>225000000</v>
      </c>
      <c r="AD5" s="46">
        <f t="shared" ref="AD5:AD21" si="9">X5-Y5-Z5-AA5-AB5</f>
        <v>34276341</v>
      </c>
      <c r="AE5" s="82">
        <f t="shared" ref="AE5:AE21" si="10">D5/AD5</f>
        <v>17.504785589570368</v>
      </c>
      <c r="AF5" s="83">
        <f t="shared" ref="AF5:AF21" si="11">AC5/D5*100</f>
        <v>37.5</v>
      </c>
      <c r="AG5" s="102">
        <f t="shared" ref="AG5:AG21" si="12">X5/D5*100</f>
        <v>28.784576666666666</v>
      </c>
      <c r="AH5" s="27">
        <f t="shared" ref="AH5:AH21" si="13">U5/C5</f>
        <v>1875</v>
      </c>
      <c r="AI5" s="28">
        <f t="shared" ref="AI5:AI21" si="14">V5-U5</f>
        <v>83192540</v>
      </c>
      <c r="AJ5" s="104">
        <f t="shared" ref="AJ5:AJ21" si="15">B5* (AI5/(B5-AH5))</f>
        <v>221846773.33333334</v>
      </c>
      <c r="AK5" s="112">
        <f t="shared" ref="AK5:AK21" si="16">AI5/(B5-AH5)</f>
        <v>73948.924444444448</v>
      </c>
    </row>
    <row r="6" spans="1:37" s="25" customFormat="1" x14ac:dyDescent="0.2">
      <c r="A6" s="62">
        <v>5</v>
      </c>
      <c r="B6" s="18">
        <v>3000</v>
      </c>
      <c r="C6" s="23">
        <f>C5*2</f>
        <v>400000</v>
      </c>
      <c r="D6" s="57">
        <f t="shared" ref="D6:D21" si="17">B6*C6</f>
        <v>1200000000</v>
      </c>
      <c r="E6" s="38">
        <f t="shared" ref="E6:E21" si="18">D6*0.1</f>
        <v>120000000</v>
      </c>
      <c r="F6" s="31">
        <f t="shared" si="0"/>
        <v>497794.00000000023</v>
      </c>
      <c r="G6" s="44">
        <f t="shared" ref="G6:G21" si="19">O6*3+P6*5</f>
        <v>21</v>
      </c>
      <c r="H6" s="31">
        <f t="shared" ref="H6:H21" si="20">50000*G6*12</f>
        <v>12600000</v>
      </c>
      <c r="I6" s="38">
        <f t="shared" ref="I6:I21" si="21">55000*O6*12</f>
        <v>4620000</v>
      </c>
      <c r="J6" s="28">
        <f t="shared" ref="J6:J21" si="22">110000*P6*12</f>
        <v>0</v>
      </c>
      <c r="K6" s="30">
        <f>D6*0.01</f>
        <v>12000000</v>
      </c>
      <c r="L6" s="26">
        <f>ROUNDUP(C6 / 60000, 0)</f>
        <v>7</v>
      </c>
      <c r="M6" s="26">
        <f t="shared" ref="M6:M21" si="23">ROUNDDOWN(K6 / 900000, 0)</f>
        <v>13</v>
      </c>
      <c r="N6" s="26">
        <f t="shared" si="1"/>
        <v>3</v>
      </c>
      <c r="O6" s="26">
        <f>N6+O5</f>
        <v>7</v>
      </c>
      <c r="P6" s="22">
        <f t="shared" si="2"/>
        <v>0</v>
      </c>
      <c r="Q6" s="27">
        <f t="shared" ref="Q6:Q21" si="24">D6*0.01</f>
        <v>12000000</v>
      </c>
      <c r="R6" s="30">
        <f>N6*900000</f>
        <v>2700000</v>
      </c>
      <c r="S6" s="30">
        <f>R6 * 0.5</f>
        <v>1350000</v>
      </c>
      <c r="T6" s="30">
        <f t="shared" ref="T6:T21" si="25">E6+F6+H6+I6+K6+J6+Q6</f>
        <v>161717794</v>
      </c>
      <c r="U6" s="30">
        <f t="shared" si="3"/>
        <v>750000000</v>
      </c>
      <c r="V6" s="29">
        <f>S6+T6+U6</f>
        <v>913067794</v>
      </c>
      <c r="W6" s="38">
        <f>C6*0.3*500</f>
        <v>60000000</v>
      </c>
      <c r="X6" s="31">
        <f>D6-T6-U6+W6</f>
        <v>348282206</v>
      </c>
      <c r="Y6" s="38">
        <f t="shared" si="4"/>
        <v>43039830.899999999</v>
      </c>
      <c r="Z6" s="36">
        <f t="shared" si="5"/>
        <v>30000000</v>
      </c>
      <c r="AA6" s="31">
        <f t="shared" si="6"/>
        <v>200000000</v>
      </c>
      <c r="AB6" s="50">
        <f t="shared" si="7"/>
        <v>3780000</v>
      </c>
      <c r="AC6" s="38">
        <f t="shared" si="8"/>
        <v>450000000</v>
      </c>
      <c r="AD6" s="40">
        <f t="shared" si="9"/>
        <v>71462375.100000024</v>
      </c>
      <c r="AE6" s="82">
        <f t="shared" si="10"/>
        <v>16.792053137343871</v>
      </c>
      <c r="AF6" s="83">
        <f t="shared" si="11"/>
        <v>37.5</v>
      </c>
      <c r="AG6" s="102">
        <f t="shared" si="12"/>
        <v>29.023517166666668</v>
      </c>
      <c r="AH6" s="38">
        <f t="shared" si="13"/>
        <v>1875</v>
      </c>
      <c r="AI6" s="30">
        <f t="shared" si="14"/>
        <v>163067794</v>
      </c>
      <c r="AJ6" s="105">
        <f t="shared" si="15"/>
        <v>434847450.66666669</v>
      </c>
      <c r="AK6" s="23">
        <f t="shared" si="16"/>
        <v>144949.15022222223</v>
      </c>
    </row>
    <row r="7" spans="1:37" s="25" customFormat="1" x14ac:dyDescent="0.2">
      <c r="A7" s="62">
        <v>6</v>
      </c>
      <c r="B7" s="18">
        <v>3000</v>
      </c>
      <c r="C7" s="23">
        <f>C6*2</f>
        <v>800000</v>
      </c>
      <c r="D7" s="57">
        <f t="shared" si="17"/>
        <v>2400000000</v>
      </c>
      <c r="E7" s="38">
        <f t="shared" si="18"/>
        <v>240000000</v>
      </c>
      <c r="F7" s="31">
        <f>F6*1.1</f>
        <v>547573.40000000026</v>
      </c>
      <c r="G7" s="44">
        <f t="shared" si="19"/>
        <v>42</v>
      </c>
      <c r="H7" s="31">
        <f t="shared" si="20"/>
        <v>25200000</v>
      </c>
      <c r="I7" s="38">
        <f t="shared" si="21"/>
        <v>9240000</v>
      </c>
      <c r="J7" s="30">
        <f t="shared" si="22"/>
        <v>0</v>
      </c>
      <c r="K7" s="30">
        <f t="shared" ref="K7:K21" si="26">D7*0.01</f>
        <v>24000000</v>
      </c>
      <c r="L7" s="26">
        <f>ROUNDUP(C7 / 60000, 0)</f>
        <v>14</v>
      </c>
      <c r="M7" s="26">
        <f t="shared" si="23"/>
        <v>26</v>
      </c>
      <c r="N7" s="26">
        <f t="shared" si="1"/>
        <v>7</v>
      </c>
      <c r="O7" s="26">
        <f t="shared" ref="O7:O21" si="27">N7+O6</f>
        <v>14</v>
      </c>
      <c r="P7" s="22">
        <f>IF(O6 &lt; 10, 0, ROUNDDOWN(O6 / 10, 0))</f>
        <v>0</v>
      </c>
      <c r="Q7" s="38">
        <f t="shared" si="24"/>
        <v>24000000</v>
      </c>
      <c r="R7" s="30">
        <f>N7*900000</f>
        <v>6300000</v>
      </c>
      <c r="S7" s="30">
        <f>R7 * 0.5</f>
        <v>3150000</v>
      </c>
      <c r="T7" s="30">
        <f t="shared" si="25"/>
        <v>322987573.39999998</v>
      </c>
      <c r="U7" s="28">
        <f t="shared" si="3"/>
        <v>1500000000</v>
      </c>
      <c r="V7" s="31">
        <f>S7+T7+U7+M7</f>
        <v>1826137599.4000001</v>
      </c>
      <c r="W7" s="38">
        <f t="shared" ref="W7:W21" si="28">C7*0.3*500</f>
        <v>120000000</v>
      </c>
      <c r="X7" s="31">
        <f t="shared" ref="X7:X21" si="29">D7-T7-U7+W7</f>
        <v>697012426.5999999</v>
      </c>
      <c r="Y7" s="38">
        <f t="shared" si="4"/>
        <v>86079360.089999989</v>
      </c>
      <c r="Z7" s="36">
        <f t="shared" si="5"/>
        <v>60000000</v>
      </c>
      <c r="AA7" s="31">
        <f t="shared" si="6"/>
        <v>400000000</v>
      </c>
      <c r="AB7" s="50">
        <f t="shared" si="7"/>
        <v>7560000</v>
      </c>
      <c r="AC7" s="38">
        <f t="shared" si="8"/>
        <v>900000000</v>
      </c>
      <c r="AD7" s="40">
        <f t="shared" si="9"/>
        <v>143373066.50999987</v>
      </c>
      <c r="AE7" s="82">
        <f t="shared" si="10"/>
        <v>16.739545707021666</v>
      </c>
      <c r="AF7" s="83">
        <f t="shared" si="11"/>
        <v>37.5</v>
      </c>
      <c r="AG7" s="102">
        <f t="shared" si="12"/>
        <v>29.042184441666663</v>
      </c>
      <c r="AH7" s="38">
        <f t="shared" si="13"/>
        <v>1875</v>
      </c>
      <c r="AI7" s="30">
        <f t="shared" si="14"/>
        <v>326137599.4000001</v>
      </c>
      <c r="AJ7" s="105">
        <f t="shared" si="15"/>
        <v>869700265.06666696</v>
      </c>
      <c r="AK7" s="23">
        <f t="shared" si="16"/>
        <v>289900.08835555566</v>
      </c>
    </row>
    <row r="8" spans="1:37" s="25" customFormat="1" x14ac:dyDescent="0.2">
      <c r="A8" s="62">
        <v>7</v>
      </c>
      <c r="B8" s="18">
        <v>3000</v>
      </c>
      <c r="C8" s="23">
        <f>C7*2</f>
        <v>1600000</v>
      </c>
      <c r="D8" s="57">
        <f t="shared" si="17"/>
        <v>4800000000</v>
      </c>
      <c r="E8" s="38">
        <f t="shared" si="18"/>
        <v>480000000</v>
      </c>
      <c r="F8" s="31">
        <f>250000*12</f>
        <v>3000000</v>
      </c>
      <c r="G8" s="44">
        <f>O8*3+P8*5</f>
        <v>91</v>
      </c>
      <c r="H8" s="31">
        <f t="shared" si="20"/>
        <v>54600000</v>
      </c>
      <c r="I8" s="38">
        <f t="shared" si="21"/>
        <v>17820000</v>
      </c>
      <c r="J8" s="30">
        <f>110000*P8*12</f>
        <v>2640000</v>
      </c>
      <c r="K8" s="30">
        <f t="shared" si="26"/>
        <v>48000000</v>
      </c>
      <c r="L8" s="26">
        <f t="shared" ref="L8:L21" si="30">ROUNDUP(C8 / 60000, 0)</f>
        <v>27</v>
      </c>
      <c r="M8" s="26">
        <f t="shared" si="23"/>
        <v>53</v>
      </c>
      <c r="N8" s="26">
        <f>MAX(MIN(L8 - O7, M8), 0)</f>
        <v>13</v>
      </c>
      <c r="O8" s="26">
        <f t="shared" si="27"/>
        <v>27</v>
      </c>
      <c r="P8" s="17">
        <f>IF(O8 &lt; 10, 0, ROUNDDOWN(O8 / 10, 0))</f>
        <v>2</v>
      </c>
      <c r="Q8" s="38">
        <f t="shared" si="24"/>
        <v>48000000</v>
      </c>
      <c r="R8" s="30">
        <f>N8*900000</f>
        <v>11700000</v>
      </c>
      <c r="S8" s="30">
        <f t="shared" ref="S8:S21" si="31">R8 * 0.5</f>
        <v>5850000</v>
      </c>
      <c r="T8" s="28">
        <f t="shared" ref="T8:T21" si="32">E8+F8+H8+I8+K8+Q8+J8</f>
        <v>654060000</v>
      </c>
      <c r="U8" s="28">
        <f t="shared" si="3"/>
        <v>3000000000</v>
      </c>
      <c r="V8" s="31">
        <f>S8+T8+U8+M8</f>
        <v>3659910053</v>
      </c>
      <c r="W8" s="38">
        <f t="shared" si="28"/>
        <v>240000000</v>
      </c>
      <c r="X8" s="31">
        <f t="shared" si="29"/>
        <v>1385940000</v>
      </c>
      <c r="Y8" s="27">
        <f t="shared" si="4"/>
        <v>171013492.04999998</v>
      </c>
      <c r="Z8" s="35">
        <f t="shared" si="5"/>
        <v>120000000</v>
      </c>
      <c r="AA8" s="29">
        <f t="shared" si="6"/>
        <v>800000000</v>
      </c>
      <c r="AB8" s="49">
        <f t="shared" si="7"/>
        <v>16380000</v>
      </c>
      <c r="AC8" s="27">
        <f t="shared" si="8"/>
        <v>1800000000</v>
      </c>
      <c r="AD8" s="46">
        <f t="shared" si="9"/>
        <v>278546507.95000005</v>
      </c>
      <c r="AE8" s="82">
        <f t="shared" si="10"/>
        <v>17.232310809876012</v>
      </c>
      <c r="AF8" s="83">
        <f t="shared" si="11"/>
        <v>37.5</v>
      </c>
      <c r="AG8" s="102">
        <f t="shared" si="12"/>
        <v>28.873749999999998</v>
      </c>
      <c r="AH8" s="27">
        <f t="shared" si="13"/>
        <v>1875</v>
      </c>
      <c r="AI8" s="28">
        <f t="shared" si="14"/>
        <v>659910053</v>
      </c>
      <c r="AJ8" s="104">
        <f t="shared" si="15"/>
        <v>1759760141.3333333</v>
      </c>
      <c r="AK8" s="112">
        <f t="shared" si="16"/>
        <v>586586.71377777774</v>
      </c>
    </row>
    <row r="9" spans="1:37" s="25" customFormat="1" x14ac:dyDescent="0.2">
      <c r="A9" s="62">
        <v>8</v>
      </c>
      <c r="B9" s="18">
        <v>3000</v>
      </c>
      <c r="C9" s="23">
        <f t="shared" ref="C6:C12" si="33">C8*2</f>
        <v>3200000</v>
      </c>
      <c r="D9" s="57">
        <f t="shared" si="17"/>
        <v>9600000000</v>
      </c>
      <c r="E9" s="38">
        <f t="shared" si="18"/>
        <v>960000000</v>
      </c>
      <c r="F9" s="31">
        <f>F8*1.1</f>
        <v>3300000.0000000005</v>
      </c>
      <c r="G9" s="44">
        <f>O9*3+P9*5</f>
        <v>187</v>
      </c>
      <c r="H9" s="31">
        <f t="shared" si="20"/>
        <v>112200000</v>
      </c>
      <c r="I9" s="38">
        <f t="shared" si="21"/>
        <v>35640000</v>
      </c>
      <c r="J9" s="30">
        <f>110000*P9*12</f>
        <v>6600000</v>
      </c>
      <c r="K9" s="30">
        <f t="shared" si="26"/>
        <v>96000000</v>
      </c>
      <c r="L9" s="26">
        <f t="shared" si="30"/>
        <v>54</v>
      </c>
      <c r="M9" s="26">
        <f t="shared" si="23"/>
        <v>106</v>
      </c>
      <c r="N9" s="26">
        <f>MAX(MIN(L9 - O8, M9), 0)</f>
        <v>27</v>
      </c>
      <c r="O9" s="26">
        <f t="shared" si="27"/>
        <v>54</v>
      </c>
      <c r="P9" s="22">
        <f>IF(O9 &lt; 10, 0, ROUNDDOWN(O9 / 10, 0))</f>
        <v>5</v>
      </c>
      <c r="Q9" s="38">
        <f t="shared" si="24"/>
        <v>96000000</v>
      </c>
      <c r="R9" s="30">
        <f>N9*900000</f>
        <v>24300000</v>
      </c>
      <c r="S9" s="30">
        <f t="shared" si="31"/>
        <v>12150000</v>
      </c>
      <c r="T9" s="30">
        <f t="shared" ref="T9:T21" si="34">E9+F9+H9+I9+K9+J9+Q9</f>
        <v>1309740000</v>
      </c>
      <c r="U9" s="30">
        <f t="shared" si="3"/>
        <v>6000000000</v>
      </c>
      <c r="V9" s="31">
        <f>S9+T9+U9+M9</f>
        <v>7321890106</v>
      </c>
      <c r="W9" s="38">
        <f t="shared" si="28"/>
        <v>480000000</v>
      </c>
      <c r="X9" s="31">
        <f t="shared" si="29"/>
        <v>2770260000</v>
      </c>
      <c r="Y9" s="38">
        <f t="shared" si="4"/>
        <v>341716484.09999996</v>
      </c>
      <c r="Z9" s="36">
        <f t="shared" si="5"/>
        <v>240000000</v>
      </c>
      <c r="AA9" s="31">
        <f t="shared" si="6"/>
        <v>1600000000</v>
      </c>
      <c r="AB9" s="50">
        <f t="shared" si="7"/>
        <v>33660000</v>
      </c>
      <c r="AC9" s="38">
        <f t="shared" si="8"/>
        <v>3600000000</v>
      </c>
      <c r="AD9" s="40">
        <f t="shared" si="9"/>
        <v>554883515.9000001</v>
      </c>
      <c r="AE9" s="82">
        <f t="shared" si="10"/>
        <v>17.300928437978847</v>
      </c>
      <c r="AF9" s="83">
        <f t="shared" si="11"/>
        <v>37.5</v>
      </c>
      <c r="AG9" s="102">
        <f t="shared" si="12"/>
        <v>28.856874999999999</v>
      </c>
      <c r="AH9" s="38">
        <f t="shared" si="13"/>
        <v>1875</v>
      </c>
      <c r="AI9" s="30">
        <f t="shared" si="14"/>
        <v>1321890106</v>
      </c>
      <c r="AJ9" s="105">
        <f t="shared" si="15"/>
        <v>3525040282.6666665</v>
      </c>
      <c r="AK9" s="23">
        <f t="shared" si="16"/>
        <v>1175013.4275555555</v>
      </c>
    </row>
    <row r="10" spans="1:37" s="25" customFormat="1" x14ac:dyDescent="0.2">
      <c r="A10" s="62">
        <v>9</v>
      </c>
      <c r="B10" s="18">
        <v>3000</v>
      </c>
      <c r="C10" s="23">
        <f>C9*2</f>
        <v>6400000</v>
      </c>
      <c r="D10" s="57">
        <f t="shared" si="17"/>
        <v>19200000000</v>
      </c>
      <c r="E10" s="38">
        <f t="shared" si="18"/>
        <v>1920000000</v>
      </c>
      <c r="F10" s="31">
        <f>F9*1.1</f>
        <v>3630000.0000000009</v>
      </c>
      <c r="G10" s="44">
        <f t="shared" si="19"/>
        <v>371</v>
      </c>
      <c r="H10" s="31">
        <f t="shared" si="20"/>
        <v>222600000</v>
      </c>
      <c r="I10" s="38">
        <f t="shared" si="21"/>
        <v>70620000</v>
      </c>
      <c r="J10" s="28">
        <f t="shared" si="22"/>
        <v>13200000</v>
      </c>
      <c r="K10" s="30">
        <f t="shared" si="26"/>
        <v>192000000</v>
      </c>
      <c r="L10" s="26">
        <f t="shared" si="30"/>
        <v>107</v>
      </c>
      <c r="M10" s="26">
        <f t="shared" si="23"/>
        <v>213</v>
      </c>
      <c r="N10" s="26">
        <f t="shared" si="1"/>
        <v>53</v>
      </c>
      <c r="O10" s="26">
        <f>N10+O9</f>
        <v>107</v>
      </c>
      <c r="P10" s="22">
        <f>IF(O10 &lt; 10, 0, ROUNDDOWN(O10 / 10, 0))</f>
        <v>10</v>
      </c>
      <c r="Q10" s="27">
        <f t="shared" si="24"/>
        <v>192000000</v>
      </c>
      <c r="R10" s="30">
        <f t="shared" ref="R6:R21" si="35">N10*900000</f>
        <v>47700000</v>
      </c>
      <c r="S10" s="30">
        <f t="shared" si="31"/>
        <v>23850000</v>
      </c>
      <c r="T10" s="30">
        <f t="shared" si="34"/>
        <v>2614050000</v>
      </c>
      <c r="U10" s="28">
        <f t="shared" si="3"/>
        <v>12000000000</v>
      </c>
      <c r="V10" s="31">
        <f>S10+T10+U10+M10</f>
        <v>14637900213</v>
      </c>
      <c r="W10" s="38">
        <f t="shared" si="28"/>
        <v>960000000</v>
      </c>
      <c r="X10" s="31">
        <f t="shared" si="29"/>
        <v>5545950000</v>
      </c>
      <c r="Y10" s="38">
        <f t="shared" si="4"/>
        <v>684314968.04999995</v>
      </c>
      <c r="Z10" s="36">
        <f t="shared" si="5"/>
        <v>480000000</v>
      </c>
      <c r="AA10" s="31">
        <f t="shared" si="6"/>
        <v>3200000000</v>
      </c>
      <c r="AB10" s="50">
        <f t="shared" si="7"/>
        <v>66780000</v>
      </c>
      <c r="AC10" s="38">
        <f t="shared" si="8"/>
        <v>7200000000</v>
      </c>
      <c r="AD10" s="40">
        <f t="shared" si="9"/>
        <v>1114855031.9499998</v>
      </c>
      <c r="AE10" s="82">
        <f t="shared" si="10"/>
        <v>17.221970076609118</v>
      </c>
      <c r="AF10" s="83">
        <f t="shared" si="11"/>
        <v>37.5</v>
      </c>
      <c r="AG10" s="102">
        <f t="shared" si="12"/>
        <v>28.885156249999998</v>
      </c>
      <c r="AH10" s="38">
        <f t="shared" si="13"/>
        <v>1875</v>
      </c>
      <c r="AI10" s="30">
        <f t="shared" si="14"/>
        <v>2637900213</v>
      </c>
      <c r="AJ10" s="105">
        <f t="shared" si="15"/>
        <v>7034400567.999999</v>
      </c>
      <c r="AK10" s="23">
        <f t="shared" si="16"/>
        <v>2344800.1893333332</v>
      </c>
    </row>
    <row r="11" spans="1:37" s="25" customFormat="1" x14ac:dyDescent="0.2">
      <c r="A11" s="62">
        <v>10</v>
      </c>
      <c r="B11" s="18">
        <v>3000</v>
      </c>
      <c r="C11" s="23">
        <f>C10*2</f>
        <v>12800000</v>
      </c>
      <c r="D11" s="57">
        <f t="shared" si="17"/>
        <v>38400000000</v>
      </c>
      <c r="E11" s="38">
        <f t="shared" si="18"/>
        <v>3840000000</v>
      </c>
      <c r="F11" s="31">
        <f>F10*1.1</f>
        <v>3993000.0000000014</v>
      </c>
      <c r="G11" s="44">
        <f t="shared" si="19"/>
        <v>747</v>
      </c>
      <c r="H11" s="31">
        <f t="shared" si="20"/>
        <v>448200000</v>
      </c>
      <c r="I11" s="38">
        <f t="shared" si="21"/>
        <v>141240000</v>
      </c>
      <c r="J11" s="30">
        <f t="shared" si="22"/>
        <v>27720000</v>
      </c>
      <c r="K11" s="30">
        <f t="shared" si="26"/>
        <v>384000000</v>
      </c>
      <c r="L11" s="26">
        <f t="shared" si="30"/>
        <v>214</v>
      </c>
      <c r="M11" s="26">
        <f t="shared" si="23"/>
        <v>426</v>
      </c>
      <c r="N11" s="26">
        <f t="shared" si="1"/>
        <v>107</v>
      </c>
      <c r="O11" s="26">
        <f>N11+O10</f>
        <v>214</v>
      </c>
      <c r="P11" s="17">
        <f t="shared" ref="P11:P21" si="36">IF(O11 &lt; 10, 0, ROUNDDOWN(O11 / 10, 0))</f>
        <v>21</v>
      </c>
      <c r="Q11" s="38">
        <f t="shared" si="24"/>
        <v>384000000</v>
      </c>
      <c r="R11" s="30">
        <f>N11*900000</f>
        <v>96300000</v>
      </c>
      <c r="S11" s="30">
        <f t="shared" si="31"/>
        <v>48150000</v>
      </c>
      <c r="T11" s="28">
        <f t="shared" ref="T11:T21" si="37">E11+F11+H11+I11+K11+Q11+J11</f>
        <v>5229153000</v>
      </c>
      <c r="U11" s="28">
        <f t="shared" si="3"/>
        <v>24000000000</v>
      </c>
      <c r="V11" s="31">
        <f t="shared" ref="V10:V20" si="38">S11+T11+U11+M11</f>
        <v>29277303426</v>
      </c>
      <c r="W11" s="38">
        <f t="shared" si="28"/>
        <v>1920000000</v>
      </c>
      <c r="X11" s="31">
        <f t="shared" si="29"/>
        <v>11090847000</v>
      </c>
      <c r="Y11" s="27">
        <f t="shared" si="4"/>
        <v>1368404486.0999999</v>
      </c>
      <c r="Z11" s="35">
        <f t="shared" si="5"/>
        <v>960000000</v>
      </c>
      <c r="AA11" s="29">
        <f t="shared" si="6"/>
        <v>6400000000</v>
      </c>
      <c r="AB11" s="49">
        <f t="shared" si="7"/>
        <v>134460000</v>
      </c>
      <c r="AC11" s="27">
        <f t="shared" si="8"/>
        <v>14400000000</v>
      </c>
      <c r="AD11" s="46">
        <f t="shared" si="9"/>
        <v>2227982513.8999996</v>
      </c>
      <c r="AE11" s="82">
        <f t="shared" si="10"/>
        <v>17.235323778543595</v>
      </c>
      <c r="AF11" s="83">
        <f t="shared" si="11"/>
        <v>37.5</v>
      </c>
      <c r="AG11" s="102">
        <f t="shared" si="12"/>
        <v>28.882414062500001</v>
      </c>
      <c r="AH11" s="27">
        <f t="shared" si="13"/>
        <v>1875</v>
      </c>
      <c r="AI11" s="28">
        <f t="shared" si="14"/>
        <v>5277303426</v>
      </c>
      <c r="AJ11" s="104">
        <f t="shared" si="15"/>
        <v>14072809135.999998</v>
      </c>
      <c r="AK11" s="112">
        <f t="shared" si="16"/>
        <v>4690936.3786666663</v>
      </c>
    </row>
    <row r="12" spans="1:37" s="25" customFormat="1" x14ac:dyDescent="0.2">
      <c r="A12" s="62">
        <v>11</v>
      </c>
      <c r="B12" s="18">
        <v>3000</v>
      </c>
      <c r="C12" s="23">
        <f>C11*2</f>
        <v>25600000</v>
      </c>
      <c r="D12" s="57">
        <f t="shared" si="17"/>
        <v>76800000000</v>
      </c>
      <c r="E12" s="38">
        <f t="shared" si="18"/>
        <v>7680000000</v>
      </c>
      <c r="F12" s="31">
        <f>F11*1.1</f>
        <v>4392300.0000000019</v>
      </c>
      <c r="G12" s="44">
        <f t="shared" si="19"/>
        <v>1491</v>
      </c>
      <c r="H12" s="31">
        <f t="shared" si="20"/>
        <v>894600000</v>
      </c>
      <c r="I12" s="38">
        <f t="shared" si="21"/>
        <v>281820000</v>
      </c>
      <c r="J12" s="30">
        <f t="shared" si="22"/>
        <v>55440000</v>
      </c>
      <c r="K12" s="30">
        <f t="shared" si="26"/>
        <v>768000000</v>
      </c>
      <c r="L12" s="26">
        <f t="shared" si="30"/>
        <v>427</v>
      </c>
      <c r="M12" s="26">
        <f t="shared" si="23"/>
        <v>853</v>
      </c>
      <c r="N12" s="26">
        <f t="shared" si="1"/>
        <v>213</v>
      </c>
      <c r="O12" s="26">
        <f t="shared" si="27"/>
        <v>427</v>
      </c>
      <c r="P12" s="22">
        <f t="shared" si="36"/>
        <v>42</v>
      </c>
      <c r="Q12" s="38">
        <f t="shared" si="24"/>
        <v>768000000</v>
      </c>
      <c r="R12" s="30">
        <f t="shared" si="35"/>
        <v>191700000</v>
      </c>
      <c r="S12" s="30">
        <f t="shared" si="31"/>
        <v>95850000</v>
      </c>
      <c r="T12" s="30">
        <f t="shared" ref="T12:T21" si="39">E12+F12+H12+I12+K12+J12+Q12</f>
        <v>10452252300</v>
      </c>
      <c r="U12" s="30">
        <f t="shared" si="3"/>
        <v>48000000000</v>
      </c>
      <c r="V12" s="31">
        <f t="shared" si="38"/>
        <v>58548103153</v>
      </c>
      <c r="W12" s="38">
        <f t="shared" si="28"/>
        <v>3840000000</v>
      </c>
      <c r="X12" s="31">
        <f t="shared" si="29"/>
        <v>22187747700</v>
      </c>
      <c r="Y12" s="38">
        <f t="shared" si="4"/>
        <v>2737784527.0499997</v>
      </c>
      <c r="Z12" s="36">
        <f t="shared" si="5"/>
        <v>1920000000</v>
      </c>
      <c r="AA12" s="31">
        <f t="shared" si="6"/>
        <v>12800000000</v>
      </c>
      <c r="AB12" s="50">
        <f t="shared" si="7"/>
        <v>268380000</v>
      </c>
      <c r="AC12" s="38">
        <f t="shared" si="8"/>
        <v>28800000000</v>
      </c>
      <c r="AD12" s="40">
        <f t="shared" si="9"/>
        <v>4461583172.9500008</v>
      </c>
      <c r="AE12" s="82">
        <f t="shared" si="10"/>
        <v>17.2136205967488</v>
      </c>
      <c r="AF12" s="83">
        <f t="shared" si="11"/>
        <v>37.5</v>
      </c>
      <c r="AG12" s="102">
        <f t="shared" si="12"/>
        <v>28.890296484375</v>
      </c>
      <c r="AH12" s="38">
        <f t="shared" si="13"/>
        <v>1875</v>
      </c>
      <c r="AI12" s="30">
        <f t="shared" si="14"/>
        <v>10548103153</v>
      </c>
      <c r="AJ12" s="105">
        <f t="shared" si="15"/>
        <v>28128275074.666668</v>
      </c>
      <c r="AK12" s="23">
        <f t="shared" si="16"/>
        <v>9376091.6915555559</v>
      </c>
    </row>
    <row r="13" spans="1:37" s="25" customFormat="1" x14ac:dyDescent="0.2">
      <c r="A13" s="62">
        <v>12</v>
      </c>
      <c r="B13" s="18">
        <v>3000</v>
      </c>
      <c r="C13" s="23">
        <f>C12*1.5</f>
        <v>38400000</v>
      </c>
      <c r="D13" s="57">
        <f t="shared" si="17"/>
        <v>115200000000</v>
      </c>
      <c r="E13" s="38">
        <f t="shared" si="18"/>
        <v>11520000000</v>
      </c>
      <c r="F13" s="31">
        <f>F12*1.1</f>
        <v>4831530.0000000028</v>
      </c>
      <c r="G13" s="44">
        <f t="shared" si="19"/>
        <v>2240</v>
      </c>
      <c r="H13" s="31">
        <f t="shared" si="20"/>
        <v>1344000000</v>
      </c>
      <c r="I13" s="38">
        <f t="shared" si="21"/>
        <v>422400000</v>
      </c>
      <c r="J13" s="30">
        <f t="shared" si="22"/>
        <v>84480000</v>
      </c>
      <c r="K13" s="30">
        <f t="shared" si="26"/>
        <v>1152000000</v>
      </c>
      <c r="L13" s="26">
        <f t="shared" si="30"/>
        <v>640</v>
      </c>
      <c r="M13" s="26">
        <f t="shared" si="23"/>
        <v>1280</v>
      </c>
      <c r="N13" s="26">
        <f t="shared" si="1"/>
        <v>213</v>
      </c>
      <c r="O13" s="26">
        <f t="shared" si="27"/>
        <v>640</v>
      </c>
      <c r="P13" s="22">
        <f t="shared" si="36"/>
        <v>64</v>
      </c>
      <c r="Q13" s="38">
        <f t="shared" si="24"/>
        <v>1152000000</v>
      </c>
      <c r="R13" s="30">
        <f t="shared" si="35"/>
        <v>191700000</v>
      </c>
      <c r="S13" s="30">
        <f t="shared" si="31"/>
        <v>95850000</v>
      </c>
      <c r="T13" s="30">
        <f t="shared" si="39"/>
        <v>15679711530</v>
      </c>
      <c r="U13" s="28">
        <f t="shared" si="3"/>
        <v>72000000000</v>
      </c>
      <c r="V13" s="31">
        <f t="shared" si="38"/>
        <v>87775562810</v>
      </c>
      <c r="W13" s="38">
        <f t="shared" si="28"/>
        <v>5760000000</v>
      </c>
      <c r="X13" s="31">
        <f t="shared" si="29"/>
        <v>33280288470</v>
      </c>
      <c r="Y13" s="38">
        <f t="shared" si="4"/>
        <v>4113665578.5</v>
      </c>
      <c r="Z13" s="36">
        <f t="shared" si="5"/>
        <v>2880000000</v>
      </c>
      <c r="AA13" s="31">
        <f t="shared" si="6"/>
        <v>19200000000</v>
      </c>
      <c r="AB13" s="50">
        <f t="shared" si="7"/>
        <v>403200000</v>
      </c>
      <c r="AC13" s="38">
        <f t="shared" si="8"/>
        <v>43200000000</v>
      </c>
      <c r="AD13" s="40">
        <f t="shared" si="9"/>
        <v>6683422891.5</v>
      </c>
      <c r="AE13" s="82">
        <f t="shared" si="10"/>
        <v>17.236676755336216</v>
      </c>
      <c r="AF13" s="83">
        <f t="shared" si="11"/>
        <v>37.5</v>
      </c>
      <c r="AG13" s="102">
        <f t="shared" si="12"/>
        <v>28.889139296875001</v>
      </c>
      <c r="AH13" s="38">
        <f t="shared" si="13"/>
        <v>1875</v>
      </c>
      <c r="AI13" s="30">
        <f t="shared" si="14"/>
        <v>15775562810</v>
      </c>
      <c r="AJ13" s="105">
        <f t="shared" si="15"/>
        <v>42068167493.333336</v>
      </c>
      <c r="AK13" s="23">
        <f t="shared" si="16"/>
        <v>14022722.497777779</v>
      </c>
    </row>
    <row r="14" spans="1:37" s="25" customFormat="1" x14ac:dyDescent="0.2">
      <c r="A14" s="62">
        <v>13</v>
      </c>
      <c r="B14" s="18">
        <v>3000</v>
      </c>
      <c r="C14" s="23">
        <f>C13*1.5</f>
        <v>57600000</v>
      </c>
      <c r="D14" s="57">
        <f t="shared" si="17"/>
        <v>172800000000</v>
      </c>
      <c r="E14" s="38">
        <f t="shared" si="18"/>
        <v>17280000000</v>
      </c>
      <c r="F14" s="31">
        <f>F13*1.1</f>
        <v>5314683.0000000037</v>
      </c>
      <c r="G14" s="44">
        <f t="shared" si="19"/>
        <v>3360</v>
      </c>
      <c r="H14" s="31">
        <f t="shared" si="20"/>
        <v>2016000000</v>
      </c>
      <c r="I14" s="38">
        <f t="shared" si="21"/>
        <v>633600000</v>
      </c>
      <c r="J14" s="28">
        <f t="shared" si="22"/>
        <v>126720000</v>
      </c>
      <c r="K14" s="30">
        <f t="shared" si="26"/>
        <v>1728000000</v>
      </c>
      <c r="L14" s="26">
        <f t="shared" si="30"/>
        <v>960</v>
      </c>
      <c r="M14" s="26">
        <f t="shared" si="23"/>
        <v>1920</v>
      </c>
      <c r="N14" s="26">
        <f t="shared" si="1"/>
        <v>320</v>
      </c>
      <c r="O14" s="26">
        <f t="shared" si="27"/>
        <v>960</v>
      </c>
      <c r="P14" s="17">
        <f t="shared" si="36"/>
        <v>96</v>
      </c>
      <c r="Q14" s="27">
        <f t="shared" si="24"/>
        <v>1728000000</v>
      </c>
      <c r="R14" s="30">
        <f t="shared" si="35"/>
        <v>288000000</v>
      </c>
      <c r="S14" s="30">
        <f t="shared" si="31"/>
        <v>144000000</v>
      </c>
      <c r="T14" s="28">
        <f>E14+F14+H14+I14+K14+Q14+J14</f>
        <v>23517634683</v>
      </c>
      <c r="U14" s="28">
        <f t="shared" si="3"/>
        <v>108000000000</v>
      </c>
      <c r="V14" s="31">
        <f t="shared" si="38"/>
        <v>131661636603</v>
      </c>
      <c r="W14" s="38">
        <f t="shared" si="28"/>
        <v>8640000000</v>
      </c>
      <c r="X14" s="31">
        <f t="shared" si="29"/>
        <v>49922365317</v>
      </c>
      <c r="Y14" s="27">
        <f t="shared" si="4"/>
        <v>6170754509.5500002</v>
      </c>
      <c r="Z14" s="35">
        <f t="shared" si="5"/>
        <v>4320000000</v>
      </c>
      <c r="AA14" s="29">
        <f t="shared" si="6"/>
        <v>28800000000</v>
      </c>
      <c r="AB14" s="49">
        <f t="shared" si="7"/>
        <v>604800000</v>
      </c>
      <c r="AC14" s="27">
        <f t="shared" si="8"/>
        <v>64800000000</v>
      </c>
      <c r="AD14" s="46">
        <f t="shared" si="9"/>
        <v>10026810807.449997</v>
      </c>
      <c r="AE14" s="82">
        <f t="shared" si="10"/>
        <v>17.233794804586147</v>
      </c>
      <c r="AF14" s="83">
        <f t="shared" si="11"/>
        <v>37.5</v>
      </c>
      <c r="AG14" s="102">
        <f t="shared" si="12"/>
        <v>28.890257706597222</v>
      </c>
      <c r="AH14" s="27">
        <f t="shared" si="13"/>
        <v>1875</v>
      </c>
      <c r="AI14" s="28">
        <f t="shared" si="14"/>
        <v>23661636603</v>
      </c>
      <c r="AJ14" s="104">
        <f t="shared" si="15"/>
        <v>63097697608</v>
      </c>
      <c r="AK14" s="112">
        <f t="shared" si="16"/>
        <v>21032565.869333334</v>
      </c>
    </row>
    <row r="15" spans="1:37" s="25" customFormat="1" x14ac:dyDescent="0.2">
      <c r="A15" s="62">
        <v>14</v>
      </c>
      <c r="B15" s="18">
        <v>3000</v>
      </c>
      <c r="C15" s="23">
        <f>C14*1.5</f>
        <v>86400000</v>
      </c>
      <c r="D15" s="57">
        <f t="shared" si="17"/>
        <v>259200000000</v>
      </c>
      <c r="E15" s="38">
        <f t="shared" si="18"/>
        <v>25920000000</v>
      </c>
      <c r="F15" s="31">
        <f>F14*1.1</f>
        <v>5846151.3000000045</v>
      </c>
      <c r="G15" s="44">
        <f t="shared" si="19"/>
        <v>5040</v>
      </c>
      <c r="H15" s="31">
        <f t="shared" si="20"/>
        <v>3024000000</v>
      </c>
      <c r="I15" s="38">
        <f t="shared" si="21"/>
        <v>950400000</v>
      </c>
      <c r="J15" s="30">
        <f t="shared" si="22"/>
        <v>190080000</v>
      </c>
      <c r="K15" s="30">
        <f t="shared" si="26"/>
        <v>2592000000</v>
      </c>
      <c r="L15" s="26">
        <f t="shared" si="30"/>
        <v>1440</v>
      </c>
      <c r="M15" s="26">
        <f t="shared" si="23"/>
        <v>2880</v>
      </c>
      <c r="N15" s="26">
        <f t="shared" si="1"/>
        <v>480</v>
      </c>
      <c r="O15" s="26">
        <f t="shared" si="27"/>
        <v>1440</v>
      </c>
      <c r="P15" s="22">
        <f t="shared" si="36"/>
        <v>144</v>
      </c>
      <c r="Q15" s="38">
        <f t="shared" si="24"/>
        <v>2592000000</v>
      </c>
      <c r="R15" s="30">
        <f t="shared" si="35"/>
        <v>432000000</v>
      </c>
      <c r="S15" s="30">
        <f t="shared" si="31"/>
        <v>216000000</v>
      </c>
      <c r="T15" s="30">
        <f t="shared" ref="T15:T21" si="40">E15+F15+H15+I15+K15+J15+Q15</f>
        <v>35274326151.300003</v>
      </c>
      <c r="U15" s="30">
        <f t="shared" si="3"/>
        <v>162000000000</v>
      </c>
      <c r="V15" s="31">
        <f t="shared" si="38"/>
        <v>197490329031.29999</v>
      </c>
      <c r="W15" s="38">
        <f t="shared" si="28"/>
        <v>12960000000</v>
      </c>
      <c r="X15" s="31">
        <f t="shared" si="29"/>
        <v>74885673848.700012</v>
      </c>
      <c r="Y15" s="38">
        <f t="shared" si="4"/>
        <v>9256450645.3050022</v>
      </c>
      <c r="Z15" s="36">
        <f t="shared" si="5"/>
        <v>6480000000</v>
      </c>
      <c r="AA15" s="31">
        <f t="shared" si="6"/>
        <v>43200000000</v>
      </c>
      <c r="AB15" s="50">
        <f t="shared" si="7"/>
        <v>907200000</v>
      </c>
      <c r="AC15" s="38">
        <f t="shared" si="8"/>
        <v>97200000000</v>
      </c>
      <c r="AD15" s="40">
        <f t="shared" si="9"/>
        <v>15042023203.395012</v>
      </c>
      <c r="AE15" s="82">
        <f t="shared" si="10"/>
        <v>17.231724515721933</v>
      </c>
      <c r="AF15" s="83">
        <f t="shared" si="11"/>
        <v>37.5</v>
      </c>
      <c r="AG15" s="102">
        <f t="shared" si="12"/>
        <v>28.891077873726857</v>
      </c>
      <c r="AH15" s="38">
        <f t="shared" si="13"/>
        <v>1875</v>
      </c>
      <c r="AI15" s="30">
        <f t="shared" si="14"/>
        <v>35490329031.299988</v>
      </c>
      <c r="AJ15" s="105">
        <f t="shared" si="15"/>
        <v>94640877416.799973</v>
      </c>
      <c r="AK15" s="23">
        <f t="shared" si="16"/>
        <v>31546959.138933323</v>
      </c>
    </row>
    <row r="16" spans="1:37" s="25" customFormat="1" x14ac:dyDescent="0.2">
      <c r="A16" s="62">
        <v>15</v>
      </c>
      <c r="B16" s="18">
        <v>3000</v>
      </c>
      <c r="C16" s="23">
        <f>C15*1.5</f>
        <v>129600000</v>
      </c>
      <c r="D16" s="57">
        <f t="shared" si="17"/>
        <v>388800000000</v>
      </c>
      <c r="E16" s="38">
        <f t="shared" si="18"/>
        <v>38880000000</v>
      </c>
      <c r="F16" s="31">
        <f>F15*1.1</f>
        <v>6430766.4300000053</v>
      </c>
      <c r="G16" s="44">
        <f t="shared" si="19"/>
        <v>7560</v>
      </c>
      <c r="H16" s="31">
        <f t="shared" si="20"/>
        <v>4536000000</v>
      </c>
      <c r="I16" s="38">
        <f t="shared" si="21"/>
        <v>1425600000</v>
      </c>
      <c r="J16" s="30">
        <f t="shared" si="22"/>
        <v>285120000</v>
      </c>
      <c r="K16" s="30">
        <f t="shared" si="26"/>
        <v>3888000000</v>
      </c>
      <c r="L16" s="26">
        <f t="shared" si="30"/>
        <v>2160</v>
      </c>
      <c r="M16" s="26">
        <f t="shared" si="23"/>
        <v>4320</v>
      </c>
      <c r="N16" s="26">
        <f t="shared" si="1"/>
        <v>720</v>
      </c>
      <c r="O16" s="26">
        <f t="shared" si="27"/>
        <v>2160</v>
      </c>
      <c r="P16" s="22">
        <f t="shared" si="36"/>
        <v>216</v>
      </c>
      <c r="Q16" s="38">
        <f t="shared" si="24"/>
        <v>3888000000</v>
      </c>
      <c r="R16" s="30">
        <f t="shared" si="35"/>
        <v>648000000</v>
      </c>
      <c r="S16" s="30">
        <f t="shared" si="31"/>
        <v>324000000</v>
      </c>
      <c r="T16" s="30">
        <f t="shared" si="40"/>
        <v>52909150766.43</v>
      </c>
      <c r="U16" s="28">
        <f t="shared" si="3"/>
        <v>243000000000</v>
      </c>
      <c r="V16" s="31">
        <f t="shared" si="38"/>
        <v>296233155086.42999</v>
      </c>
      <c r="W16" s="38">
        <f t="shared" si="28"/>
        <v>19440000000</v>
      </c>
      <c r="X16" s="31">
        <f t="shared" si="29"/>
        <v>112330849233.57001</v>
      </c>
      <c r="Y16" s="38">
        <f t="shared" si="4"/>
        <v>13885026737.035501</v>
      </c>
      <c r="Z16" s="36">
        <f t="shared" si="5"/>
        <v>9720000000</v>
      </c>
      <c r="AA16" s="31">
        <f t="shared" si="6"/>
        <v>64800000000</v>
      </c>
      <c r="AB16" s="50">
        <f t="shared" si="7"/>
        <v>1360800000</v>
      </c>
      <c r="AC16" s="38">
        <f t="shared" si="8"/>
        <v>145800000000</v>
      </c>
      <c r="AD16" s="40">
        <f t="shared" si="9"/>
        <v>22565022496.5345</v>
      </c>
      <c r="AE16" s="82">
        <f t="shared" si="10"/>
        <v>17.230206619989467</v>
      </c>
      <c r="AF16" s="83">
        <f t="shared" si="11"/>
        <v>37.5</v>
      </c>
      <c r="AG16" s="102">
        <f t="shared" si="12"/>
        <v>28.891679329621915</v>
      </c>
      <c r="AH16" s="38">
        <f t="shared" si="13"/>
        <v>1875</v>
      </c>
      <c r="AI16" s="30">
        <f t="shared" si="14"/>
        <v>53233155086.429993</v>
      </c>
      <c r="AJ16" s="105">
        <f t="shared" si="15"/>
        <v>141955080230.47998</v>
      </c>
      <c r="AK16" s="23">
        <f t="shared" si="16"/>
        <v>47318360.076826662</v>
      </c>
    </row>
    <row r="17" spans="1:37" s="25" customFormat="1" x14ac:dyDescent="0.2">
      <c r="A17" s="62">
        <v>16</v>
      </c>
      <c r="B17" s="18">
        <v>3000</v>
      </c>
      <c r="C17" s="23">
        <f>C16*1.5</f>
        <v>194400000</v>
      </c>
      <c r="D17" s="57">
        <f t="shared" si="17"/>
        <v>583200000000</v>
      </c>
      <c r="E17" s="38">
        <f t="shared" si="18"/>
        <v>58320000000</v>
      </c>
      <c r="F17" s="31">
        <f>F16*1.1</f>
        <v>7073843.0730000064</v>
      </c>
      <c r="G17" s="44">
        <f t="shared" si="19"/>
        <v>11340</v>
      </c>
      <c r="H17" s="31">
        <f t="shared" si="20"/>
        <v>6804000000</v>
      </c>
      <c r="I17" s="38">
        <f t="shared" si="21"/>
        <v>2138400000</v>
      </c>
      <c r="J17" s="30">
        <f t="shared" si="22"/>
        <v>427680000</v>
      </c>
      <c r="K17" s="30">
        <f t="shared" si="26"/>
        <v>5832000000</v>
      </c>
      <c r="L17" s="26">
        <f t="shared" si="30"/>
        <v>3240</v>
      </c>
      <c r="M17" s="26">
        <f t="shared" si="23"/>
        <v>6480</v>
      </c>
      <c r="N17" s="26">
        <f t="shared" si="1"/>
        <v>1080</v>
      </c>
      <c r="O17" s="26">
        <f t="shared" si="27"/>
        <v>3240</v>
      </c>
      <c r="P17" s="17">
        <f t="shared" si="36"/>
        <v>324</v>
      </c>
      <c r="Q17" s="38">
        <f t="shared" si="24"/>
        <v>5832000000</v>
      </c>
      <c r="R17" s="30">
        <f>N17*900000</f>
        <v>972000000</v>
      </c>
      <c r="S17" s="30">
        <f t="shared" si="31"/>
        <v>486000000</v>
      </c>
      <c r="T17" s="28">
        <f>E17+F17+H17+I17+K17+Q17+J17</f>
        <v>79361153843.072998</v>
      </c>
      <c r="U17" s="28">
        <f t="shared" si="3"/>
        <v>364500000000</v>
      </c>
      <c r="V17" s="31">
        <f t="shared" si="38"/>
        <v>444347160323.073</v>
      </c>
      <c r="W17" s="38">
        <f t="shared" si="28"/>
        <v>29160000000</v>
      </c>
      <c r="X17" s="31">
        <f t="shared" si="29"/>
        <v>168498846156.927</v>
      </c>
      <c r="Y17" s="27">
        <f t="shared" si="4"/>
        <v>20827925951.539051</v>
      </c>
      <c r="Z17" s="35">
        <f t="shared" si="5"/>
        <v>14580000000</v>
      </c>
      <c r="AA17" s="29">
        <f t="shared" si="6"/>
        <v>97200000000</v>
      </c>
      <c r="AB17" s="49">
        <f t="shared" si="7"/>
        <v>2041200000</v>
      </c>
      <c r="AC17" s="27">
        <f t="shared" si="8"/>
        <v>218700000000</v>
      </c>
      <c r="AD17" s="46">
        <f t="shared" si="9"/>
        <v>33849720205.387939</v>
      </c>
      <c r="AE17" s="82">
        <f t="shared" si="10"/>
        <v>17.229093666398185</v>
      </c>
      <c r="AF17" s="83">
        <f t="shared" si="11"/>
        <v>37.5</v>
      </c>
      <c r="AG17" s="102">
        <f t="shared" si="12"/>
        <v>28.892120397278294</v>
      </c>
      <c r="AH17" s="27">
        <f t="shared" si="13"/>
        <v>1875</v>
      </c>
      <c r="AI17" s="28">
        <f t="shared" si="14"/>
        <v>79847160323.072998</v>
      </c>
      <c r="AJ17" s="104">
        <f t="shared" si="15"/>
        <v>212925760861.52798</v>
      </c>
      <c r="AK17" s="112">
        <f t="shared" si="16"/>
        <v>70975253.620509326</v>
      </c>
    </row>
    <row r="18" spans="1:37" s="25" customFormat="1" x14ac:dyDescent="0.2">
      <c r="A18" s="62">
        <v>17</v>
      </c>
      <c r="B18" s="18">
        <v>3000</v>
      </c>
      <c r="C18" s="23">
        <f>C17*1.5</f>
        <v>291600000</v>
      </c>
      <c r="D18" s="57">
        <f t="shared" si="17"/>
        <v>874800000000</v>
      </c>
      <c r="E18" s="38">
        <f t="shared" si="18"/>
        <v>87480000000</v>
      </c>
      <c r="F18" s="31">
        <f>F17*1.1</f>
        <v>7781227.3803000078</v>
      </c>
      <c r="G18" s="44">
        <f t="shared" si="19"/>
        <v>17010</v>
      </c>
      <c r="H18" s="31">
        <f t="shared" si="20"/>
        <v>10206000000</v>
      </c>
      <c r="I18" s="38">
        <f t="shared" si="21"/>
        <v>3207600000</v>
      </c>
      <c r="J18" s="28">
        <f t="shared" si="22"/>
        <v>641520000</v>
      </c>
      <c r="K18" s="30">
        <f t="shared" si="26"/>
        <v>8748000000</v>
      </c>
      <c r="L18" s="26">
        <f t="shared" si="30"/>
        <v>4860</v>
      </c>
      <c r="M18" s="26">
        <f t="shared" si="23"/>
        <v>9720</v>
      </c>
      <c r="N18" s="26">
        <f t="shared" si="1"/>
        <v>1620</v>
      </c>
      <c r="O18" s="26">
        <f t="shared" si="27"/>
        <v>4860</v>
      </c>
      <c r="P18" s="22">
        <f t="shared" si="36"/>
        <v>486</v>
      </c>
      <c r="Q18" s="27">
        <f t="shared" si="24"/>
        <v>8748000000</v>
      </c>
      <c r="R18" s="30">
        <f t="shared" si="35"/>
        <v>1458000000</v>
      </c>
      <c r="S18" s="30">
        <f>R18 * 0.5</f>
        <v>729000000</v>
      </c>
      <c r="T18" s="30">
        <f t="shared" ref="T18:T21" si="41">E18+F18+H18+I18+K18+J18+Q18</f>
        <v>119038901227.38029</v>
      </c>
      <c r="U18" s="30">
        <f t="shared" si="3"/>
        <v>546750000000</v>
      </c>
      <c r="V18" s="31">
        <f t="shared" si="38"/>
        <v>666517910947.38025</v>
      </c>
      <c r="W18" s="38">
        <f t="shared" si="28"/>
        <v>43740000000</v>
      </c>
      <c r="X18" s="31">
        <f t="shared" si="29"/>
        <v>252751098772.61975</v>
      </c>
      <c r="Y18" s="38">
        <f t="shared" si="4"/>
        <v>31242313357.89296</v>
      </c>
      <c r="Z18" s="36">
        <f t="shared" si="5"/>
        <v>21870000000</v>
      </c>
      <c r="AA18" s="31">
        <f t="shared" si="6"/>
        <v>145800000000</v>
      </c>
      <c r="AB18" s="50">
        <f t="shared" si="7"/>
        <v>3061800000</v>
      </c>
      <c r="AC18" s="38">
        <f t="shared" si="8"/>
        <v>328050000000</v>
      </c>
      <c r="AD18" s="40">
        <f t="shared" si="9"/>
        <v>50776985414.726807</v>
      </c>
      <c r="AE18" s="82">
        <f t="shared" si="10"/>
        <v>17.228277591806041</v>
      </c>
      <c r="AF18" s="83">
        <f t="shared" si="11"/>
        <v>37.5</v>
      </c>
      <c r="AG18" s="102">
        <f t="shared" si="12"/>
        <v>28.892443846892974</v>
      </c>
      <c r="AH18" s="38">
        <f t="shared" si="13"/>
        <v>1875</v>
      </c>
      <c r="AI18" s="30">
        <f t="shared" si="14"/>
        <v>119767910947.38025</v>
      </c>
      <c r="AJ18" s="105">
        <f t="shared" si="15"/>
        <v>319381095859.68066</v>
      </c>
      <c r="AK18" s="23">
        <f t="shared" si="16"/>
        <v>106460365.28656022</v>
      </c>
    </row>
    <row r="19" spans="1:37" s="25" customFormat="1" x14ac:dyDescent="0.2">
      <c r="A19" s="62">
        <v>18</v>
      </c>
      <c r="B19" s="18">
        <v>3000</v>
      </c>
      <c r="C19" s="23">
        <f>C18*1.5</f>
        <v>437400000</v>
      </c>
      <c r="D19" s="57">
        <f t="shared" si="17"/>
        <v>1312200000000</v>
      </c>
      <c r="E19" s="38">
        <f t="shared" si="18"/>
        <v>131220000000</v>
      </c>
      <c r="F19" s="31">
        <f>F18*1.1</f>
        <v>8559350.1183300093</v>
      </c>
      <c r="G19" s="44">
        <f t="shared" si="19"/>
        <v>25515</v>
      </c>
      <c r="H19" s="31">
        <f t="shared" si="20"/>
        <v>15309000000</v>
      </c>
      <c r="I19" s="38">
        <f t="shared" si="21"/>
        <v>4811400000</v>
      </c>
      <c r="J19" s="30">
        <f t="shared" si="22"/>
        <v>962280000</v>
      </c>
      <c r="K19" s="30">
        <f t="shared" si="26"/>
        <v>13122000000</v>
      </c>
      <c r="L19" s="26">
        <f t="shared" si="30"/>
        <v>7290</v>
      </c>
      <c r="M19" s="26">
        <f t="shared" si="23"/>
        <v>14580</v>
      </c>
      <c r="N19" s="26">
        <f t="shared" si="1"/>
        <v>2430</v>
      </c>
      <c r="O19" s="26">
        <f t="shared" si="27"/>
        <v>7290</v>
      </c>
      <c r="P19" s="22">
        <f t="shared" si="36"/>
        <v>729</v>
      </c>
      <c r="Q19" s="38">
        <f t="shared" si="24"/>
        <v>13122000000</v>
      </c>
      <c r="R19" s="30">
        <f>N19*900000</f>
        <v>2187000000</v>
      </c>
      <c r="S19" s="30">
        <f t="shared" si="31"/>
        <v>1093500000</v>
      </c>
      <c r="T19" s="30">
        <f t="shared" si="41"/>
        <v>178555239350.11835</v>
      </c>
      <c r="U19" s="28">
        <f t="shared" si="3"/>
        <v>820125000000</v>
      </c>
      <c r="V19" s="31">
        <f t="shared" si="38"/>
        <v>999773753930.11841</v>
      </c>
      <c r="W19" s="38">
        <f t="shared" si="28"/>
        <v>65610000000</v>
      </c>
      <c r="X19" s="31">
        <f t="shared" si="29"/>
        <v>379129760649.88159</v>
      </c>
      <c r="Y19" s="38">
        <f t="shared" si="4"/>
        <v>46863936910.482239</v>
      </c>
      <c r="Z19" s="36">
        <f t="shared" si="5"/>
        <v>32805000000</v>
      </c>
      <c r="AA19" s="31">
        <f t="shared" si="6"/>
        <v>218700000000</v>
      </c>
      <c r="AB19" s="50">
        <f t="shared" si="7"/>
        <v>4592700000</v>
      </c>
      <c r="AC19" s="38">
        <f t="shared" si="8"/>
        <v>492075000000</v>
      </c>
      <c r="AD19" s="40">
        <f t="shared" si="9"/>
        <v>76168123739.399353</v>
      </c>
      <c r="AE19" s="82">
        <f t="shared" si="10"/>
        <v>17.227679186237335</v>
      </c>
      <c r="AF19" s="83">
        <f t="shared" si="11"/>
        <v>37.5</v>
      </c>
      <c r="AG19" s="102">
        <f t="shared" si="12"/>
        <v>28.892681043277062</v>
      </c>
      <c r="AH19" s="38">
        <f t="shared" si="13"/>
        <v>1875</v>
      </c>
      <c r="AI19" s="30">
        <f t="shared" si="14"/>
        <v>179648753930.11841</v>
      </c>
      <c r="AJ19" s="105">
        <f t="shared" si="15"/>
        <v>479063343813.64911</v>
      </c>
      <c r="AK19" s="23">
        <f t="shared" si="16"/>
        <v>159687781.27121636</v>
      </c>
    </row>
    <row r="20" spans="1:37" s="25" customFormat="1" x14ac:dyDescent="0.2">
      <c r="A20" s="62">
        <v>19</v>
      </c>
      <c r="B20" s="18">
        <v>3000</v>
      </c>
      <c r="C20" s="23">
        <f>C19*1.5</f>
        <v>656100000</v>
      </c>
      <c r="D20" s="57">
        <f t="shared" si="17"/>
        <v>1968300000000</v>
      </c>
      <c r="E20" s="38">
        <f t="shared" si="18"/>
        <v>196830000000</v>
      </c>
      <c r="F20" s="31">
        <f>F19*1.1</f>
        <v>9415285.1301630102</v>
      </c>
      <c r="G20" s="44">
        <f t="shared" si="19"/>
        <v>38270</v>
      </c>
      <c r="H20" s="31">
        <f t="shared" si="20"/>
        <v>22962000000</v>
      </c>
      <c r="I20" s="38">
        <f t="shared" si="21"/>
        <v>7217100000</v>
      </c>
      <c r="J20" s="30">
        <f t="shared" si="22"/>
        <v>1442760000</v>
      </c>
      <c r="K20" s="30">
        <f t="shared" si="26"/>
        <v>19683000000</v>
      </c>
      <c r="L20" s="26">
        <f t="shared" si="30"/>
        <v>10935</v>
      </c>
      <c r="M20" s="26">
        <f t="shared" si="23"/>
        <v>21870</v>
      </c>
      <c r="N20" s="26">
        <f t="shared" si="1"/>
        <v>3645</v>
      </c>
      <c r="O20" s="26">
        <f t="shared" si="27"/>
        <v>10935</v>
      </c>
      <c r="P20" s="17">
        <f t="shared" si="36"/>
        <v>1093</v>
      </c>
      <c r="Q20" s="38">
        <f t="shared" si="24"/>
        <v>19683000000</v>
      </c>
      <c r="R20" s="30">
        <f t="shared" si="35"/>
        <v>3280500000</v>
      </c>
      <c r="S20" s="30">
        <f t="shared" si="31"/>
        <v>1640250000</v>
      </c>
      <c r="T20" s="28">
        <f t="shared" ref="T20:T21" si="42">E20+F20+H20+I20+K20+Q20+J20</f>
        <v>267827275285.13016</v>
      </c>
      <c r="U20" s="28">
        <f>D20/1.6</f>
        <v>1230187500000</v>
      </c>
      <c r="V20" s="31">
        <f t="shared" si="38"/>
        <v>1499655047155.1301</v>
      </c>
      <c r="W20" s="38">
        <f t="shared" si="28"/>
        <v>98415000000</v>
      </c>
      <c r="X20" s="31">
        <f t="shared" si="29"/>
        <v>568700224714.86987</v>
      </c>
      <c r="Y20" s="27">
        <f t="shared" si="4"/>
        <v>70296742926.730484</v>
      </c>
      <c r="Z20" s="35">
        <f t="shared" si="5"/>
        <v>49207500000</v>
      </c>
      <c r="AA20" s="29">
        <f t="shared" si="6"/>
        <v>328050000000</v>
      </c>
      <c r="AB20" s="49">
        <f t="shared" si="7"/>
        <v>6888600000</v>
      </c>
      <c r="AC20" s="27">
        <f t="shared" si="8"/>
        <v>738112500000</v>
      </c>
      <c r="AD20" s="46">
        <f t="shared" si="9"/>
        <v>114257381788.1394</v>
      </c>
      <c r="AE20" s="82">
        <f>D20/AD20</f>
        <v>17.226895708582752</v>
      </c>
      <c r="AF20" s="83">
        <f t="shared" si="11"/>
        <v>37.5</v>
      </c>
      <c r="AG20" s="102">
        <f t="shared" si="12"/>
        <v>28.89296472666107</v>
      </c>
      <c r="AH20" s="27">
        <f t="shared" si="13"/>
        <v>1875</v>
      </c>
      <c r="AI20" s="28">
        <f t="shared" si="14"/>
        <v>269467547155.13013</v>
      </c>
      <c r="AJ20" s="104">
        <f t="shared" si="15"/>
        <v>718580125747.01367</v>
      </c>
      <c r="AK20" s="112">
        <f t="shared" si="16"/>
        <v>239526708.58233789</v>
      </c>
    </row>
    <row r="21" spans="1:37" s="25" customFormat="1" ht="16" thickBot="1" x14ac:dyDescent="0.25">
      <c r="A21" s="63">
        <v>20</v>
      </c>
      <c r="B21" s="64">
        <v>3000</v>
      </c>
      <c r="C21" s="65">
        <f>C20*1.5</f>
        <v>984150000</v>
      </c>
      <c r="D21" s="58">
        <f>B21*C21</f>
        <v>2952450000000</v>
      </c>
      <c r="E21" s="38">
        <f t="shared" si="18"/>
        <v>295245000000</v>
      </c>
      <c r="F21" s="32">
        <f>F20*1.1</f>
        <v>10356813.643179312</v>
      </c>
      <c r="G21" s="60">
        <f t="shared" si="19"/>
        <v>57409</v>
      </c>
      <c r="H21" s="32">
        <f>50000*G21*12</f>
        <v>34445400000</v>
      </c>
      <c r="I21" s="38">
        <f t="shared" si="21"/>
        <v>10825980000</v>
      </c>
      <c r="J21" s="52">
        <f>110000*P21*12</f>
        <v>2164800000</v>
      </c>
      <c r="K21" s="52">
        <f t="shared" si="26"/>
        <v>29524500000</v>
      </c>
      <c r="L21" s="42">
        <f t="shared" si="30"/>
        <v>16403</v>
      </c>
      <c r="M21" s="42">
        <f>ROUNDDOWN(K21/ 900000, 0)</f>
        <v>32805</v>
      </c>
      <c r="N21" s="42">
        <f t="shared" si="1"/>
        <v>5468</v>
      </c>
      <c r="O21" s="42">
        <f t="shared" si="27"/>
        <v>16403</v>
      </c>
      <c r="P21" s="22">
        <f t="shared" si="36"/>
        <v>1640</v>
      </c>
      <c r="Q21" s="39">
        <f t="shared" si="24"/>
        <v>29524500000</v>
      </c>
      <c r="R21" s="52">
        <f>N21*900000</f>
        <v>4921200000</v>
      </c>
      <c r="S21" s="52">
        <f t="shared" si="31"/>
        <v>2460600000</v>
      </c>
      <c r="T21" s="30">
        <f t="shared" ref="T21" si="43">E21+F21+H21+I21+K21+J21+Q21</f>
        <v>401740536813.64319</v>
      </c>
      <c r="U21" s="52">
        <f t="shared" si="3"/>
        <v>1845281250000</v>
      </c>
      <c r="V21" s="32">
        <f>S21+T21+U21+M21</f>
        <v>2249482419618.6431</v>
      </c>
      <c r="W21" s="39">
        <f t="shared" si="28"/>
        <v>147622500000</v>
      </c>
      <c r="X21" s="31">
        <f t="shared" si="29"/>
        <v>853050713186.35693</v>
      </c>
      <c r="Y21" s="27">
        <f xml:space="preserve"> (D21- V21) * 0.15</f>
        <v>105445137057.20354</v>
      </c>
      <c r="Z21" s="51">
        <f t="shared" si="5"/>
        <v>73811250000</v>
      </c>
      <c r="AA21" s="32">
        <f>IF(D21&gt; 60000000,D21* 0.2 / 1.2, 0)</f>
        <v>492075000000</v>
      </c>
      <c r="AB21" s="53">
        <f t="shared" si="7"/>
        <v>10333620000</v>
      </c>
      <c r="AC21" s="39">
        <f t="shared" si="8"/>
        <v>1107168750000</v>
      </c>
      <c r="AD21" s="80">
        <f t="shared" si="9"/>
        <v>171385706129.15344</v>
      </c>
      <c r="AE21" s="85">
        <f t="shared" si="10"/>
        <v>17.226932552794587</v>
      </c>
      <c r="AF21" s="86">
        <f t="shared" si="11"/>
        <v>37.5</v>
      </c>
      <c r="AG21" s="103">
        <f t="shared" si="12"/>
        <v>28.892977465710068</v>
      </c>
      <c r="AH21" s="39">
        <f t="shared" si="13"/>
        <v>1875</v>
      </c>
      <c r="AI21" s="52">
        <f t="shared" si="14"/>
        <v>404201169618.64307</v>
      </c>
      <c r="AJ21" s="113">
        <f t="shared" si="15"/>
        <v>1077869785649.7148</v>
      </c>
      <c r="AK21" s="65">
        <f t="shared" si="16"/>
        <v>359289928.54990494</v>
      </c>
    </row>
  </sheetData>
  <pageMargins left="0.75" right="0.75" top="1" bottom="1" header="0.5" footer="0.5"/>
  <ignoredErrors>
    <ignoredError sqref="T5 T8 T11 T14 T17 T20" formula="1"/>
  </ignoredError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D31BA-5D68-D74F-BBAB-FAA895E96951}">
  <dimension ref="A1:AK21"/>
  <sheetViews>
    <sheetView topLeftCell="X1" workbookViewId="0">
      <selection activeCell="Y2" sqref="Y2"/>
    </sheetView>
  </sheetViews>
  <sheetFormatPr baseColWidth="10" defaultColWidth="16" defaultRowHeight="15" x14ac:dyDescent="0.2"/>
  <cols>
    <col min="3" max="3" width="24" customWidth="1"/>
    <col min="4" max="4" width="32.1640625" customWidth="1"/>
    <col min="9" max="9" width="17.33203125" customWidth="1"/>
    <col min="12" max="12" width="20.33203125" customWidth="1"/>
    <col min="13" max="13" width="27" customWidth="1"/>
    <col min="15" max="15" width="27.33203125" customWidth="1"/>
    <col min="17" max="17" width="26.5" customWidth="1"/>
    <col min="18" max="18" width="17" customWidth="1"/>
    <col min="19" max="19" width="22" customWidth="1"/>
    <col min="20" max="20" width="17.83203125" customWidth="1"/>
    <col min="21" max="21" width="19.83203125" customWidth="1"/>
    <col min="22" max="22" width="20.33203125" customWidth="1"/>
    <col min="23" max="23" width="23.33203125" customWidth="1"/>
    <col min="24" max="24" width="18" customWidth="1"/>
    <col min="25" max="25" width="24" customWidth="1"/>
    <col min="26" max="26" width="19.33203125" customWidth="1"/>
    <col min="28" max="28" width="27.6640625" customWidth="1"/>
    <col min="29" max="29" width="23.5" customWidth="1"/>
    <col min="30" max="30" width="19.6640625" customWidth="1"/>
    <col min="31" max="31" width="23.83203125" customWidth="1"/>
    <col min="33" max="33" width="23.83203125" customWidth="1"/>
    <col min="34" max="37" width="27" customWidth="1"/>
  </cols>
  <sheetData>
    <row r="1" spans="1:37" s="5" customFormat="1" ht="16" thickBot="1" x14ac:dyDescent="0.25">
      <c r="A1" s="6" t="s">
        <v>0</v>
      </c>
      <c r="B1" s="7" t="s">
        <v>54</v>
      </c>
      <c r="C1" s="9" t="s">
        <v>84</v>
      </c>
      <c r="D1" s="7" t="s">
        <v>18</v>
      </c>
      <c r="E1" s="8" t="s">
        <v>20</v>
      </c>
      <c r="F1" s="9" t="s">
        <v>23</v>
      </c>
      <c r="G1" s="10" t="s">
        <v>4</v>
      </c>
      <c r="H1" s="8" t="s">
        <v>89</v>
      </c>
      <c r="I1" s="8" t="s">
        <v>22</v>
      </c>
      <c r="J1" s="11" t="s">
        <v>83</v>
      </c>
      <c r="K1" s="11" t="s">
        <v>29</v>
      </c>
      <c r="L1" s="11" t="s">
        <v>85</v>
      </c>
      <c r="M1" s="11" t="s">
        <v>86</v>
      </c>
      <c r="N1" s="11" t="s">
        <v>1</v>
      </c>
      <c r="O1" s="11" t="s">
        <v>2</v>
      </c>
      <c r="P1" s="12" t="s">
        <v>3</v>
      </c>
      <c r="Q1" s="13" t="s">
        <v>24</v>
      </c>
      <c r="R1" s="7" t="s">
        <v>28</v>
      </c>
      <c r="S1" s="9" t="s">
        <v>87</v>
      </c>
      <c r="T1" s="9" t="s">
        <v>71</v>
      </c>
      <c r="U1" s="14" t="s">
        <v>19</v>
      </c>
      <c r="V1" s="15" t="s">
        <v>25</v>
      </c>
      <c r="W1" s="16" t="s">
        <v>82</v>
      </c>
      <c r="X1" s="6" t="s">
        <v>26</v>
      </c>
      <c r="Y1" s="7" t="s">
        <v>27</v>
      </c>
      <c r="Z1" s="8" t="s">
        <v>70</v>
      </c>
      <c r="AA1" s="11" t="s">
        <v>80</v>
      </c>
      <c r="AB1" s="48" t="s">
        <v>88</v>
      </c>
      <c r="AC1" s="47" t="s">
        <v>81</v>
      </c>
      <c r="AD1" s="15" t="s">
        <v>30</v>
      </c>
      <c r="AE1" s="81" t="s">
        <v>100</v>
      </c>
      <c r="AF1" s="95" t="s">
        <v>99</v>
      </c>
      <c r="AG1" s="96" t="s">
        <v>101</v>
      </c>
      <c r="AH1" s="106" t="s">
        <v>102</v>
      </c>
      <c r="AI1" s="107" t="s">
        <v>103</v>
      </c>
      <c r="AJ1" s="106" t="s">
        <v>104</v>
      </c>
      <c r="AK1" s="107" t="s">
        <v>5</v>
      </c>
    </row>
    <row r="2" spans="1:37" s="21" customFormat="1" x14ac:dyDescent="0.2">
      <c r="A2" s="17">
        <v>1</v>
      </c>
      <c r="B2" s="18">
        <v>3000</v>
      </c>
      <c r="C2" s="20">
        <v>16000</v>
      </c>
      <c r="D2" s="27">
        <f>B2*C2</f>
        <v>48000000</v>
      </c>
      <c r="E2" s="28">
        <f>D2*0.15</f>
        <v>7200000</v>
      </c>
      <c r="F2" s="29">
        <f>25000*4+30000* 8</f>
        <v>340000</v>
      </c>
      <c r="G2" s="43">
        <v>5</v>
      </c>
      <c r="H2" s="28">
        <f>1*100000+11*250000</f>
        <v>2850000</v>
      </c>
      <c r="I2" s="28">
        <f>O2*55000*12</f>
        <v>660000</v>
      </c>
      <c r="J2" s="28">
        <f>110000*P2*12</f>
        <v>0</v>
      </c>
      <c r="K2" s="28">
        <v>992750</v>
      </c>
      <c r="L2" s="41">
        <v>0</v>
      </c>
      <c r="M2" s="41">
        <f>ROUNDDOWN(K2 / 900000, 0)</f>
        <v>1</v>
      </c>
      <c r="N2" s="41">
        <v>0</v>
      </c>
      <c r="O2" s="19">
        <v>1</v>
      </c>
      <c r="P2" s="20">
        <f>IF(O2 &lt; 10, 0, ROUNDDOWN(O2 / 10, 0))</f>
        <v>0</v>
      </c>
      <c r="Q2" s="45">
        <f>D2*0.01</f>
        <v>480000</v>
      </c>
      <c r="R2" s="27">
        <v>900000</v>
      </c>
      <c r="S2" s="29">
        <v>0</v>
      </c>
      <c r="T2" s="29">
        <f>E2+F2+H2+I2+K2+Q2</f>
        <v>12522750</v>
      </c>
      <c r="U2" s="33">
        <f>D2/1.6</f>
        <v>30000000</v>
      </c>
      <c r="V2" s="28">
        <f>S2+T2+U2+R2</f>
        <v>43422750</v>
      </c>
      <c r="W2" s="28">
        <f>C2*0.3*500</f>
        <v>2400000</v>
      </c>
      <c r="X2" s="46">
        <f>D2-T2-U2+W2</f>
        <v>7877250</v>
      </c>
      <c r="Y2" s="27">
        <f xml:space="preserve"> (D2- V2) * 0.15</f>
        <v>686587.5</v>
      </c>
      <c r="Z2" s="35">
        <f>D2*0.025</f>
        <v>1200000</v>
      </c>
      <c r="AA2" s="28">
        <f>IF(D2&gt; 60000000,D2* 0.2 / 1.2, 0)</f>
        <v>0</v>
      </c>
      <c r="AB2" s="49">
        <f>H2 * 30%</f>
        <v>855000</v>
      </c>
      <c r="AC2" s="33">
        <f>D2-U2</f>
        <v>18000000</v>
      </c>
      <c r="AD2" s="28">
        <f>X2-Y2-Z2-AA2-AB2</f>
        <v>5135662.5</v>
      </c>
      <c r="AE2" s="82">
        <f>D2/AD2</f>
        <v>9.3464085694883572</v>
      </c>
      <c r="AF2" s="83">
        <f>AC2/D2*100</f>
        <v>37.5</v>
      </c>
      <c r="AG2" s="84">
        <f>X2/D2*100</f>
        <v>16.410937499999999</v>
      </c>
      <c r="AH2" s="108">
        <f>U2/C2</f>
        <v>1875</v>
      </c>
      <c r="AI2" s="109">
        <f>V2-U2</f>
        <v>13422750</v>
      </c>
      <c r="AJ2" s="110">
        <f>B2* (AI2/(B2-AH2))</f>
        <v>35794000</v>
      </c>
      <c r="AK2" s="111">
        <f>AI2/(B2-AH2)</f>
        <v>11931.333333333334</v>
      </c>
    </row>
    <row r="3" spans="1:37" s="25" customFormat="1" x14ac:dyDescent="0.2">
      <c r="A3" s="22">
        <v>2</v>
      </c>
      <c r="B3" s="18">
        <v>3000</v>
      </c>
      <c r="C3" s="23">
        <f>C2*2.5</f>
        <v>40000</v>
      </c>
      <c r="D3" s="38">
        <f>B3*C3</f>
        <v>120000000</v>
      </c>
      <c r="E3" s="30">
        <f>D3*0.1</f>
        <v>12000000</v>
      </c>
      <c r="F3" s="31">
        <f>F2*1.1</f>
        <v>374000.00000000006</v>
      </c>
      <c r="G3" s="44">
        <f>O3*3+P3*5</f>
        <v>6</v>
      </c>
      <c r="H3" s="30">
        <f>50000*G3*12</f>
        <v>3600000</v>
      </c>
      <c r="I3" s="30">
        <f>55000*O3*12</f>
        <v>1320000</v>
      </c>
      <c r="J3" s="30">
        <f>110000*P3*12</f>
        <v>0</v>
      </c>
      <c r="K3" s="30">
        <f>D3*0.01</f>
        <v>1200000</v>
      </c>
      <c r="L3" s="26">
        <f>ROUNDUP(C3 / 60000, 0)</f>
        <v>1</v>
      </c>
      <c r="M3" s="26">
        <f>ROUNDDOWN(K3 / 900000, 0)</f>
        <v>1</v>
      </c>
      <c r="N3" s="26">
        <f>MAX(MIN(L3 - O2, M3), 0)</f>
        <v>0</v>
      </c>
      <c r="O3" s="26">
        <v>2</v>
      </c>
      <c r="P3" s="24">
        <f>IF(O3 &lt; 10, 0, ROUNDDOWN(O3 / 10, 0))</f>
        <v>0</v>
      </c>
      <c r="Q3" s="37">
        <f>D3*0.01</f>
        <v>1200000</v>
      </c>
      <c r="R3" s="27">
        <f>N3* 900000</f>
        <v>0</v>
      </c>
      <c r="S3" s="31">
        <f>R3 * 0.5</f>
        <v>0</v>
      </c>
      <c r="T3" s="31">
        <f>E3+F3+H3+I3+J3+Q3+K3</f>
        <v>19694000</v>
      </c>
      <c r="U3" s="34">
        <f>D3/1.6</f>
        <v>75000000</v>
      </c>
      <c r="V3" s="30">
        <f>S3+T3+U3</f>
        <v>94694000</v>
      </c>
      <c r="W3" s="30">
        <f>C3*0.3*500</f>
        <v>6000000</v>
      </c>
      <c r="X3" s="40">
        <f>D3-T3-U3+W3</f>
        <v>31306000</v>
      </c>
      <c r="Y3" s="38">
        <f xml:space="preserve"> (D3- V3) * 0.15</f>
        <v>3795900</v>
      </c>
      <c r="Z3" s="36">
        <f>D3*0.025</f>
        <v>3000000</v>
      </c>
      <c r="AA3" s="30">
        <f>IF(D3&gt; 60000000,D3* 0.2 / 1.2, 0)</f>
        <v>20000000</v>
      </c>
      <c r="AB3" s="50">
        <f>H3 * 30%</f>
        <v>1080000</v>
      </c>
      <c r="AC3" s="34">
        <f>D3-U3</f>
        <v>45000000</v>
      </c>
      <c r="AD3" s="30">
        <f>X3-Y3-Z3-AA3-AB3</f>
        <v>3430100</v>
      </c>
      <c r="AE3" s="82">
        <f>D3/AD3</f>
        <v>34.984402787090758</v>
      </c>
      <c r="AF3" s="83">
        <f>AC3/D3*100</f>
        <v>37.5</v>
      </c>
      <c r="AG3" s="84">
        <f>X3/D3*100</f>
        <v>26.088333333333335</v>
      </c>
      <c r="AH3" s="38">
        <f>U3/C3</f>
        <v>1875</v>
      </c>
      <c r="AI3" s="30">
        <f>V3-U3</f>
        <v>19694000</v>
      </c>
      <c r="AJ3" s="105">
        <f>B3* (AI3/(B3-AH3))</f>
        <v>52517333.333333336</v>
      </c>
      <c r="AK3" s="23">
        <f>AI3/(B3-AH3)</f>
        <v>17505.777777777777</v>
      </c>
    </row>
    <row r="4" spans="1:37" s="25" customFormat="1" x14ac:dyDescent="0.2">
      <c r="A4" s="22">
        <v>3</v>
      </c>
      <c r="B4" s="18">
        <v>3000</v>
      </c>
      <c r="C4" s="23">
        <f>C3*2</f>
        <v>80000</v>
      </c>
      <c r="D4" s="38">
        <f>B4*C4</f>
        <v>240000000</v>
      </c>
      <c r="E4" s="30">
        <f>D4*0.1</f>
        <v>24000000</v>
      </c>
      <c r="F4" s="31">
        <f t="shared" ref="F4:F7" si="0">F3*1.1</f>
        <v>411400.00000000012</v>
      </c>
      <c r="G4" s="44">
        <f>O4*3+P4*5</f>
        <v>6</v>
      </c>
      <c r="H4" s="30">
        <f>50000*G4*12</f>
        <v>3600000</v>
      </c>
      <c r="I4" s="30">
        <f>50000*O4*12</f>
        <v>1200000</v>
      </c>
      <c r="J4" s="30">
        <f>110000*P4*12</f>
        <v>0</v>
      </c>
      <c r="K4" s="30">
        <f>D4*0.01</f>
        <v>2400000</v>
      </c>
      <c r="L4" s="26">
        <f>ROUNDUP(C4 / 60000, 0)</f>
        <v>2</v>
      </c>
      <c r="M4" s="26">
        <f>ROUNDDOWN(K4 / 900000, 0)</f>
        <v>2</v>
      </c>
      <c r="N4" s="26">
        <f>MAX(MIN(L4 - O3, M4), 0)</f>
        <v>0</v>
      </c>
      <c r="O4" s="26">
        <f>N4+O3</f>
        <v>2</v>
      </c>
      <c r="P4" s="24">
        <f>IF(O3 &lt; 10, 0, ROUNDDOWN(O3 / 10, 0))</f>
        <v>0</v>
      </c>
      <c r="Q4" s="37">
        <f>D4*0.01</f>
        <v>2400000</v>
      </c>
      <c r="R4" s="38">
        <f>N4*900000</f>
        <v>0</v>
      </c>
      <c r="S4" s="31">
        <f>R4 * 0.5</f>
        <v>0</v>
      </c>
      <c r="T4" s="31">
        <f>E4+F4+H4+I4+J4+Q4+K4</f>
        <v>34011400</v>
      </c>
      <c r="U4" s="33">
        <f>D4/1.6</f>
        <v>150000000</v>
      </c>
      <c r="V4" s="30">
        <f>S4+T4+U4</f>
        <v>184011400</v>
      </c>
      <c r="W4" s="30">
        <f>C4*0.3*500</f>
        <v>12000000</v>
      </c>
      <c r="X4" s="40">
        <f>D4-T4-U4+W4</f>
        <v>67988600</v>
      </c>
      <c r="Y4" s="38">
        <f xml:space="preserve"> (D4- V4) * 0.15</f>
        <v>8398290</v>
      </c>
      <c r="Z4" s="36">
        <f>D4*0.025</f>
        <v>6000000</v>
      </c>
      <c r="AA4" s="30">
        <f>IF(D4&gt; 60000000,D4* 0.2 / 1.2, 0)</f>
        <v>40000000</v>
      </c>
      <c r="AB4" s="50">
        <f>H4 * 30%</f>
        <v>1080000</v>
      </c>
      <c r="AC4" s="34">
        <f>D4-U4</f>
        <v>90000000</v>
      </c>
      <c r="AD4" s="30">
        <f>X4-Y4-Z4-AA4-AB4</f>
        <v>12510310</v>
      </c>
      <c r="AE4" s="82">
        <f>D4/AD4</f>
        <v>19.184176890900385</v>
      </c>
      <c r="AF4" s="83">
        <f>AC4/D4*100</f>
        <v>37.5</v>
      </c>
      <c r="AG4" s="84">
        <f>X4/D4*100</f>
        <v>28.328583333333334</v>
      </c>
      <c r="AH4" s="38">
        <f>U4/C4</f>
        <v>1875</v>
      </c>
      <c r="AI4" s="30">
        <f>V4-U4</f>
        <v>34011400</v>
      </c>
      <c r="AJ4" s="105">
        <f>B4* (AI4/(B4-AH4))</f>
        <v>90697066.666666657</v>
      </c>
      <c r="AK4" s="23">
        <f>AI4/(B4-AH4)</f>
        <v>30232.355555555554</v>
      </c>
    </row>
    <row r="5" spans="1:37" s="25" customFormat="1" x14ac:dyDescent="0.2">
      <c r="A5" s="22">
        <v>4</v>
      </c>
      <c r="B5" s="18">
        <v>3000</v>
      </c>
      <c r="C5" s="23">
        <f>C4*2</f>
        <v>160000</v>
      </c>
      <c r="D5" s="38">
        <f>B5*C5</f>
        <v>480000000</v>
      </c>
      <c r="E5" s="30">
        <f>D5*0.1</f>
        <v>48000000</v>
      </c>
      <c r="F5" s="31">
        <f t="shared" si="0"/>
        <v>452540.00000000017</v>
      </c>
      <c r="G5" s="44">
        <f>O5*3+P5*5</f>
        <v>9</v>
      </c>
      <c r="H5" s="30">
        <f>50000*G5*12</f>
        <v>5400000</v>
      </c>
      <c r="I5" s="30">
        <f>50000*O5*12</f>
        <v>1800000</v>
      </c>
      <c r="J5" s="30">
        <f>110000*P5*12</f>
        <v>0</v>
      </c>
      <c r="K5" s="30">
        <f>D5*0.01</f>
        <v>4800000</v>
      </c>
      <c r="L5" s="26">
        <f>ROUNDUP(C5 / 60000, 0)</f>
        <v>3</v>
      </c>
      <c r="M5" s="26">
        <f>ROUNDDOWN(K5 / 900000, 0)</f>
        <v>5</v>
      </c>
      <c r="N5" s="26">
        <f t="shared" ref="N5:N21" si="1">MAX(MIN(L5 - O4, M5), 0)</f>
        <v>1</v>
      </c>
      <c r="O5" s="26">
        <f>N5+O4</f>
        <v>3</v>
      </c>
      <c r="P5" s="20">
        <f t="shared" ref="P5:P6" si="2">IF(O5 &lt; 10, 0, ROUNDDOWN(O5 / 10, 0))</f>
        <v>0</v>
      </c>
      <c r="Q5" s="37">
        <f>D5*0.01</f>
        <v>4800000</v>
      </c>
      <c r="R5" s="38">
        <f>N5*900000</f>
        <v>900000</v>
      </c>
      <c r="S5" s="31">
        <f>R5 * 0.5</f>
        <v>450000</v>
      </c>
      <c r="T5" s="31">
        <f>E5+F5+H5+I5+J5+Q5+K5</f>
        <v>65252540</v>
      </c>
      <c r="U5" s="33">
        <f t="shared" ref="U5:U21" si="3">D5/1.6</f>
        <v>300000000</v>
      </c>
      <c r="V5" s="30">
        <f>S5+T5+U5</f>
        <v>365702540</v>
      </c>
      <c r="W5" s="30">
        <f>C5*0.3*500</f>
        <v>24000000</v>
      </c>
      <c r="X5" s="40">
        <f>D5-T5-U5+W5</f>
        <v>138747460</v>
      </c>
      <c r="Y5" s="27">
        <f t="shared" ref="Y5:Y21" si="4" xml:space="preserve"> (D5- V5) * 0.15</f>
        <v>17144619</v>
      </c>
      <c r="Z5" s="35">
        <f t="shared" ref="Z5:Z21" si="5">D5*0.025</f>
        <v>12000000</v>
      </c>
      <c r="AA5" s="28">
        <f t="shared" ref="AA5:AA21" si="6">IF(D5&gt; 60000000,D5* 0.2 / 1.2, 0)</f>
        <v>80000000</v>
      </c>
      <c r="AB5" s="49">
        <f t="shared" ref="AB5:AB21" si="7">H5 * 30%</f>
        <v>1620000</v>
      </c>
      <c r="AC5" s="33">
        <f t="shared" ref="AC5:AC21" si="8">D5-U5</f>
        <v>180000000</v>
      </c>
      <c r="AD5" s="28">
        <f t="shared" ref="AD5:AD21" si="9">X5-Y5-Z5-AA5-AB5</f>
        <v>27982841</v>
      </c>
      <c r="AE5" s="82">
        <f t="shared" ref="AE5:AE21" si="10">D5/AD5</f>
        <v>17.15336909501076</v>
      </c>
      <c r="AF5" s="83">
        <f t="shared" ref="AF5:AF21" si="11">AC5/D5*100</f>
        <v>37.5</v>
      </c>
      <c r="AG5" s="84">
        <f t="shared" ref="AG5:AG21" si="12">X5/D5*100</f>
        <v>28.90572083333333</v>
      </c>
      <c r="AH5" s="27">
        <f t="shared" ref="AH5:AH21" si="13">U5/C5</f>
        <v>1875</v>
      </c>
      <c r="AI5" s="28">
        <f t="shared" ref="AI5:AI21" si="14">V5-U5</f>
        <v>65702540</v>
      </c>
      <c r="AJ5" s="104">
        <f t="shared" ref="AJ5:AJ21" si="15">B5* (AI5/(B5-AH5))</f>
        <v>175206773.33333334</v>
      </c>
      <c r="AK5" s="112">
        <f t="shared" ref="AK5:AK21" si="16">AI5/(B5-AH5)</f>
        <v>58402.257777777777</v>
      </c>
    </row>
    <row r="6" spans="1:37" s="25" customFormat="1" x14ac:dyDescent="0.2">
      <c r="A6" s="22">
        <v>5</v>
      </c>
      <c r="B6" s="18">
        <v>3000</v>
      </c>
      <c r="C6" s="23">
        <f>C5*2</f>
        <v>320000</v>
      </c>
      <c r="D6" s="38">
        <f t="shared" ref="D6:D20" si="17">B6*C6</f>
        <v>960000000</v>
      </c>
      <c r="E6" s="30">
        <f>D6*0.1</f>
        <v>96000000</v>
      </c>
      <c r="F6" s="31">
        <f t="shared" si="0"/>
        <v>497794.00000000023</v>
      </c>
      <c r="G6" s="44">
        <f t="shared" ref="G6:G21" si="18">O6*3+P6*5</f>
        <v>18</v>
      </c>
      <c r="H6" s="30">
        <f t="shared" ref="H6:H20" si="19">50000*G6*12</f>
        <v>10800000</v>
      </c>
      <c r="I6" s="28">
        <f t="shared" ref="I6" si="20">O6*55000*12</f>
        <v>3960000</v>
      </c>
      <c r="J6" s="28">
        <f t="shared" ref="J6:J20" si="21">110000*P6*12</f>
        <v>0</v>
      </c>
      <c r="K6" s="30">
        <f>D6*0.01</f>
        <v>9600000</v>
      </c>
      <c r="L6" s="26">
        <f>ROUNDUP(C6 / 60000, 0)</f>
        <v>6</v>
      </c>
      <c r="M6" s="26">
        <f t="shared" ref="M6:M20" si="22">ROUNDDOWN(K6 / 900000, 0)</f>
        <v>10</v>
      </c>
      <c r="N6" s="26">
        <f t="shared" si="1"/>
        <v>3</v>
      </c>
      <c r="O6" s="26">
        <f>N6+O5</f>
        <v>6</v>
      </c>
      <c r="P6" s="24">
        <f t="shared" si="2"/>
        <v>0</v>
      </c>
      <c r="Q6" s="45">
        <f t="shared" ref="Q6:Q21" si="23">D6*0.01</f>
        <v>9600000</v>
      </c>
      <c r="R6" s="38">
        <f>N6*900000</f>
        <v>2700000</v>
      </c>
      <c r="S6" s="31">
        <f>R6 * 0.5</f>
        <v>1350000</v>
      </c>
      <c r="T6" s="31">
        <f t="shared" ref="T6:T21" si="24">E6+F6+H6+I6+J6+Q6+K6</f>
        <v>130457794</v>
      </c>
      <c r="U6" s="34">
        <f t="shared" si="3"/>
        <v>600000000</v>
      </c>
      <c r="V6" s="28">
        <f>S6+T6+U6</f>
        <v>731807794</v>
      </c>
      <c r="W6" s="30">
        <f>C6*0.3*500</f>
        <v>48000000</v>
      </c>
      <c r="X6" s="40">
        <f>D6-T6-U6+W6</f>
        <v>277542206</v>
      </c>
      <c r="Y6" s="38">
        <f xml:space="preserve"> (D6- V6) * 0.15</f>
        <v>34228830.899999999</v>
      </c>
      <c r="Z6" s="36">
        <f t="shared" si="5"/>
        <v>24000000</v>
      </c>
      <c r="AA6" s="30">
        <f t="shared" si="6"/>
        <v>160000000</v>
      </c>
      <c r="AB6" s="50">
        <f t="shared" si="7"/>
        <v>3240000</v>
      </c>
      <c r="AC6" s="34">
        <f t="shared" si="8"/>
        <v>360000000</v>
      </c>
      <c r="AD6" s="30">
        <f t="shared" si="9"/>
        <v>56073375.099999994</v>
      </c>
      <c r="AE6" s="82">
        <f t="shared" si="10"/>
        <v>17.120424770008185</v>
      </c>
      <c r="AF6" s="83">
        <f t="shared" si="11"/>
        <v>37.5</v>
      </c>
      <c r="AG6" s="84">
        <f t="shared" si="12"/>
        <v>28.910646458333332</v>
      </c>
      <c r="AH6" s="38">
        <f t="shared" si="13"/>
        <v>1875</v>
      </c>
      <c r="AI6" s="30">
        <f t="shared" si="14"/>
        <v>131807794</v>
      </c>
      <c r="AJ6" s="105">
        <f t="shared" si="15"/>
        <v>351487450.66666669</v>
      </c>
      <c r="AK6" s="23">
        <f t="shared" si="16"/>
        <v>117162.48355555556</v>
      </c>
    </row>
    <row r="7" spans="1:37" s="25" customFormat="1" x14ac:dyDescent="0.2">
      <c r="A7" s="22">
        <v>6</v>
      </c>
      <c r="B7" s="18">
        <v>3000</v>
      </c>
      <c r="C7" s="23">
        <f>C6*2</f>
        <v>640000</v>
      </c>
      <c r="D7" s="38">
        <f t="shared" si="17"/>
        <v>1920000000</v>
      </c>
      <c r="E7" s="30">
        <f t="shared" ref="E7:E21" si="25">D7*0.1</f>
        <v>192000000</v>
      </c>
      <c r="F7" s="31">
        <f t="shared" si="0"/>
        <v>547573.40000000026</v>
      </c>
      <c r="G7" s="44">
        <f t="shared" si="18"/>
        <v>33</v>
      </c>
      <c r="H7" s="30">
        <f t="shared" si="19"/>
        <v>19800000</v>
      </c>
      <c r="I7" s="30">
        <f t="shared" ref="I7" si="26">55000*O7*12</f>
        <v>7260000</v>
      </c>
      <c r="J7" s="30">
        <f t="shared" si="21"/>
        <v>0</v>
      </c>
      <c r="K7" s="30">
        <f t="shared" ref="K7:K21" si="27">D7*0.01</f>
        <v>19200000</v>
      </c>
      <c r="L7" s="26">
        <f>ROUNDUP(C7 / 60000, 0)</f>
        <v>11</v>
      </c>
      <c r="M7" s="26">
        <f t="shared" si="22"/>
        <v>21</v>
      </c>
      <c r="N7" s="26">
        <f t="shared" si="1"/>
        <v>5</v>
      </c>
      <c r="O7" s="26">
        <f t="shared" ref="O7:O21" si="28">N7+O6</f>
        <v>11</v>
      </c>
      <c r="P7" s="24">
        <f t="shared" ref="P7" si="29">IF(O6 &lt; 10, 0, ROUNDDOWN(O6 / 10, 0))</f>
        <v>0</v>
      </c>
      <c r="Q7" s="37">
        <f t="shared" si="23"/>
        <v>19200000</v>
      </c>
      <c r="R7" s="38">
        <f>N7*900000</f>
        <v>4500000</v>
      </c>
      <c r="S7" s="31">
        <f>R7 * 0.5</f>
        <v>2250000</v>
      </c>
      <c r="T7" s="31">
        <f t="shared" si="24"/>
        <v>258007573.40000001</v>
      </c>
      <c r="U7" s="33">
        <f t="shared" si="3"/>
        <v>1200000000</v>
      </c>
      <c r="V7" s="30">
        <f>S7+T7+U7+M7</f>
        <v>1460257594.4000001</v>
      </c>
      <c r="W7" s="30">
        <f t="shared" ref="W7:W21" si="30">C7*0.3*500</f>
        <v>96000000</v>
      </c>
      <c r="X7" s="40">
        <f t="shared" ref="X7:X21" si="31">D7-T7-U7+W7</f>
        <v>557992426.5999999</v>
      </c>
      <c r="Y7" s="38">
        <f t="shared" si="4"/>
        <v>68961360.839999989</v>
      </c>
      <c r="Z7" s="36">
        <f t="shared" si="5"/>
        <v>48000000</v>
      </c>
      <c r="AA7" s="30">
        <f t="shared" si="6"/>
        <v>320000000</v>
      </c>
      <c r="AB7" s="50">
        <f t="shared" si="7"/>
        <v>5940000</v>
      </c>
      <c r="AC7" s="34">
        <f t="shared" si="8"/>
        <v>720000000</v>
      </c>
      <c r="AD7" s="30">
        <f t="shared" si="9"/>
        <v>115091065.75999993</v>
      </c>
      <c r="AE7" s="82">
        <f t="shared" si="10"/>
        <v>16.682441745771886</v>
      </c>
      <c r="AF7" s="83">
        <f t="shared" si="11"/>
        <v>37.5</v>
      </c>
      <c r="AG7" s="84">
        <f t="shared" si="12"/>
        <v>29.062105552083327</v>
      </c>
      <c r="AH7" s="38">
        <f t="shared" si="13"/>
        <v>1875</v>
      </c>
      <c r="AI7" s="30">
        <f t="shared" si="14"/>
        <v>260257594.4000001</v>
      </c>
      <c r="AJ7" s="105">
        <f t="shared" si="15"/>
        <v>694020251.73333359</v>
      </c>
      <c r="AK7" s="23">
        <f t="shared" si="16"/>
        <v>231340.0839111112</v>
      </c>
    </row>
    <row r="8" spans="1:37" s="25" customFormat="1" x14ac:dyDescent="0.2">
      <c r="A8" s="22">
        <v>7</v>
      </c>
      <c r="B8" s="18">
        <v>3000</v>
      </c>
      <c r="C8" s="23">
        <f>C7*2</f>
        <v>1280000</v>
      </c>
      <c r="D8" s="38">
        <f t="shared" si="17"/>
        <v>3840000000</v>
      </c>
      <c r="E8" s="30">
        <f t="shared" si="25"/>
        <v>384000000</v>
      </c>
      <c r="F8" s="31">
        <f>250000*12</f>
        <v>3000000</v>
      </c>
      <c r="G8" s="44">
        <f t="shared" si="18"/>
        <v>76</v>
      </c>
      <c r="H8" s="30">
        <f t="shared" si="19"/>
        <v>45600000</v>
      </c>
      <c r="I8" s="30">
        <f t="shared" ref="I8:I9" si="32">50000*O8*12</f>
        <v>13200000</v>
      </c>
      <c r="J8" s="30">
        <f t="shared" si="21"/>
        <v>2640000</v>
      </c>
      <c r="K8" s="30">
        <f t="shared" si="27"/>
        <v>38400000</v>
      </c>
      <c r="L8" s="26">
        <f t="shared" ref="L8:L21" si="33">ROUNDUP(C8 / 60000, 0)</f>
        <v>22</v>
      </c>
      <c r="M8" s="26">
        <f t="shared" si="22"/>
        <v>42</v>
      </c>
      <c r="N8" s="26">
        <f t="shared" si="1"/>
        <v>11</v>
      </c>
      <c r="O8" s="26">
        <f t="shared" si="28"/>
        <v>22</v>
      </c>
      <c r="P8" s="20">
        <f t="shared" ref="P8:P9" si="34">IF(O8 &lt; 10, 0, ROUNDDOWN(O8 / 10, 0))</f>
        <v>2</v>
      </c>
      <c r="Q8" s="37">
        <f t="shared" si="23"/>
        <v>38400000</v>
      </c>
      <c r="R8" s="38">
        <f>N8*900000</f>
        <v>9900000</v>
      </c>
      <c r="S8" s="31">
        <f t="shared" ref="S8:S21" si="35">R8 * 0.5</f>
        <v>4950000</v>
      </c>
      <c r="T8" s="31">
        <f t="shared" si="24"/>
        <v>525240000</v>
      </c>
      <c r="U8" s="33">
        <f t="shared" si="3"/>
        <v>2400000000</v>
      </c>
      <c r="V8" s="30">
        <f>S8+T8+U8+M8</f>
        <v>2930190042</v>
      </c>
      <c r="W8" s="30">
        <f t="shared" si="30"/>
        <v>192000000</v>
      </c>
      <c r="X8" s="40">
        <f t="shared" si="31"/>
        <v>1106760000</v>
      </c>
      <c r="Y8" s="27">
        <f t="shared" si="4"/>
        <v>136471493.69999999</v>
      </c>
      <c r="Z8" s="35">
        <f t="shared" si="5"/>
        <v>96000000</v>
      </c>
      <c r="AA8" s="28">
        <f t="shared" si="6"/>
        <v>640000000</v>
      </c>
      <c r="AB8" s="49">
        <f t="shared" si="7"/>
        <v>13680000</v>
      </c>
      <c r="AC8" s="33">
        <f t="shared" si="8"/>
        <v>1440000000</v>
      </c>
      <c r="AD8" s="28">
        <f t="shared" si="9"/>
        <v>220608506.29999995</v>
      </c>
      <c r="AE8" s="82">
        <f t="shared" si="10"/>
        <v>17.406400434886589</v>
      </c>
      <c r="AF8" s="83">
        <f t="shared" si="11"/>
        <v>37.5</v>
      </c>
      <c r="AG8" s="84">
        <f t="shared" si="12"/>
        <v>28.821875000000002</v>
      </c>
      <c r="AH8" s="27">
        <f t="shared" si="13"/>
        <v>1875</v>
      </c>
      <c r="AI8" s="28">
        <f t="shared" si="14"/>
        <v>530190042</v>
      </c>
      <c r="AJ8" s="104">
        <f t="shared" si="15"/>
        <v>1413840112</v>
      </c>
      <c r="AK8" s="112">
        <f t="shared" si="16"/>
        <v>471280.03733333334</v>
      </c>
    </row>
    <row r="9" spans="1:37" s="25" customFormat="1" x14ac:dyDescent="0.2">
      <c r="A9" s="22">
        <v>8</v>
      </c>
      <c r="B9" s="18">
        <v>3000</v>
      </c>
      <c r="C9" s="23">
        <f t="shared" ref="C9:C15" si="36">C8*2</f>
        <v>2560000</v>
      </c>
      <c r="D9" s="38">
        <f t="shared" si="17"/>
        <v>7680000000</v>
      </c>
      <c r="E9" s="30">
        <f t="shared" si="25"/>
        <v>768000000</v>
      </c>
      <c r="F9" s="31">
        <f>F8*1.1</f>
        <v>3300000.0000000005</v>
      </c>
      <c r="G9" s="44">
        <f t="shared" si="18"/>
        <v>149</v>
      </c>
      <c r="H9" s="30">
        <f t="shared" si="19"/>
        <v>89400000</v>
      </c>
      <c r="I9" s="30">
        <f t="shared" si="32"/>
        <v>25800000</v>
      </c>
      <c r="J9" s="30">
        <f t="shared" si="21"/>
        <v>5280000</v>
      </c>
      <c r="K9" s="30">
        <f t="shared" si="27"/>
        <v>76800000</v>
      </c>
      <c r="L9" s="26">
        <f t="shared" si="33"/>
        <v>43</v>
      </c>
      <c r="M9" s="26">
        <f t="shared" si="22"/>
        <v>85</v>
      </c>
      <c r="N9" s="26">
        <f t="shared" si="1"/>
        <v>21</v>
      </c>
      <c r="O9" s="26">
        <f t="shared" si="28"/>
        <v>43</v>
      </c>
      <c r="P9" s="24">
        <f t="shared" si="34"/>
        <v>4</v>
      </c>
      <c r="Q9" s="37">
        <f t="shared" si="23"/>
        <v>76800000</v>
      </c>
      <c r="R9" s="38">
        <f>N9*900000</f>
        <v>18900000</v>
      </c>
      <c r="S9" s="31">
        <f t="shared" si="35"/>
        <v>9450000</v>
      </c>
      <c r="T9" s="31">
        <f t="shared" si="24"/>
        <v>1045380000</v>
      </c>
      <c r="U9" s="34">
        <f t="shared" si="3"/>
        <v>4800000000</v>
      </c>
      <c r="V9" s="30">
        <f>S9+T9+U9+M9</f>
        <v>5854830085</v>
      </c>
      <c r="W9" s="30">
        <f t="shared" si="30"/>
        <v>384000000</v>
      </c>
      <c r="X9" s="40">
        <f t="shared" si="31"/>
        <v>2218620000</v>
      </c>
      <c r="Y9" s="38">
        <f t="shared" si="4"/>
        <v>273775487.25</v>
      </c>
      <c r="Z9" s="36">
        <f t="shared" si="5"/>
        <v>192000000</v>
      </c>
      <c r="AA9" s="30">
        <f t="shared" si="6"/>
        <v>1280000000</v>
      </c>
      <c r="AB9" s="50">
        <f t="shared" si="7"/>
        <v>26820000</v>
      </c>
      <c r="AC9" s="34">
        <f t="shared" si="8"/>
        <v>2880000000</v>
      </c>
      <c r="AD9" s="30">
        <f t="shared" si="9"/>
        <v>446024512.75</v>
      </c>
      <c r="AE9" s="82">
        <f t="shared" si="10"/>
        <v>17.218784574525607</v>
      </c>
      <c r="AF9" s="83">
        <f t="shared" si="11"/>
        <v>37.5</v>
      </c>
      <c r="AG9" s="84">
        <f t="shared" si="12"/>
        <v>28.888281249999999</v>
      </c>
      <c r="AH9" s="38">
        <f t="shared" si="13"/>
        <v>1875</v>
      </c>
      <c r="AI9" s="30">
        <f t="shared" si="14"/>
        <v>1054830085</v>
      </c>
      <c r="AJ9" s="105">
        <f t="shared" si="15"/>
        <v>2812880226.666667</v>
      </c>
      <c r="AK9" s="23">
        <f t="shared" si="16"/>
        <v>937626.74222222227</v>
      </c>
    </row>
    <row r="10" spans="1:37" s="25" customFormat="1" x14ac:dyDescent="0.2">
      <c r="A10" s="22">
        <v>9</v>
      </c>
      <c r="B10" s="18">
        <v>3000</v>
      </c>
      <c r="C10" s="23">
        <f>C9*2</f>
        <v>5120000</v>
      </c>
      <c r="D10" s="38">
        <f t="shared" si="17"/>
        <v>15360000000</v>
      </c>
      <c r="E10" s="30">
        <f t="shared" si="25"/>
        <v>1536000000</v>
      </c>
      <c r="F10" s="31">
        <f>F9*1.1</f>
        <v>3630000.0000000009</v>
      </c>
      <c r="G10" s="44">
        <f t="shared" si="18"/>
        <v>278</v>
      </c>
      <c r="H10" s="30">
        <f t="shared" si="19"/>
        <v>166800000</v>
      </c>
      <c r="I10" s="28">
        <f t="shared" ref="I10" si="37">O10*55000*12</f>
        <v>56760000</v>
      </c>
      <c r="J10" s="28">
        <f t="shared" si="21"/>
        <v>5280000</v>
      </c>
      <c r="K10" s="30">
        <f t="shared" si="27"/>
        <v>153600000</v>
      </c>
      <c r="L10" s="26">
        <f t="shared" si="33"/>
        <v>86</v>
      </c>
      <c r="M10" s="26">
        <f t="shared" si="22"/>
        <v>170</v>
      </c>
      <c r="N10" s="26">
        <f t="shared" si="1"/>
        <v>43</v>
      </c>
      <c r="O10" s="26">
        <f t="shared" si="28"/>
        <v>86</v>
      </c>
      <c r="P10" s="24">
        <f t="shared" ref="P10" si="38">IF(O9 &lt; 10, 0, ROUNDDOWN(O9 / 10, 0))</f>
        <v>4</v>
      </c>
      <c r="Q10" s="45">
        <f t="shared" si="23"/>
        <v>153600000</v>
      </c>
      <c r="R10" s="38">
        <f t="shared" ref="R10:R20" si="39">N10*900000</f>
        <v>38700000</v>
      </c>
      <c r="S10" s="31">
        <f t="shared" si="35"/>
        <v>19350000</v>
      </c>
      <c r="T10" s="31">
        <f t="shared" si="24"/>
        <v>2075670000</v>
      </c>
      <c r="U10" s="33">
        <f t="shared" si="3"/>
        <v>9600000000</v>
      </c>
      <c r="V10" s="30">
        <f>S10+T10+U10+M10</f>
        <v>11695020170</v>
      </c>
      <c r="W10" s="30">
        <f t="shared" si="30"/>
        <v>768000000</v>
      </c>
      <c r="X10" s="40">
        <f t="shared" si="31"/>
        <v>4452330000</v>
      </c>
      <c r="Y10" s="38">
        <f t="shared" si="4"/>
        <v>549746974.5</v>
      </c>
      <c r="Z10" s="36">
        <f t="shared" si="5"/>
        <v>384000000</v>
      </c>
      <c r="AA10" s="30">
        <f t="shared" si="6"/>
        <v>2560000000</v>
      </c>
      <c r="AB10" s="50">
        <f t="shared" si="7"/>
        <v>50040000</v>
      </c>
      <c r="AC10" s="34">
        <f t="shared" si="8"/>
        <v>5760000000</v>
      </c>
      <c r="AD10" s="30">
        <f t="shared" si="9"/>
        <v>908543025.5</v>
      </c>
      <c r="AE10" s="82">
        <f t="shared" si="10"/>
        <v>16.906188885822885</v>
      </c>
      <c r="AF10" s="83">
        <f t="shared" si="11"/>
        <v>37.5</v>
      </c>
      <c r="AG10" s="84">
        <f t="shared" si="12"/>
        <v>28.986523437500001</v>
      </c>
      <c r="AH10" s="38">
        <f t="shared" si="13"/>
        <v>1875</v>
      </c>
      <c r="AI10" s="30">
        <f t="shared" si="14"/>
        <v>2095020170</v>
      </c>
      <c r="AJ10" s="105">
        <f t="shared" si="15"/>
        <v>5586720453.333333</v>
      </c>
      <c r="AK10" s="23">
        <f t="shared" si="16"/>
        <v>1862240.151111111</v>
      </c>
    </row>
    <row r="11" spans="1:37" s="25" customFormat="1" x14ac:dyDescent="0.2">
      <c r="A11" s="22">
        <v>10</v>
      </c>
      <c r="B11" s="18">
        <v>3000</v>
      </c>
      <c r="C11" s="23">
        <f>C10*2</f>
        <v>10240000</v>
      </c>
      <c r="D11" s="38">
        <f t="shared" si="17"/>
        <v>30720000000</v>
      </c>
      <c r="E11" s="30">
        <f t="shared" si="25"/>
        <v>3072000000</v>
      </c>
      <c r="F11" s="31">
        <f>F10*1.1</f>
        <v>3993000.0000000014</v>
      </c>
      <c r="G11" s="44">
        <f t="shared" si="18"/>
        <v>598</v>
      </c>
      <c r="H11" s="30">
        <f t="shared" si="19"/>
        <v>358800000</v>
      </c>
      <c r="I11" s="30">
        <f t="shared" ref="I11" si="40">55000*O11*12</f>
        <v>112860000</v>
      </c>
      <c r="J11" s="30">
        <f t="shared" si="21"/>
        <v>22440000</v>
      </c>
      <c r="K11" s="30">
        <f t="shared" si="27"/>
        <v>307200000</v>
      </c>
      <c r="L11" s="26">
        <f t="shared" si="33"/>
        <v>171</v>
      </c>
      <c r="M11" s="26">
        <f t="shared" si="22"/>
        <v>341</v>
      </c>
      <c r="N11" s="26">
        <f t="shared" si="1"/>
        <v>85</v>
      </c>
      <c r="O11" s="26">
        <f t="shared" si="28"/>
        <v>171</v>
      </c>
      <c r="P11" s="20">
        <f t="shared" ref="P11:P12" si="41">IF(O11 &lt; 10, 0, ROUNDDOWN(O11 / 10, 0))</f>
        <v>17</v>
      </c>
      <c r="Q11" s="37">
        <f t="shared" si="23"/>
        <v>307200000</v>
      </c>
      <c r="R11" s="38">
        <f>N11*900000</f>
        <v>76500000</v>
      </c>
      <c r="S11" s="31">
        <f t="shared" si="35"/>
        <v>38250000</v>
      </c>
      <c r="T11" s="31">
        <f t="shared" si="24"/>
        <v>4184493000</v>
      </c>
      <c r="U11" s="33">
        <f t="shared" si="3"/>
        <v>19200000000</v>
      </c>
      <c r="V11" s="30">
        <f t="shared" ref="V11:V20" si="42">S11+T11+U11+M11</f>
        <v>23422743341</v>
      </c>
      <c r="W11" s="30">
        <f t="shared" si="30"/>
        <v>1536000000</v>
      </c>
      <c r="X11" s="40">
        <f t="shared" si="31"/>
        <v>8871507000</v>
      </c>
      <c r="Y11" s="27">
        <f t="shared" si="4"/>
        <v>1094588498.8499999</v>
      </c>
      <c r="Z11" s="35">
        <f t="shared" si="5"/>
        <v>768000000</v>
      </c>
      <c r="AA11" s="28">
        <f t="shared" si="6"/>
        <v>5120000000</v>
      </c>
      <c r="AB11" s="49">
        <f t="shared" si="7"/>
        <v>107640000</v>
      </c>
      <c r="AC11" s="33">
        <f t="shared" si="8"/>
        <v>11520000000</v>
      </c>
      <c r="AD11" s="28">
        <f t="shared" si="9"/>
        <v>1781278501.1499996</v>
      </c>
      <c r="AE11" s="82">
        <f t="shared" si="10"/>
        <v>17.246039841701936</v>
      </c>
      <c r="AF11" s="83">
        <f t="shared" si="11"/>
        <v>37.5</v>
      </c>
      <c r="AG11" s="84">
        <f t="shared" si="12"/>
        <v>28.878603515625002</v>
      </c>
      <c r="AH11" s="27">
        <f t="shared" si="13"/>
        <v>1875</v>
      </c>
      <c r="AI11" s="28">
        <f t="shared" si="14"/>
        <v>4222743341</v>
      </c>
      <c r="AJ11" s="104">
        <f t="shared" si="15"/>
        <v>11260648909.333332</v>
      </c>
      <c r="AK11" s="112">
        <f t="shared" si="16"/>
        <v>3753549.6364444443</v>
      </c>
    </row>
    <row r="12" spans="1:37" s="25" customFormat="1" x14ac:dyDescent="0.2">
      <c r="A12" s="22">
        <v>11</v>
      </c>
      <c r="B12" s="18">
        <v>3000</v>
      </c>
      <c r="C12" s="23">
        <f>C11*2</f>
        <v>20480000</v>
      </c>
      <c r="D12" s="38">
        <f t="shared" si="17"/>
        <v>61440000000</v>
      </c>
      <c r="E12" s="30">
        <f t="shared" si="25"/>
        <v>6144000000</v>
      </c>
      <c r="F12" s="31">
        <f>F11*1.1</f>
        <v>4392300.0000000019</v>
      </c>
      <c r="G12" s="44">
        <f t="shared" si="18"/>
        <v>1196</v>
      </c>
      <c r="H12" s="30">
        <f t="shared" si="19"/>
        <v>717600000</v>
      </c>
      <c r="I12" s="30">
        <f t="shared" ref="I12:I13" si="43">50000*O12*12</f>
        <v>205200000</v>
      </c>
      <c r="J12" s="30">
        <f t="shared" si="21"/>
        <v>44880000</v>
      </c>
      <c r="K12" s="30">
        <f t="shared" si="27"/>
        <v>614400000</v>
      </c>
      <c r="L12" s="26">
        <f t="shared" si="33"/>
        <v>342</v>
      </c>
      <c r="M12" s="26">
        <f t="shared" si="22"/>
        <v>682</v>
      </c>
      <c r="N12" s="26">
        <f t="shared" si="1"/>
        <v>171</v>
      </c>
      <c r="O12" s="26">
        <f t="shared" si="28"/>
        <v>342</v>
      </c>
      <c r="P12" s="24">
        <f t="shared" si="41"/>
        <v>34</v>
      </c>
      <c r="Q12" s="37">
        <f t="shared" si="23"/>
        <v>614400000</v>
      </c>
      <c r="R12" s="38">
        <f t="shared" si="39"/>
        <v>153900000</v>
      </c>
      <c r="S12" s="31">
        <f t="shared" si="35"/>
        <v>76950000</v>
      </c>
      <c r="T12" s="31">
        <f t="shared" si="24"/>
        <v>8344872300</v>
      </c>
      <c r="U12" s="34">
        <f t="shared" si="3"/>
        <v>38400000000</v>
      </c>
      <c r="V12" s="30">
        <f t="shared" si="42"/>
        <v>46821822982</v>
      </c>
      <c r="W12" s="30">
        <f t="shared" si="30"/>
        <v>3072000000</v>
      </c>
      <c r="X12" s="40">
        <f t="shared" si="31"/>
        <v>17767127700</v>
      </c>
      <c r="Y12" s="38">
        <f t="shared" si="4"/>
        <v>2192726552.6999998</v>
      </c>
      <c r="Z12" s="36">
        <f t="shared" si="5"/>
        <v>1536000000</v>
      </c>
      <c r="AA12" s="30">
        <f t="shared" si="6"/>
        <v>10240000000</v>
      </c>
      <c r="AB12" s="50">
        <f t="shared" si="7"/>
        <v>215280000</v>
      </c>
      <c r="AC12" s="34">
        <f t="shared" si="8"/>
        <v>23040000000</v>
      </c>
      <c r="AD12" s="30">
        <f t="shared" si="9"/>
        <v>3583121147.2999992</v>
      </c>
      <c r="AE12" s="82">
        <f t="shared" si="10"/>
        <v>17.147061869872047</v>
      </c>
      <c r="AF12" s="83">
        <f t="shared" si="11"/>
        <v>37.5</v>
      </c>
      <c r="AG12" s="84">
        <f t="shared" si="12"/>
        <v>28.917851074218749</v>
      </c>
      <c r="AH12" s="38">
        <f t="shared" si="13"/>
        <v>1875</v>
      </c>
      <c r="AI12" s="30">
        <f t="shared" si="14"/>
        <v>8421822982</v>
      </c>
      <c r="AJ12" s="105">
        <f t="shared" si="15"/>
        <v>22458194618.666668</v>
      </c>
      <c r="AK12" s="23">
        <f t="shared" si="16"/>
        <v>7486064.8728888892</v>
      </c>
    </row>
    <row r="13" spans="1:37" s="25" customFormat="1" x14ac:dyDescent="0.2">
      <c r="A13" s="22">
        <v>12</v>
      </c>
      <c r="B13" s="18">
        <v>3000</v>
      </c>
      <c r="C13" s="23">
        <f>C12*1.5</f>
        <v>30720000</v>
      </c>
      <c r="D13" s="38">
        <f t="shared" si="17"/>
        <v>92160000000</v>
      </c>
      <c r="E13" s="30">
        <f t="shared" si="25"/>
        <v>9216000000</v>
      </c>
      <c r="F13" s="31">
        <f>F12*1.1</f>
        <v>4831530.0000000028</v>
      </c>
      <c r="G13" s="44">
        <f t="shared" si="18"/>
        <v>1706</v>
      </c>
      <c r="H13" s="30">
        <f t="shared" si="19"/>
        <v>1023600000</v>
      </c>
      <c r="I13" s="30">
        <f t="shared" si="43"/>
        <v>307200000</v>
      </c>
      <c r="J13" s="30">
        <f t="shared" si="21"/>
        <v>44880000</v>
      </c>
      <c r="K13" s="30">
        <f t="shared" si="27"/>
        <v>921600000</v>
      </c>
      <c r="L13" s="26">
        <f t="shared" si="33"/>
        <v>512</v>
      </c>
      <c r="M13" s="26">
        <f t="shared" si="22"/>
        <v>1024</v>
      </c>
      <c r="N13" s="26">
        <f t="shared" si="1"/>
        <v>170</v>
      </c>
      <c r="O13" s="26">
        <f t="shared" si="28"/>
        <v>512</v>
      </c>
      <c r="P13" s="24">
        <f t="shared" ref="P13" si="44">IF(O12 &lt; 10, 0, ROUNDDOWN(O12 / 10, 0))</f>
        <v>34</v>
      </c>
      <c r="Q13" s="37">
        <f t="shared" si="23"/>
        <v>921600000</v>
      </c>
      <c r="R13" s="38">
        <f t="shared" si="39"/>
        <v>153000000</v>
      </c>
      <c r="S13" s="31">
        <f t="shared" si="35"/>
        <v>76500000</v>
      </c>
      <c r="T13" s="31">
        <f t="shared" si="24"/>
        <v>12439711530</v>
      </c>
      <c r="U13" s="33">
        <f t="shared" si="3"/>
        <v>57600000000</v>
      </c>
      <c r="V13" s="30">
        <f t="shared" si="42"/>
        <v>70116212554</v>
      </c>
      <c r="W13" s="30">
        <f t="shared" si="30"/>
        <v>4608000000</v>
      </c>
      <c r="X13" s="40">
        <f t="shared" si="31"/>
        <v>26728288470</v>
      </c>
      <c r="Y13" s="38">
        <f t="shared" si="4"/>
        <v>3306568116.9000001</v>
      </c>
      <c r="Z13" s="36">
        <f t="shared" si="5"/>
        <v>2304000000</v>
      </c>
      <c r="AA13" s="30">
        <f t="shared" si="6"/>
        <v>15360000000</v>
      </c>
      <c r="AB13" s="50">
        <f t="shared" si="7"/>
        <v>307080000</v>
      </c>
      <c r="AC13" s="34">
        <f t="shared" si="8"/>
        <v>34560000000</v>
      </c>
      <c r="AD13" s="30">
        <f t="shared" si="9"/>
        <v>5450640353.0999985</v>
      </c>
      <c r="AE13" s="82">
        <f t="shared" si="10"/>
        <v>16.908105108711659</v>
      </c>
      <c r="AF13" s="83">
        <f t="shared" si="11"/>
        <v>37.5</v>
      </c>
      <c r="AG13" s="84">
        <f t="shared" si="12"/>
        <v>29.002049121093748</v>
      </c>
      <c r="AH13" s="38">
        <f t="shared" si="13"/>
        <v>1875</v>
      </c>
      <c r="AI13" s="30">
        <f t="shared" si="14"/>
        <v>12516212554</v>
      </c>
      <c r="AJ13" s="105">
        <f t="shared" si="15"/>
        <v>33376566810.666668</v>
      </c>
      <c r="AK13" s="23">
        <f t="shared" si="16"/>
        <v>11125522.270222222</v>
      </c>
    </row>
    <row r="14" spans="1:37" s="25" customFormat="1" x14ac:dyDescent="0.2">
      <c r="A14" s="22">
        <v>13</v>
      </c>
      <c r="B14" s="18">
        <v>3000</v>
      </c>
      <c r="C14" s="23">
        <f>C13*1.5</f>
        <v>46080000</v>
      </c>
      <c r="D14" s="38">
        <f t="shared" si="17"/>
        <v>138240000000</v>
      </c>
      <c r="E14" s="30">
        <f t="shared" si="25"/>
        <v>13824000000</v>
      </c>
      <c r="F14" s="31">
        <f>F13*1.1</f>
        <v>5314683.0000000037</v>
      </c>
      <c r="G14" s="44">
        <f t="shared" si="18"/>
        <v>2684</v>
      </c>
      <c r="H14" s="30">
        <f t="shared" si="19"/>
        <v>1610400000</v>
      </c>
      <c r="I14" s="28">
        <f t="shared" ref="I14" si="45">O14*55000*12</f>
        <v>506880000</v>
      </c>
      <c r="J14" s="28">
        <f t="shared" si="21"/>
        <v>100320000</v>
      </c>
      <c r="K14" s="30">
        <f t="shared" si="27"/>
        <v>1382400000</v>
      </c>
      <c r="L14" s="26">
        <f t="shared" si="33"/>
        <v>768</v>
      </c>
      <c r="M14" s="26">
        <f t="shared" si="22"/>
        <v>1536</v>
      </c>
      <c r="N14" s="26">
        <f t="shared" si="1"/>
        <v>256</v>
      </c>
      <c r="O14" s="26">
        <f t="shared" si="28"/>
        <v>768</v>
      </c>
      <c r="P14" s="20">
        <f t="shared" ref="P14:P15" si="46">IF(O14 &lt; 10, 0, ROUNDDOWN(O14 / 10, 0))</f>
        <v>76</v>
      </c>
      <c r="Q14" s="45">
        <f t="shared" si="23"/>
        <v>1382400000</v>
      </c>
      <c r="R14" s="38">
        <f t="shared" si="39"/>
        <v>230400000</v>
      </c>
      <c r="S14" s="31">
        <f t="shared" si="35"/>
        <v>115200000</v>
      </c>
      <c r="T14" s="31">
        <f t="shared" si="24"/>
        <v>18811714683</v>
      </c>
      <c r="U14" s="33">
        <f t="shared" si="3"/>
        <v>86400000000</v>
      </c>
      <c r="V14" s="30">
        <f t="shared" si="42"/>
        <v>105326916219</v>
      </c>
      <c r="W14" s="30">
        <f t="shared" si="30"/>
        <v>6912000000</v>
      </c>
      <c r="X14" s="40">
        <f t="shared" si="31"/>
        <v>39940285317</v>
      </c>
      <c r="Y14" s="27">
        <f t="shared" si="4"/>
        <v>4936962567.1499996</v>
      </c>
      <c r="Z14" s="35">
        <f t="shared" si="5"/>
        <v>3456000000</v>
      </c>
      <c r="AA14" s="28">
        <f t="shared" si="6"/>
        <v>23040000000</v>
      </c>
      <c r="AB14" s="49">
        <f t="shared" si="7"/>
        <v>483120000</v>
      </c>
      <c r="AC14" s="33">
        <f t="shared" si="8"/>
        <v>51840000000</v>
      </c>
      <c r="AD14" s="28">
        <f t="shared" si="9"/>
        <v>8024202749.8499985</v>
      </c>
      <c r="AE14" s="82">
        <f t="shared" si="10"/>
        <v>17.227879742019756</v>
      </c>
      <c r="AF14" s="83">
        <f t="shared" si="11"/>
        <v>37.5</v>
      </c>
      <c r="AG14" s="84">
        <f t="shared" si="12"/>
        <v>28.891988799913193</v>
      </c>
      <c r="AH14" s="27">
        <f t="shared" si="13"/>
        <v>1875</v>
      </c>
      <c r="AI14" s="28">
        <f t="shared" si="14"/>
        <v>18926916219</v>
      </c>
      <c r="AJ14" s="104">
        <f t="shared" si="15"/>
        <v>50471776584</v>
      </c>
      <c r="AK14" s="112">
        <f t="shared" si="16"/>
        <v>16823925.528000001</v>
      </c>
    </row>
    <row r="15" spans="1:37" s="25" customFormat="1" x14ac:dyDescent="0.2">
      <c r="A15" s="22">
        <v>14</v>
      </c>
      <c r="B15" s="18">
        <v>3000</v>
      </c>
      <c r="C15" s="23">
        <f>C14*1.5</f>
        <v>69120000</v>
      </c>
      <c r="D15" s="38">
        <f t="shared" si="17"/>
        <v>207360000000</v>
      </c>
      <c r="E15" s="30">
        <f t="shared" si="25"/>
        <v>20736000000</v>
      </c>
      <c r="F15" s="31">
        <f>F14*1.1</f>
        <v>5846151.3000000045</v>
      </c>
      <c r="G15" s="44">
        <f t="shared" si="18"/>
        <v>4031</v>
      </c>
      <c r="H15" s="30">
        <f t="shared" si="19"/>
        <v>2418600000</v>
      </c>
      <c r="I15" s="30">
        <f t="shared" ref="I15" si="47">55000*O15*12</f>
        <v>760320000</v>
      </c>
      <c r="J15" s="30">
        <f t="shared" si="21"/>
        <v>151800000</v>
      </c>
      <c r="K15" s="30">
        <f t="shared" si="27"/>
        <v>2073600000</v>
      </c>
      <c r="L15" s="26">
        <f t="shared" si="33"/>
        <v>1152</v>
      </c>
      <c r="M15" s="26">
        <f t="shared" si="22"/>
        <v>2304</v>
      </c>
      <c r="N15" s="26">
        <f t="shared" si="1"/>
        <v>384</v>
      </c>
      <c r="O15" s="26">
        <f t="shared" si="28"/>
        <v>1152</v>
      </c>
      <c r="P15" s="24">
        <f t="shared" si="46"/>
        <v>115</v>
      </c>
      <c r="Q15" s="37">
        <f t="shared" si="23"/>
        <v>2073600000</v>
      </c>
      <c r="R15" s="38">
        <f t="shared" si="39"/>
        <v>345600000</v>
      </c>
      <c r="S15" s="31">
        <f t="shared" si="35"/>
        <v>172800000</v>
      </c>
      <c r="T15" s="31">
        <f t="shared" si="24"/>
        <v>28219766151.299999</v>
      </c>
      <c r="U15" s="34">
        <f t="shared" si="3"/>
        <v>129600000000</v>
      </c>
      <c r="V15" s="30">
        <f t="shared" si="42"/>
        <v>157992568455.29999</v>
      </c>
      <c r="W15" s="30">
        <f t="shared" si="30"/>
        <v>10368000000</v>
      </c>
      <c r="X15" s="40">
        <f t="shared" si="31"/>
        <v>59908233848.700012</v>
      </c>
      <c r="Y15" s="38">
        <f t="shared" si="4"/>
        <v>7405114731.7050018</v>
      </c>
      <c r="Z15" s="36">
        <f t="shared" si="5"/>
        <v>5184000000</v>
      </c>
      <c r="AA15" s="30">
        <f t="shared" si="6"/>
        <v>34560000000</v>
      </c>
      <c r="AB15" s="50">
        <f t="shared" si="7"/>
        <v>725580000</v>
      </c>
      <c r="AC15" s="34">
        <f t="shared" si="8"/>
        <v>77760000000</v>
      </c>
      <c r="AD15" s="30">
        <f t="shared" si="9"/>
        <v>12033539116.99501</v>
      </c>
      <c r="AE15" s="82">
        <f t="shared" si="10"/>
        <v>17.23183827999069</v>
      </c>
      <c r="AF15" s="83">
        <f t="shared" si="11"/>
        <v>37.5</v>
      </c>
      <c r="AG15" s="84">
        <f t="shared" si="12"/>
        <v>28.890930675491905</v>
      </c>
      <c r="AH15" s="38">
        <f t="shared" si="13"/>
        <v>1875</v>
      </c>
      <c r="AI15" s="30">
        <f t="shared" si="14"/>
        <v>28392568455.299988</v>
      </c>
      <c r="AJ15" s="105">
        <f t="shared" si="15"/>
        <v>75713515880.799957</v>
      </c>
      <c r="AK15" s="23">
        <f t="shared" si="16"/>
        <v>25237838.626933321</v>
      </c>
    </row>
    <row r="16" spans="1:37" s="25" customFormat="1" x14ac:dyDescent="0.2">
      <c r="A16" s="22">
        <v>15</v>
      </c>
      <c r="B16" s="18">
        <v>3000</v>
      </c>
      <c r="C16" s="23">
        <f>C15*1.5</f>
        <v>103680000</v>
      </c>
      <c r="D16" s="38">
        <f t="shared" si="17"/>
        <v>311040000000</v>
      </c>
      <c r="E16" s="30">
        <f t="shared" si="25"/>
        <v>31104000000</v>
      </c>
      <c r="F16" s="31">
        <f>F15*1.1</f>
        <v>6430766.4300000053</v>
      </c>
      <c r="G16" s="44">
        <f t="shared" si="18"/>
        <v>5759</v>
      </c>
      <c r="H16" s="30">
        <f t="shared" si="19"/>
        <v>3455400000</v>
      </c>
      <c r="I16" s="30">
        <f t="shared" ref="I16:I17" si="48">50000*O16*12</f>
        <v>1036800000</v>
      </c>
      <c r="J16" s="30">
        <f t="shared" si="21"/>
        <v>151800000</v>
      </c>
      <c r="K16" s="30">
        <f t="shared" si="27"/>
        <v>3110400000</v>
      </c>
      <c r="L16" s="26">
        <f t="shared" si="33"/>
        <v>1728</v>
      </c>
      <c r="M16" s="26">
        <f t="shared" si="22"/>
        <v>3456</v>
      </c>
      <c r="N16" s="26">
        <f t="shared" si="1"/>
        <v>576</v>
      </c>
      <c r="O16" s="26">
        <f t="shared" si="28"/>
        <v>1728</v>
      </c>
      <c r="P16" s="24">
        <f t="shared" ref="P16" si="49">IF(O15 &lt; 10, 0, ROUNDDOWN(O15 / 10, 0))</f>
        <v>115</v>
      </c>
      <c r="Q16" s="37">
        <f t="shared" si="23"/>
        <v>3110400000</v>
      </c>
      <c r="R16" s="38">
        <f t="shared" si="39"/>
        <v>518400000</v>
      </c>
      <c r="S16" s="31">
        <f t="shared" si="35"/>
        <v>259200000</v>
      </c>
      <c r="T16" s="31">
        <f t="shared" si="24"/>
        <v>41975230766.43</v>
      </c>
      <c r="U16" s="33">
        <f t="shared" si="3"/>
        <v>194400000000</v>
      </c>
      <c r="V16" s="30">
        <f t="shared" si="42"/>
        <v>236634434222.42999</v>
      </c>
      <c r="W16" s="30">
        <f t="shared" si="30"/>
        <v>15552000000</v>
      </c>
      <c r="X16" s="40">
        <f t="shared" si="31"/>
        <v>90216769233.570007</v>
      </c>
      <c r="Y16" s="38">
        <f t="shared" si="4"/>
        <v>11160834866.6355</v>
      </c>
      <c r="Z16" s="36">
        <f t="shared" si="5"/>
        <v>7776000000</v>
      </c>
      <c r="AA16" s="30">
        <f t="shared" si="6"/>
        <v>51840000000</v>
      </c>
      <c r="AB16" s="50">
        <f t="shared" si="7"/>
        <v>1036620000</v>
      </c>
      <c r="AC16" s="34">
        <f t="shared" si="8"/>
        <v>116640000000</v>
      </c>
      <c r="AD16" s="30">
        <f t="shared" si="9"/>
        <v>18403314366.934509</v>
      </c>
      <c r="AE16" s="82">
        <f t="shared" si="10"/>
        <v>16.901303417326279</v>
      </c>
      <c r="AF16" s="83">
        <f t="shared" si="11"/>
        <v>37.5</v>
      </c>
      <c r="AG16" s="84">
        <f t="shared" si="12"/>
        <v>29.004876939805175</v>
      </c>
      <c r="AH16" s="38">
        <f t="shared" si="13"/>
        <v>1875</v>
      </c>
      <c r="AI16" s="30">
        <f t="shared" si="14"/>
        <v>42234434222.429993</v>
      </c>
      <c r="AJ16" s="105">
        <f t="shared" si="15"/>
        <v>112625157926.47998</v>
      </c>
      <c r="AK16" s="23">
        <f t="shared" si="16"/>
        <v>37541719.308826663</v>
      </c>
    </row>
    <row r="17" spans="1:37" s="25" customFormat="1" x14ac:dyDescent="0.2">
      <c r="A17" s="22">
        <v>16</v>
      </c>
      <c r="B17" s="18">
        <v>3000</v>
      </c>
      <c r="C17" s="23">
        <f>C16*1.5</f>
        <v>155520000</v>
      </c>
      <c r="D17" s="38">
        <f t="shared" si="17"/>
        <v>466560000000</v>
      </c>
      <c r="E17" s="30">
        <f t="shared" si="25"/>
        <v>46656000000</v>
      </c>
      <c r="F17" s="31">
        <f>F16*1.1</f>
        <v>7073843.0730000064</v>
      </c>
      <c r="G17" s="44">
        <f t="shared" si="18"/>
        <v>9071</v>
      </c>
      <c r="H17" s="30">
        <f t="shared" si="19"/>
        <v>5442600000</v>
      </c>
      <c r="I17" s="30">
        <f t="shared" si="48"/>
        <v>1555200000</v>
      </c>
      <c r="J17" s="30">
        <f t="shared" si="21"/>
        <v>341880000</v>
      </c>
      <c r="K17" s="30">
        <f t="shared" si="27"/>
        <v>4665600000</v>
      </c>
      <c r="L17" s="26">
        <f t="shared" si="33"/>
        <v>2592</v>
      </c>
      <c r="M17" s="26">
        <f t="shared" si="22"/>
        <v>5184</v>
      </c>
      <c r="N17" s="26">
        <f t="shared" si="1"/>
        <v>864</v>
      </c>
      <c r="O17" s="26">
        <f t="shared" si="28"/>
        <v>2592</v>
      </c>
      <c r="P17" s="20">
        <f t="shared" ref="P17:P18" si="50">IF(O17 &lt; 10, 0, ROUNDDOWN(O17 / 10, 0))</f>
        <v>259</v>
      </c>
      <c r="Q17" s="37">
        <f t="shared" si="23"/>
        <v>4665600000</v>
      </c>
      <c r="R17" s="38">
        <f>N17*900000</f>
        <v>777600000</v>
      </c>
      <c r="S17" s="31">
        <f t="shared" si="35"/>
        <v>388800000</v>
      </c>
      <c r="T17" s="31">
        <f t="shared" si="24"/>
        <v>63333953843.072998</v>
      </c>
      <c r="U17" s="33">
        <f t="shared" si="3"/>
        <v>291600000000</v>
      </c>
      <c r="V17" s="30">
        <f t="shared" si="42"/>
        <v>355322759027.073</v>
      </c>
      <c r="W17" s="30">
        <f t="shared" si="30"/>
        <v>23328000000</v>
      </c>
      <c r="X17" s="40">
        <f t="shared" si="31"/>
        <v>134954046156.927</v>
      </c>
      <c r="Y17" s="27">
        <f t="shared" si="4"/>
        <v>16685586145.939049</v>
      </c>
      <c r="Z17" s="35">
        <f t="shared" si="5"/>
        <v>11664000000</v>
      </c>
      <c r="AA17" s="28">
        <f t="shared" si="6"/>
        <v>77760000000</v>
      </c>
      <c r="AB17" s="49">
        <f t="shared" si="7"/>
        <v>1632780000</v>
      </c>
      <c r="AC17" s="33">
        <f t="shared" si="8"/>
        <v>174960000000</v>
      </c>
      <c r="AD17" s="28">
        <f t="shared" si="9"/>
        <v>27211680010.987946</v>
      </c>
      <c r="AE17" s="82">
        <f t="shared" si="10"/>
        <v>17.145578656356584</v>
      </c>
      <c r="AF17" s="83">
        <f t="shared" si="11"/>
        <v>37.5</v>
      </c>
      <c r="AG17" s="84">
        <f t="shared" si="12"/>
        <v>28.92533568178305</v>
      </c>
      <c r="AH17" s="27">
        <f t="shared" si="13"/>
        <v>1875</v>
      </c>
      <c r="AI17" s="28">
        <f t="shared" si="14"/>
        <v>63722759027.072998</v>
      </c>
      <c r="AJ17" s="104">
        <f t="shared" si="15"/>
        <v>169927357405.52798</v>
      </c>
      <c r="AK17" s="112">
        <f t="shared" si="16"/>
        <v>56642452.468509331</v>
      </c>
    </row>
    <row r="18" spans="1:37" s="25" customFormat="1" x14ac:dyDescent="0.2">
      <c r="A18" s="22">
        <v>17</v>
      </c>
      <c r="B18" s="18">
        <v>3000</v>
      </c>
      <c r="C18" s="23">
        <f>C17*1.5</f>
        <v>233280000</v>
      </c>
      <c r="D18" s="38">
        <f t="shared" si="17"/>
        <v>699840000000</v>
      </c>
      <c r="E18" s="30">
        <f t="shared" si="25"/>
        <v>69984000000</v>
      </c>
      <c r="F18" s="31">
        <f>F17*1.1</f>
        <v>7781227.3803000078</v>
      </c>
      <c r="G18" s="44">
        <f t="shared" si="18"/>
        <v>13604</v>
      </c>
      <c r="H18" s="30">
        <f t="shared" si="19"/>
        <v>8162400000</v>
      </c>
      <c r="I18" s="28">
        <f t="shared" ref="I18" si="51">O18*55000*12</f>
        <v>2566080000</v>
      </c>
      <c r="J18" s="28">
        <f t="shared" si="21"/>
        <v>512160000</v>
      </c>
      <c r="K18" s="30">
        <f t="shared" si="27"/>
        <v>6998400000</v>
      </c>
      <c r="L18" s="26">
        <f t="shared" si="33"/>
        <v>3888</v>
      </c>
      <c r="M18" s="26">
        <f t="shared" si="22"/>
        <v>7776</v>
      </c>
      <c r="N18" s="26">
        <f t="shared" si="1"/>
        <v>1296</v>
      </c>
      <c r="O18" s="26">
        <f t="shared" si="28"/>
        <v>3888</v>
      </c>
      <c r="P18" s="24">
        <f t="shared" si="50"/>
        <v>388</v>
      </c>
      <c r="Q18" s="45">
        <f t="shared" si="23"/>
        <v>6998400000</v>
      </c>
      <c r="R18" s="38">
        <f t="shared" si="39"/>
        <v>1166400000</v>
      </c>
      <c r="S18" s="31">
        <f>R18 * 0.5</f>
        <v>583200000</v>
      </c>
      <c r="T18" s="31">
        <f t="shared" si="24"/>
        <v>95229221227.380295</v>
      </c>
      <c r="U18" s="34">
        <f t="shared" si="3"/>
        <v>437400000000</v>
      </c>
      <c r="V18" s="30">
        <f t="shared" si="42"/>
        <v>533212429003.38031</v>
      </c>
      <c r="W18" s="30">
        <f t="shared" si="30"/>
        <v>34992000000</v>
      </c>
      <c r="X18" s="40">
        <f t="shared" si="31"/>
        <v>202202778772.61975</v>
      </c>
      <c r="Y18" s="38">
        <f t="shared" si="4"/>
        <v>24994135649.492954</v>
      </c>
      <c r="Z18" s="36">
        <f t="shared" si="5"/>
        <v>17496000000</v>
      </c>
      <c r="AA18" s="30">
        <f t="shared" si="6"/>
        <v>116640000000</v>
      </c>
      <c r="AB18" s="50">
        <f t="shared" si="7"/>
        <v>2448720000</v>
      </c>
      <c r="AC18" s="34">
        <f t="shared" si="8"/>
        <v>262440000000</v>
      </c>
      <c r="AD18" s="30">
        <f t="shared" si="9"/>
        <v>40623923123.126801</v>
      </c>
      <c r="AE18" s="82">
        <f t="shared" si="10"/>
        <v>17.227287425659487</v>
      </c>
      <c r="AF18" s="83">
        <f t="shared" si="11"/>
        <v>37.5</v>
      </c>
      <c r="AG18" s="84">
        <f t="shared" si="12"/>
        <v>28.892715302443378</v>
      </c>
      <c r="AH18" s="38">
        <f t="shared" si="13"/>
        <v>1875</v>
      </c>
      <c r="AI18" s="30">
        <f t="shared" si="14"/>
        <v>95812429003.38031</v>
      </c>
      <c r="AJ18" s="105">
        <f t="shared" si="15"/>
        <v>255499810675.68085</v>
      </c>
      <c r="AK18" s="23">
        <f t="shared" si="16"/>
        <v>85166603.558560282</v>
      </c>
    </row>
    <row r="19" spans="1:37" s="25" customFormat="1" x14ac:dyDescent="0.2">
      <c r="A19" s="22">
        <v>18</v>
      </c>
      <c r="B19" s="18">
        <v>3000</v>
      </c>
      <c r="C19" s="23">
        <f>C18*1.5</f>
        <v>349920000</v>
      </c>
      <c r="D19" s="38">
        <f t="shared" si="17"/>
        <v>1049760000000</v>
      </c>
      <c r="E19" s="30">
        <f t="shared" si="25"/>
        <v>104976000000</v>
      </c>
      <c r="F19" s="31">
        <f>F18*1.1</f>
        <v>8559350.1183300093</v>
      </c>
      <c r="G19" s="44">
        <f t="shared" si="18"/>
        <v>19436</v>
      </c>
      <c r="H19" s="30">
        <f t="shared" si="19"/>
        <v>11661600000</v>
      </c>
      <c r="I19" s="30">
        <f t="shared" ref="I19" si="52">55000*O19*12</f>
        <v>3849120000</v>
      </c>
      <c r="J19" s="30">
        <f t="shared" si="21"/>
        <v>512160000</v>
      </c>
      <c r="K19" s="30">
        <f t="shared" si="27"/>
        <v>10497600000</v>
      </c>
      <c r="L19" s="26">
        <f t="shared" si="33"/>
        <v>5832</v>
      </c>
      <c r="M19" s="26">
        <f t="shared" si="22"/>
        <v>11664</v>
      </c>
      <c r="N19" s="26">
        <f t="shared" si="1"/>
        <v>1944</v>
      </c>
      <c r="O19" s="26">
        <f t="shared" si="28"/>
        <v>5832</v>
      </c>
      <c r="P19" s="24">
        <f t="shared" ref="P19" si="53">IF(O18 &lt; 10, 0, ROUNDDOWN(O18 / 10, 0))</f>
        <v>388</v>
      </c>
      <c r="Q19" s="37">
        <f t="shared" si="23"/>
        <v>10497600000</v>
      </c>
      <c r="R19" s="38">
        <f>N19*900000</f>
        <v>1749600000</v>
      </c>
      <c r="S19" s="31">
        <f t="shared" si="35"/>
        <v>874800000</v>
      </c>
      <c r="T19" s="31">
        <f t="shared" si="24"/>
        <v>142002639350.11835</v>
      </c>
      <c r="U19" s="33">
        <f t="shared" si="3"/>
        <v>656100000000</v>
      </c>
      <c r="V19" s="30">
        <f t="shared" si="42"/>
        <v>798977451014.11841</v>
      </c>
      <c r="W19" s="30">
        <f t="shared" si="30"/>
        <v>52488000000</v>
      </c>
      <c r="X19" s="40">
        <f t="shared" si="31"/>
        <v>304145360649.88159</v>
      </c>
      <c r="Y19" s="38">
        <f t="shared" si="4"/>
        <v>37617382347.88224</v>
      </c>
      <c r="Z19" s="36">
        <f t="shared" si="5"/>
        <v>26244000000</v>
      </c>
      <c r="AA19" s="30">
        <f t="shared" si="6"/>
        <v>174960000000</v>
      </c>
      <c r="AB19" s="50">
        <f t="shared" si="7"/>
        <v>3498480000</v>
      </c>
      <c r="AC19" s="34">
        <f t="shared" si="8"/>
        <v>393660000000</v>
      </c>
      <c r="AD19" s="30">
        <f t="shared" si="9"/>
        <v>61825498301.999359</v>
      </c>
      <c r="AE19" s="82">
        <f t="shared" si="10"/>
        <v>16.979402169509925</v>
      </c>
      <c r="AF19" s="83">
        <f t="shared" si="11"/>
        <v>37.5</v>
      </c>
      <c r="AG19" s="84">
        <f t="shared" si="12"/>
        <v>28.972847188869988</v>
      </c>
      <c r="AH19" s="38">
        <f t="shared" si="13"/>
        <v>1875</v>
      </c>
      <c r="AI19" s="30">
        <f t="shared" si="14"/>
        <v>142877451014.11841</v>
      </c>
      <c r="AJ19" s="105">
        <f t="shared" si="15"/>
        <v>381006536037.64911</v>
      </c>
      <c r="AK19" s="23">
        <f t="shared" si="16"/>
        <v>127002178.67921637</v>
      </c>
    </row>
    <row r="20" spans="1:37" s="25" customFormat="1" x14ac:dyDescent="0.2">
      <c r="A20" s="22">
        <v>19</v>
      </c>
      <c r="B20" s="18">
        <v>3000</v>
      </c>
      <c r="C20" s="23">
        <f>C19*1.5</f>
        <v>524880000</v>
      </c>
      <c r="D20" s="38">
        <f t="shared" si="17"/>
        <v>1574640000000</v>
      </c>
      <c r="E20" s="30">
        <f t="shared" si="25"/>
        <v>157464000000</v>
      </c>
      <c r="F20" s="31">
        <f>F19*1.1</f>
        <v>9415285.1301630102</v>
      </c>
      <c r="G20" s="44">
        <f t="shared" si="18"/>
        <v>30614</v>
      </c>
      <c r="H20" s="30">
        <f t="shared" si="19"/>
        <v>18368400000</v>
      </c>
      <c r="I20" s="30">
        <f t="shared" ref="I20:I21" si="54">50000*O20*12</f>
        <v>5248800000</v>
      </c>
      <c r="J20" s="30">
        <f t="shared" si="21"/>
        <v>1153680000</v>
      </c>
      <c r="K20" s="30">
        <f t="shared" si="27"/>
        <v>15746400000</v>
      </c>
      <c r="L20" s="26">
        <f t="shared" si="33"/>
        <v>8748</v>
      </c>
      <c r="M20" s="26">
        <f t="shared" si="22"/>
        <v>17496</v>
      </c>
      <c r="N20" s="26">
        <f t="shared" si="1"/>
        <v>2916</v>
      </c>
      <c r="O20" s="26">
        <f t="shared" si="28"/>
        <v>8748</v>
      </c>
      <c r="P20" s="20">
        <f t="shared" ref="P20:P21" si="55">IF(O20 &lt; 10, 0, ROUNDDOWN(O20 / 10, 0))</f>
        <v>874</v>
      </c>
      <c r="Q20" s="37">
        <f t="shared" si="23"/>
        <v>15746400000</v>
      </c>
      <c r="R20" s="38">
        <f t="shared" si="39"/>
        <v>2624400000</v>
      </c>
      <c r="S20" s="31">
        <f t="shared" si="35"/>
        <v>1312200000</v>
      </c>
      <c r="T20" s="31">
        <f t="shared" si="24"/>
        <v>213737095285.13016</v>
      </c>
      <c r="U20" s="33">
        <f>D20/1.6</f>
        <v>984150000000</v>
      </c>
      <c r="V20" s="30">
        <f t="shared" si="42"/>
        <v>1199199312781.1301</v>
      </c>
      <c r="W20" s="30">
        <f t="shared" si="30"/>
        <v>78732000000</v>
      </c>
      <c r="X20" s="40">
        <f t="shared" si="31"/>
        <v>455484904714.86987</v>
      </c>
      <c r="Y20" s="27">
        <f t="shared" si="4"/>
        <v>56316103082.830482</v>
      </c>
      <c r="Z20" s="35">
        <f t="shared" si="5"/>
        <v>39366000000</v>
      </c>
      <c r="AA20" s="28">
        <f t="shared" si="6"/>
        <v>262440000000</v>
      </c>
      <c r="AB20" s="49">
        <f t="shared" si="7"/>
        <v>5510520000</v>
      </c>
      <c r="AC20" s="33">
        <f t="shared" si="8"/>
        <v>590490000000</v>
      </c>
      <c r="AD20" s="28">
        <f t="shared" si="9"/>
        <v>91852281632.039368</v>
      </c>
      <c r="AE20" s="82">
        <f>D20/AD20</f>
        <v>17.143177850584209</v>
      </c>
      <c r="AF20" s="83">
        <f t="shared" si="11"/>
        <v>37.5</v>
      </c>
      <c r="AG20" s="84">
        <f t="shared" si="12"/>
        <v>28.926288212853091</v>
      </c>
      <c r="AH20" s="27">
        <f t="shared" si="13"/>
        <v>1875</v>
      </c>
      <c r="AI20" s="28">
        <f t="shared" si="14"/>
        <v>215049312781.13013</v>
      </c>
      <c r="AJ20" s="104">
        <f t="shared" si="15"/>
        <v>573464834083.01367</v>
      </c>
      <c r="AK20" s="112">
        <f t="shared" si="16"/>
        <v>191154944.6943379</v>
      </c>
    </row>
    <row r="21" spans="1:37" s="25" customFormat="1" ht="16" thickBot="1" x14ac:dyDescent="0.25">
      <c r="A21" s="22">
        <v>20</v>
      </c>
      <c r="B21" s="18">
        <v>3000</v>
      </c>
      <c r="C21" s="65">
        <f>C20*1.5</f>
        <v>787320000</v>
      </c>
      <c r="D21" s="39">
        <f>B21*C21</f>
        <v>2361960000000</v>
      </c>
      <c r="E21" s="30">
        <f t="shared" si="25"/>
        <v>236196000000</v>
      </c>
      <c r="F21" s="32">
        <f>F20*1.1</f>
        <v>10356813.643179312</v>
      </c>
      <c r="G21" s="44">
        <f t="shared" si="18"/>
        <v>45926</v>
      </c>
      <c r="H21" s="30">
        <f>50000*G21*12</f>
        <v>27555600000</v>
      </c>
      <c r="I21" s="30">
        <f t="shared" si="54"/>
        <v>7873200000</v>
      </c>
      <c r="J21" s="30">
        <f>110000*P21*12</f>
        <v>1731840000</v>
      </c>
      <c r="K21" s="30">
        <f t="shared" si="27"/>
        <v>23619600000</v>
      </c>
      <c r="L21" s="26">
        <f t="shared" si="33"/>
        <v>13122</v>
      </c>
      <c r="M21" s="26">
        <f>ROUNDDOWN(K21/ 900000, 0)</f>
        <v>26244</v>
      </c>
      <c r="N21" s="26">
        <f t="shared" si="1"/>
        <v>4374</v>
      </c>
      <c r="O21" s="26">
        <f t="shared" si="28"/>
        <v>13122</v>
      </c>
      <c r="P21" s="24">
        <f t="shared" si="55"/>
        <v>1312</v>
      </c>
      <c r="Q21" s="37">
        <f t="shared" si="23"/>
        <v>23619600000</v>
      </c>
      <c r="R21" s="38">
        <f>N21*900000</f>
        <v>3936600000</v>
      </c>
      <c r="S21" s="31">
        <f t="shared" si="35"/>
        <v>1968300000</v>
      </c>
      <c r="T21" s="31">
        <f t="shared" si="24"/>
        <v>320606196813.64319</v>
      </c>
      <c r="U21" s="34">
        <f t="shared" si="3"/>
        <v>1476225000000</v>
      </c>
      <c r="V21" s="30">
        <f>S21+T21+U21+M21</f>
        <v>1798799523057.6431</v>
      </c>
      <c r="W21" s="30">
        <f t="shared" si="30"/>
        <v>118098000000</v>
      </c>
      <c r="X21" s="40">
        <f t="shared" si="31"/>
        <v>683226803186.35693</v>
      </c>
      <c r="Y21" s="38">
        <f t="shared" si="4"/>
        <v>84474071541.353531</v>
      </c>
      <c r="Z21" s="51">
        <f t="shared" si="5"/>
        <v>59049000000</v>
      </c>
      <c r="AA21" s="52">
        <f t="shared" si="6"/>
        <v>393660000000</v>
      </c>
      <c r="AB21" s="53">
        <f t="shared" si="7"/>
        <v>8266680000</v>
      </c>
      <c r="AC21" s="34">
        <f t="shared" si="8"/>
        <v>885735000000</v>
      </c>
      <c r="AD21" s="30">
        <f t="shared" si="9"/>
        <v>137777051645.00342</v>
      </c>
      <c r="AE21" s="85">
        <f t="shared" si="10"/>
        <v>17.143348415422839</v>
      </c>
      <c r="AF21" s="86">
        <f t="shared" si="11"/>
        <v>37.5</v>
      </c>
      <c r="AG21" s="87">
        <f t="shared" si="12"/>
        <v>28.926264762585181</v>
      </c>
      <c r="AH21" s="39">
        <f t="shared" si="13"/>
        <v>1875</v>
      </c>
      <c r="AI21" s="52">
        <f t="shared" si="14"/>
        <v>322574523057.64307</v>
      </c>
      <c r="AJ21" s="113">
        <f t="shared" si="15"/>
        <v>860198728153.71484</v>
      </c>
      <c r="AK21" s="65">
        <f t="shared" si="16"/>
        <v>286732909.38457161</v>
      </c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21"/>
  <sheetViews>
    <sheetView topLeftCell="Q1" workbookViewId="0">
      <selection activeCell="U33" sqref="U33"/>
    </sheetView>
  </sheetViews>
  <sheetFormatPr baseColWidth="10" defaultColWidth="16" defaultRowHeight="15" x14ac:dyDescent="0.2"/>
  <cols>
    <col min="3" max="3" width="24" customWidth="1"/>
    <col min="4" max="4" width="32.1640625" customWidth="1"/>
    <col min="9" max="9" width="17.33203125" customWidth="1"/>
    <col min="12" max="12" width="20.33203125" customWidth="1"/>
    <col min="13" max="13" width="27" customWidth="1"/>
    <col min="15" max="15" width="27.33203125" customWidth="1"/>
    <col min="17" max="17" width="26.5" customWidth="1"/>
    <col min="18" max="18" width="17" customWidth="1"/>
    <col min="19" max="19" width="22" customWidth="1"/>
    <col min="20" max="20" width="17.83203125" customWidth="1"/>
    <col min="21" max="21" width="19.83203125" customWidth="1"/>
    <col min="22" max="22" width="20.33203125" customWidth="1"/>
    <col min="23" max="23" width="23.33203125" customWidth="1"/>
    <col min="24" max="24" width="18" customWidth="1"/>
    <col min="25" max="25" width="24" customWidth="1"/>
    <col min="26" max="26" width="19.33203125" customWidth="1"/>
    <col min="28" max="28" width="25.33203125" customWidth="1"/>
    <col min="29" max="29" width="23.5" customWidth="1"/>
    <col min="30" max="30" width="18.6640625" customWidth="1"/>
    <col min="31" max="31" width="21.83203125" customWidth="1"/>
    <col min="34" max="37" width="24.5" customWidth="1"/>
  </cols>
  <sheetData>
    <row r="1" spans="1:37" s="5" customFormat="1" ht="16" thickBot="1" x14ac:dyDescent="0.25">
      <c r="A1" s="6" t="s">
        <v>0</v>
      </c>
      <c r="B1" s="7" t="s">
        <v>54</v>
      </c>
      <c r="C1" s="9" t="s">
        <v>84</v>
      </c>
      <c r="D1" s="7" t="s">
        <v>18</v>
      </c>
      <c r="E1" s="8" t="s">
        <v>20</v>
      </c>
      <c r="F1" s="9" t="s">
        <v>23</v>
      </c>
      <c r="G1" s="10" t="s">
        <v>4</v>
      </c>
      <c r="H1" s="8" t="s">
        <v>21</v>
      </c>
      <c r="I1" s="8" t="s">
        <v>22</v>
      </c>
      <c r="J1" s="11" t="s">
        <v>83</v>
      </c>
      <c r="K1" s="11" t="s">
        <v>29</v>
      </c>
      <c r="L1" s="11" t="s">
        <v>85</v>
      </c>
      <c r="M1" s="11" t="s">
        <v>86</v>
      </c>
      <c r="N1" s="11" t="s">
        <v>1</v>
      </c>
      <c r="O1" s="11" t="s">
        <v>2</v>
      </c>
      <c r="P1" s="12" t="s">
        <v>3</v>
      </c>
      <c r="Q1" s="13" t="s">
        <v>24</v>
      </c>
      <c r="R1" s="7" t="s">
        <v>28</v>
      </c>
      <c r="S1" s="9" t="s">
        <v>87</v>
      </c>
      <c r="T1" s="9" t="s">
        <v>71</v>
      </c>
      <c r="U1" s="14" t="s">
        <v>19</v>
      </c>
      <c r="V1" s="15" t="s">
        <v>25</v>
      </c>
      <c r="W1" s="16" t="s">
        <v>82</v>
      </c>
      <c r="X1" s="6" t="s">
        <v>26</v>
      </c>
      <c r="Y1" s="7" t="s">
        <v>27</v>
      </c>
      <c r="Z1" s="8" t="s">
        <v>70</v>
      </c>
      <c r="AA1" s="12" t="s">
        <v>80</v>
      </c>
      <c r="AB1" s="48" t="s">
        <v>88</v>
      </c>
      <c r="AC1" s="47" t="s">
        <v>81</v>
      </c>
      <c r="AD1" s="15" t="s">
        <v>30</v>
      </c>
      <c r="AE1" s="88" t="s">
        <v>100</v>
      </c>
      <c r="AF1" s="114" t="s">
        <v>99</v>
      </c>
      <c r="AG1" s="115" t="s">
        <v>101</v>
      </c>
      <c r="AH1" s="106" t="s">
        <v>102</v>
      </c>
      <c r="AI1" s="107" t="s">
        <v>103</v>
      </c>
      <c r="AJ1" s="106" t="s">
        <v>104</v>
      </c>
      <c r="AK1" s="107" t="s">
        <v>5</v>
      </c>
    </row>
    <row r="2" spans="1:37" s="21" customFormat="1" x14ac:dyDescent="0.2">
      <c r="A2" s="17">
        <v>1</v>
      </c>
      <c r="B2" s="18">
        <v>3000</v>
      </c>
      <c r="C2" s="20">
        <v>10000</v>
      </c>
      <c r="D2" s="27">
        <f>B2*C2</f>
        <v>30000000</v>
      </c>
      <c r="E2" s="28">
        <f>D2*0.15</f>
        <v>4500000</v>
      </c>
      <c r="F2" s="29">
        <f>25000*4+30000* 8</f>
        <v>340000</v>
      </c>
      <c r="G2" s="43">
        <v>5</v>
      </c>
      <c r="H2" s="28">
        <f>1*100000+11*250000</f>
        <v>2850000</v>
      </c>
      <c r="I2" s="28">
        <f>O2*55000*12</f>
        <v>660000</v>
      </c>
      <c r="J2" s="28">
        <f>110000*P2*12</f>
        <v>0</v>
      </c>
      <c r="K2" s="28">
        <v>992750</v>
      </c>
      <c r="L2" s="41">
        <v>0</v>
      </c>
      <c r="M2" s="41">
        <f>ROUNDDOWN(K2 / 900000, 0)</f>
        <v>1</v>
      </c>
      <c r="N2" s="41">
        <v>0</v>
      </c>
      <c r="O2" s="19">
        <v>1</v>
      </c>
      <c r="P2" s="20">
        <f>IF(O2 &lt; 10, 0, ROUNDDOWN(O2 / 10, 0))</f>
        <v>0</v>
      </c>
      <c r="Q2" s="45">
        <f>D2*0.01</f>
        <v>300000</v>
      </c>
      <c r="R2" s="27">
        <v>900000</v>
      </c>
      <c r="S2" s="29">
        <v>0</v>
      </c>
      <c r="T2" s="29">
        <f>E2+F2+H2+I2+K2</f>
        <v>9342750</v>
      </c>
      <c r="U2" s="33">
        <f>D2/1.6</f>
        <v>18750000</v>
      </c>
      <c r="V2" s="28">
        <f>S2+T2+U2+R2</f>
        <v>28992750</v>
      </c>
      <c r="W2" s="28">
        <f>C2*0.3*500</f>
        <v>1500000</v>
      </c>
      <c r="X2" s="46">
        <f>D2-T2-U2+W2</f>
        <v>3407250</v>
      </c>
      <c r="Y2" s="27">
        <f xml:space="preserve"> (D2- V2) * 0.15</f>
        <v>151087.5</v>
      </c>
      <c r="Z2" s="35">
        <f>D2*0.025</f>
        <v>750000</v>
      </c>
      <c r="AA2" s="29">
        <f>IF(D2&gt; 60000000,D2* 0.2 / 1.2, 0)</f>
        <v>0</v>
      </c>
      <c r="AB2" s="49">
        <f>H2 * 30%</f>
        <v>855000</v>
      </c>
      <c r="AC2" s="33">
        <f>D2-U2</f>
        <v>11250000</v>
      </c>
      <c r="AD2" s="28">
        <f>X2-Y2-Z2-AA2-AB2</f>
        <v>1651162.5</v>
      </c>
      <c r="AE2" s="89">
        <v>9.77</v>
      </c>
      <c r="AF2" s="90">
        <v>37.5</v>
      </c>
      <c r="AG2" s="91">
        <v>20.47</v>
      </c>
      <c r="AH2" s="108">
        <f>U2/C2</f>
        <v>1875</v>
      </c>
      <c r="AI2" s="109">
        <f>V2-U2</f>
        <v>10242750</v>
      </c>
      <c r="AJ2" s="110">
        <f>B2* (AI2/(B2-AH2))</f>
        <v>27314000</v>
      </c>
      <c r="AK2" s="111">
        <f>AI2/(B2-AH2)</f>
        <v>9104.6666666666661</v>
      </c>
    </row>
    <row r="3" spans="1:37" s="25" customFormat="1" x14ac:dyDescent="0.2">
      <c r="A3" s="22">
        <v>2</v>
      </c>
      <c r="B3" s="18">
        <v>3000</v>
      </c>
      <c r="C3" s="23">
        <f>C2*2.5</f>
        <v>25000</v>
      </c>
      <c r="D3" s="38">
        <f>B3*C3</f>
        <v>75000000</v>
      </c>
      <c r="E3" s="30">
        <f>D3*0.1</f>
        <v>7500000</v>
      </c>
      <c r="F3" s="31">
        <f>F2*1.1</f>
        <v>374000.00000000006</v>
      </c>
      <c r="G3" s="44">
        <f>O3*3+P3*5</f>
        <v>6</v>
      </c>
      <c r="H3" s="30">
        <f>50000*G3*12</f>
        <v>3600000</v>
      </c>
      <c r="I3" s="30">
        <f>55000*O3*12</f>
        <v>1320000</v>
      </c>
      <c r="J3" s="30">
        <f>110000*P3*12</f>
        <v>0</v>
      </c>
      <c r="K3" s="30">
        <f>D3*0.01</f>
        <v>750000</v>
      </c>
      <c r="L3" s="26">
        <f>ROUNDUP(C3 / 60000, 0)</f>
        <v>1</v>
      </c>
      <c r="M3" s="26">
        <f>ROUNDDOWN(K3 / 900000, 0)</f>
        <v>0</v>
      </c>
      <c r="N3" s="26">
        <f>MAX(MIN(L3 - O2, M3), 0)</f>
        <v>0</v>
      </c>
      <c r="O3" s="26">
        <v>2</v>
      </c>
      <c r="P3" s="24">
        <f>IF(O3 &lt; 10, 0, ROUNDDOWN(O3 / 10, 0))</f>
        <v>0</v>
      </c>
      <c r="Q3" s="37">
        <f>D3*0.01</f>
        <v>750000</v>
      </c>
      <c r="R3" s="27">
        <f>N3* 900000</f>
        <v>0</v>
      </c>
      <c r="S3" s="31">
        <f>R3 * 0.5</f>
        <v>0</v>
      </c>
      <c r="T3" s="31">
        <f>E3+F3+H3+I3+K3</f>
        <v>13544000</v>
      </c>
      <c r="U3" s="34">
        <f>D3/1.6</f>
        <v>46875000</v>
      </c>
      <c r="V3" s="30">
        <f>S3+T3+U3</f>
        <v>60419000</v>
      </c>
      <c r="W3" s="30">
        <f>C3*0.3*500</f>
        <v>3750000</v>
      </c>
      <c r="X3" s="40">
        <f>D3-T3-U3+W3</f>
        <v>18331000</v>
      </c>
      <c r="Y3" s="38">
        <f xml:space="preserve"> (D3- V3) * 0.15</f>
        <v>2187150</v>
      </c>
      <c r="Z3" s="36">
        <f>D3*0.025</f>
        <v>1875000</v>
      </c>
      <c r="AA3" s="31">
        <f>IF(D3&gt; 60000000,D3* 0.2 / 1.2, 0)</f>
        <v>12500000</v>
      </c>
      <c r="AB3" s="50">
        <f>H3 * 30%</f>
        <v>1080000</v>
      </c>
      <c r="AC3" s="34">
        <f>D3-U3</f>
        <v>28125000</v>
      </c>
      <c r="AD3" s="30">
        <f>X3-Y3-Z3-AA3-AB3</f>
        <v>688850</v>
      </c>
      <c r="AE3" s="89">
        <v>14.34</v>
      </c>
      <c r="AF3" s="90">
        <v>37.5</v>
      </c>
      <c r="AG3" s="91">
        <v>31.15</v>
      </c>
      <c r="AH3" s="38">
        <f>U3/C3</f>
        <v>1875</v>
      </c>
      <c r="AI3" s="30">
        <f>V3-U3</f>
        <v>13544000</v>
      </c>
      <c r="AJ3" s="105">
        <f>B3* (AI3/(B3-AH3))</f>
        <v>36117333.333333336</v>
      </c>
      <c r="AK3" s="23">
        <f>AI3/(B3-AH3)</f>
        <v>12039.111111111111</v>
      </c>
    </row>
    <row r="4" spans="1:37" s="25" customFormat="1" x14ac:dyDescent="0.2">
      <c r="A4" s="22">
        <v>3</v>
      </c>
      <c r="B4" s="18">
        <v>3000</v>
      </c>
      <c r="C4" s="23">
        <f>C3*2</f>
        <v>50000</v>
      </c>
      <c r="D4" s="38">
        <f>B4*C4</f>
        <v>150000000</v>
      </c>
      <c r="E4" s="30">
        <f>D4*0.1</f>
        <v>15000000</v>
      </c>
      <c r="F4" s="31">
        <f t="shared" ref="F4:F10" si="0">F3*1.1</f>
        <v>411400.00000000012</v>
      </c>
      <c r="G4" s="44">
        <f>O4*3+P4*5</f>
        <v>6</v>
      </c>
      <c r="H4" s="30">
        <f>50000*G4*12</f>
        <v>3600000</v>
      </c>
      <c r="I4" s="30">
        <f>50000*O4*12</f>
        <v>1200000</v>
      </c>
      <c r="J4" s="30">
        <f>110000*P4*12</f>
        <v>0</v>
      </c>
      <c r="K4" s="30">
        <f>D4*0.01</f>
        <v>1500000</v>
      </c>
      <c r="L4" s="26">
        <f>ROUNDUP(C4 / 60000, 0)</f>
        <v>1</v>
      </c>
      <c r="M4" s="26">
        <f>ROUNDDOWN(K4 / 900000, 0)</f>
        <v>1</v>
      </c>
      <c r="N4" s="26">
        <f>MAX(MIN(L4 - O3, M4), 0)</f>
        <v>0</v>
      </c>
      <c r="O4" s="26">
        <f>N4+O3</f>
        <v>2</v>
      </c>
      <c r="P4" s="24">
        <f>IF(O3 &lt; 10, 0, ROUNDDOWN(O3 / 10, 0))</f>
        <v>0</v>
      </c>
      <c r="Q4" s="37">
        <f>D4*0.01</f>
        <v>1500000</v>
      </c>
      <c r="R4" s="38">
        <f>N4*900000</f>
        <v>0</v>
      </c>
      <c r="S4" s="31">
        <f>R4 * 0.5</f>
        <v>0</v>
      </c>
      <c r="T4" s="31">
        <f>E4+F4+H4+I4+K4</f>
        <v>21711400</v>
      </c>
      <c r="U4" s="33">
        <f>D4/1.6</f>
        <v>93750000</v>
      </c>
      <c r="V4" s="30">
        <f>S4+T4+U4</f>
        <v>115461400</v>
      </c>
      <c r="W4" s="30">
        <f>C4*0.3*500</f>
        <v>7500000</v>
      </c>
      <c r="X4" s="40">
        <f>D4-T4-U4+W4</f>
        <v>42038600</v>
      </c>
      <c r="Y4" s="38">
        <f xml:space="preserve"> (D4- V4) * 0.15</f>
        <v>5180790</v>
      </c>
      <c r="Z4" s="36">
        <f>D4*0.025</f>
        <v>3750000</v>
      </c>
      <c r="AA4" s="31">
        <f>IF(D4&gt; 60000000,D4* 0.2 / 1.2, 0)</f>
        <v>25000000</v>
      </c>
      <c r="AB4" s="50">
        <f>H4 * 30%</f>
        <v>1080000</v>
      </c>
      <c r="AC4" s="34">
        <f>D4-U4</f>
        <v>56250000</v>
      </c>
      <c r="AD4" s="30">
        <f>X4-Y4-Z4-AA4-AB4</f>
        <v>7027810</v>
      </c>
      <c r="AE4" s="89">
        <v>10.18</v>
      </c>
      <c r="AF4" s="90">
        <v>37.5</v>
      </c>
      <c r="AG4" s="91">
        <v>33.869999999999997</v>
      </c>
      <c r="AH4" s="38">
        <f>U4/C4</f>
        <v>1875</v>
      </c>
      <c r="AI4" s="30">
        <f>V4-U4</f>
        <v>21711400</v>
      </c>
      <c r="AJ4" s="105">
        <f>B4* (AI4/(B4-AH4))</f>
        <v>57897066.666666664</v>
      </c>
      <c r="AK4" s="23">
        <f>AI4/(B4-AH4)</f>
        <v>19299.022222222222</v>
      </c>
    </row>
    <row r="5" spans="1:37" s="25" customFormat="1" x14ac:dyDescent="0.2">
      <c r="A5" s="22">
        <v>4</v>
      </c>
      <c r="B5" s="18">
        <v>3000</v>
      </c>
      <c r="C5" s="23">
        <f>C4*2</f>
        <v>100000</v>
      </c>
      <c r="D5" s="38">
        <f>B5*C5</f>
        <v>300000000</v>
      </c>
      <c r="E5" s="30">
        <f>D5*0.1</f>
        <v>30000000</v>
      </c>
      <c r="F5" s="31">
        <f t="shared" si="0"/>
        <v>452540.00000000017</v>
      </c>
      <c r="G5" s="44">
        <f>O5*3+P5*5</f>
        <v>6</v>
      </c>
      <c r="H5" s="30">
        <f>50000*G5*12</f>
        <v>3600000</v>
      </c>
      <c r="I5" s="30">
        <f>50000*O5*12</f>
        <v>1200000</v>
      </c>
      <c r="J5" s="30">
        <f>110000*P5*12</f>
        <v>0</v>
      </c>
      <c r="K5" s="30">
        <f>D5*0.01</f>
        <v>3000000</v>
      </c>
      <c r="L5" s="26">
        <f>ROUNDUP(C5 / 60000, 0)</f>
        <v>2</v>
      </c>
      <c r="M5" s="26">
        <f>ROUNDDOWN(K5 / 900000, 0)</f>
        <v>3</v>
      </c>
      <c r="N5" s="26">
        <f t="shared" ref="N5:N21" si="1">MAX(MIN(L5 - O4, M5), 0)</f>
        <v>0</v>
      </c>
      <c r="O5" s="26">
        <f>N5+O4</f>
        <v>2</v>
      </c>
      <c r="P5" s="20">
        <f t="shared" ref="P5:P6" si="2">IF(O5 &lt; 10, 0, ROUNDDOWN(O5 / 10, 0))</f>
        <v>0</v>
      </c>
      <c r="Q5" s="37">
        <f>D5*0.01</f>
        <v>3000000</v>
      </c>
      <c r="R5" s="38">
        <f>N5*900000</f>
        <v>0</v>
      </c>
      <c r="S5" s="31">
        <f>R5 * 0.5</f>
        <v>0</v>
      </c>
      <c r="T5" s="29">
        <f t="shared" ref="T5:T20" si="3">E5+F5+H5+I5+K5</f>
        <v>38252540</v>
      </c>
      <c r="U5" s="33">
        <f t="shared" ref="U5:U21" si="4">D5/1.6</f>
        <v>187500000</v>
      </c>
      <c r="V5" s="30">
        <f>S5+T5+U5</f>
        <v>225752540</v>
      </c>
      <c r="W5" s="30">
        <f>C5*0.3*500</f>
        <v>15000000</v>
      </c>
      <c r="X5" s="40">
        <f>D5-T5-U5+W5</f>
        <v>89247460</v>
      </c>
      <c r="Y5" s="27">
        <f xml:space="preserve"> (D5- V5) * 0.15</f>
        <v>11137119</v>
      </c>
      <c r="Z5" s="35">
        <f t="shared" ref="Z5:Z21" si="5">D5*0.025</f>
        <v>7500000</v>
      </c>
      <c r="AA5" s="29">
        <f t="shared" ref="AA5:AA21" si="6">IF(D5&gt; 60000000,D5* 0.2 / 1.2, 0)</f>
        <v>50000000</v>
      </c>
      <c r="AB5" s="49">
        <f t="shared" ref="AB5:AB21" si="7">H5 * 30%</f>
        <v>1080000</v>
      </c>
      <c r="AC5" s="33">
        <f t="shared" ref="AC5:AC21" si="8">D5-U5</f>
        <v>112500000</v>
      </c>
      <c r="AD5" s="28">
        <f t="shared" ref="AD5:AD21" si="9">X5-Y5-Z5-AA5-AB5</f>
        <v>19530341</v>
      </c>
      <c r="AE5" s="89">
        <v>7.09</v>
      </c>
      <c r="AF5" s="90">
        <v>37.5</v>
      </c>
      <c r="AG5" s="91">
        <v>39.68</v>
      </c>
      <c r="AH5" s="27">
        <f t="shared" ref="AH5:AH21" si="10">U5/C5</f>
        <v>1875</v>
      </c>
      <c r="AI5" s="28">
        <f t="shared" ref="AI5:AI21" si="11">V5-U5</f>
        <v>38252540</v>
      </c>
      <c r="AJ5" s="104">
        <f t="shared" ref="AJ5:AJ21" si="12">B5* (AI5/(B5-AH5))</f>
        <v>102006773.33333333</v>
      </c>
      <c r="AK5" s="112">
        <f t="shared" ref="AK5:AK21" si="13">AI5/(B5-AH5)</f>
        <v>34002.257777777777</v>
      </c>
    </row>
    <row r="6" spans="1:37" s="25" customFormat="1" x14ac:dyDescent="0.2">
      <c r="A6" s="22">
        <v>5</v>
      </c>
      <c r="B6" s="18">
        <v>3000</v>
      </c>
      <c r="C6" s="23">
        <f>C5*2</f>
        <v>200000</v>
      </c>
      <c r="D6" s="38">
        <f t="shared" ref="D6:D20" si="14">B6*C6</f>
        <v>600000000</v>
      </c>
      <c r="E6" s="30">
        <f t="shared" ref="E6:E21" si="15">D6*0.1</f>
        <v>60000000</v>
      </c>
      <c r="F6" s="31">
        <f t="shared" si="0"/>
        <v>497794.00000000023</v>
      </c>
      <c r="G6" s="44">
        <f t="shared" ref="G6:G21" si="16">O6*3+P6*5</f>
        <v>12</v>
      </c>
      <c r="H6" s="30">
        <f t="shared" ref="H6:H20" si="17">50000*G6*12</f>
        <v>7200000</v>
      </c>
      <c r="I6" s="28">
        <f t="shared" ref="I6:I21" si="18">O6*55000*12</f>
        <v>2640000</v>
      </c>
      <c r="J6" s="28">
        <f t="shared" ref="J6:J21" si="19">110000*P6*12</f>
        <v>0</v>
      </c>
      <c r="K6" s="30">
        <f>D6*0.01</f>
        <v>6000000</v>
      </c>
      <c r="L6" s="26">
        <f>ROUNDUP(C6 / 60000, 0)</f>
        <v>4</v>
      </c>
      <c r="M6" s="26">
        <f t="shared" ref="M6:M21" si="20">ROUNDDOWN(K6 / 900000, 0)</f>
        <v>6</v>
      </c>
      <c r="N6" s="26">
        <f t="shared" si="1"/>
        <v>2</v>
      </c>
      <c r="O6" s="26">
        <f>N6+O5</f>
        <v>4</v>
      </c>
      <c r="P6" s="24">
        <f t="shared" si="2"/>
        <v>0</v>
      </c>
      <c r="Q6" s="45">
        <f t="shared" ref="Q6:Q21" si="21">D6*0.01</f>
        <v>6000000</v>
      </c>
      <c r="R6" s="38">
        <f>N6*900000</f>
        <v>1800000</v>
      </c>
      <c r="S6" s="31">
        <f>R6 * 0.5</f>
        <v>900000</v>
      </c>
      <c r="T6" s="31">
        <f t="shared" si="3"/>
        <v>76337794</v>
      </c>
      <c r="U6" s="34">
        <f t="shared" si="4"/>
        <v>375000000</v>
      </c>
      <c r="V6" s="28">
        <f>S6+T6+U6</f>
        <v>452237794</v>
      </c>
      <c r="W6" s="30">
        <f>C6*0.3*500</f>
        <v>30000000</v>
      </c>
      <c r="X6" s="40">
        <f t="shared" ref="X6:X21" si="22">D6-T6-U6+W6</f>
        <v>178662206</v>
      </c>
      <c r="Y6" s="38">
        <f t="shared" ref="Y5:Y21" si="23" xml:space="preserve"> (D6- V6) * 0.15</f>
        <v>22164330.899999999</v>
      </c>
      <c r="Z6" s="36">
        <f t="shared" si="5"/>
        <v>15000000</v>
      </c>
      <c r="AA6" s="31">
        <f t="shared" si="6"/>
        <v>100000000</v>
      </c>
      <c r="AB6" s="50">
        <f t="shared" si="7"/>
        <v>2160000</v>
      </c>
      <c r="AC6" s="34">
        <f t="shared" si="8"/>
        <v>225000000</v>
      </c>
      <c r="AD6" s="30">
        <f t="shared" si="9"/>
        <v>39337875.099999994</v>
      </c>
      <c r="AE6" s="89">
        <v>9.17</v>
      </c>
      <c r="AF6" s="90">
        <v>37.5</v>
      </c>
      <c r="AG6" s="91">
        <v>34.880000000000003</v>
      </c>
      <c r="AH6" s="38">
        <f t="shared" si="10"/>
        <v>1875</v>
      </c>
      <c r="AI6" s="30">
        <f t="shared" si="11"/>
        <v>77237794</v>
      </c>
      <c r="AJ6" s="105">
        <f t="shared" si="12"/>
        <v>205967450.66666666</v>
      </c>
      <c r="AK6" s="23">
        <f t="shared" si="13"/>
        <v>68655.81688888889</v>
      </c>
    </row>
    <row r="7" spans="1:37" s="25" customFormat="1" x14ac:dyDescent="0.2">
      <c r="A7" s="22">
        <v>6</v>
      </c>
      <c r="B7" s="18">
        <v>3000</v>
      </c>
      <c r="C7" s="23">
        <f>C6*2</f>
        <v>400000</v>
      </c>
      <c r="D7" s="38">
        <f t="shared" si="14"/>
        <v>1200000000</v>
      </c>
      <c r="E7" s="30">
        <f t="shared" si="15"/>
        <v>120000000</v>
      </c>
      <c r="F7" s="31">
        <f t="shared" si="0"/>
        <v>547573.40000000026</v>
      </c>
      <c r="G7" s="44">
        <f t="shared" si="16"/>
        <v>21</v>
      </c>
      <c r="H7" s="30">
        <f t="shared" si="17"/>
        <v>12600000</v>
      </c>
      <c r="I7" s="30">
        <f t="shared" ref="I7:I21" si="24">55000*O7*12</f>
        <v>4620000</v>
      </c>
      <c r="J7" s="30">
        <f t="shared" si="19"/>
        <v>0</v>
      </c>
      <c r="K7" s="30">
        <f t="shared" ref="K7:K21" si="25">D7*0.01</f>
        <v>12000000</v>
      </c>
      <c r="L7" s="26">
        <f>ROUNDUP(C7 / 60000, 0)</f>
        <v>7</v>
      </c>
      <c r="M7" s="26">
        <f t="shared" si="20"/>
        <v>13</v>
      </c>
      <c r="N7" s="26">
        <f t="shared" si="1"/>
        <v>3</v>
      </c>
      <c r="O7" s="26">
        <f t="shared" ref="O7:O21" si="26">N7+O6</f>
        <v>7</v>
      </c>
      <c r="P7" s="24">
        <f t="shared" ref="P7:P21" si="27">IF(O6 &lt; 10, 0, ROUNDDOWN(O6 / 10, 0))</f>
        <v>0</v>
      </c>
      <c r="Q7" s="37">
        <f t="shared" si="21"/>
        <v>12000000</v>
      </c>
      <c r="R7" s="38">
        <f>N7*900000</f>
        <v>2700000</v>
      </c>
      <c r="S7" s="31">
        <f>R7 * 0.5</f>
        <v>1350000</v>
      </c>
      <c r="T7" s="31">
        <f t="shared" si="3"/>
        <v>149767573.40000001</v>
      </c>
      <c r="U7" s="33">
        <f t="shared" si="4"/>
        <v>750000000</v>
      </c>
      <c r="V7" s="30">
        <f>S7+T7+U7+M7</f>
        <v>901117586.39999998</v>
      </c>
      <c r="W7" s="30">
        <f t="shared" ref="W7:W21" si="28">C7*0.3*500</f>
        <v>60000000</v>
      </c>
      <c r="X7" s="40">
        <f t="shared" si="22"/>
        <v>360232426.60000002</v>
      </c>
      <c r="Y7" s="38">
        <f t="shared" si="23"/>
        <v>44832362.039999999</v>
      </c>
      <c r="Z7" s="36">
        <f t="shared" si="5"/>
        <v>30000000</v>
      </c>
      <c r="AA7" s="31">
        <f t="shared" si="6"/>
        <v>200000000</v>
      </c>
      <c r="AB7" s="50">
        <f t="shared" si="7"/>
        <v>3780000</v>
      </c>
      <c r="AC7" s="34">
        <f t="shared" si="8"/>
        <v>450000000</v>
      </c>
      <c r="AD7" s="30">
        <f t="shared" si="9"/>
        <v>81620064.560000002</v>
      </c>
      <c r="AE7" s="89">
        <v>16.39</v>
      </c>
      <c r="AF7" s="90">
        <v>37.5</v>
      </c>
      <c r="AG7" s="91">
        <v>30.07</v>
      </c>
      <c r="AH7" s="38">
        <f t="shared" si="10"/>
        <v>1875</v>
      </c>
      <c r="AI7" s="30">
        <f t="shared" si="11"/>
        <v>151117586.39999998</v>
      </c>
      <c r="AJ7" s="105">
        <f t="shared" si="12"/>
        <v>402980230.39999992</v>
      </c>
      <c r="AK7" s="23">
        <f t="shared" si="13"/>
        <v>134326.74346666664</v>
      </c>
    </row>
    <row r="8" spans="1:37" s="25" customFormat="1" x14ac:dyDescent="0.2">
      <c r="A8" s="22">
        <v>7</v>
      </c>
      <c r="B8" s="18">
        <v>3000</v>
      </c>
      <c r="C8" s="23">
        <f>C7*2</f>
        <v>800000</v>
      </c>
      <c r="D8" s="38">
        <f t="shared" si="14"/>
        <v>2400000000</v>
      </c>
      <c r="E8" s="30">
        <f t="shared" si="15"/>
        <v>240000000</v>
      </c>
      <c r="F8" s="31">
        <f>250000*12</f>
        <v>3000000</v>
      </c>
      <c r="G8" s="44">
        <f t="shared" si="16"/>
        <v>47</v>
      </c>
      <c r="H8" s="30">
        <f t="shared" si="17"/>
        <v>28200000</v>
      </c>
      <c r="I8" s="30">
        <f t="shared" ref="I8:I21" si="29">50000*O8*12</f>
        <v>8400000</v>
      </c>
      <c r="J8" s="30">
        <f t="shared" si="19"/>
        <v>1320000</v>
      </c>
      <c r="K8" s="30">
        <f t="shared" si="25"/>
        <v>24000000</v>
      </c>
      <c r="L8" s="26">
        <f t="shared" ref="L8:L21" si="30">ROUNDUP(C8 / 60000, 0)</f>
        <v>14</v>
      </c>
      <c r="M8" s="26">
        <f t="shared" si="20"/>
        <v>26</v>
      </c>
      <c r="N8" s="26">
        <f t="shared" si="1"/>
        <v>7</v>
      </c>
      <c r="O8" s="26">
        <f t="shared" si="26"/>
        <v>14</v>
      </c>
      <c r="P8" s="20">
        <f t="shared" ref="P8:P9" si="31">IF(O8 &lt; 10, 0, ROUNDDOWN(O8 / 10, 0))</f>
        <v>1</v>
      </c>
      <c r="Q8" s="37">
        <f t="shared" si="21"/>
        <v>24000000</v>
      </c>
      <c r="R8" s="38">
        <f>N8*900000</f>
        <v>6300000</v>
      </c>
      <c r="S8" s="31">
        <f t="shared" ref="S8:S21" si="32">R8 * 0.5</f>
        <v>3150000</v>
      </c>
      <c r="T8" s="29">
        <f t="shared" si="3"/>
        <v>303600000</v>
      </c>
      <c r="U8" s="33">
        <f t="shared" si="4"/>
        <v>1500000000</v>
      </c>
      <c r="V8" s="30">
        <f>S8+T8+U8+M8</f>
        <v>1806750026</v>
      </c>
      <c r="W8" s="30">
        <f t="shared" si="28"/>
        <v>120000000</v>
      </c>
      <c r="X8" s="40">
        <f t="shared" si="22"/>
        <v>716400000</v>
      </c>
      <c r="Y8" s="27">
        <f t="shared" si="23"/>
        <v>88987496.099999994</v>
      </c>
      <c r="Z8" s="35">
        <f t="shared" si="5"/>
        <v>60000000</v>
      </c>
      <c r="AA8" s="29">
        <f t="shared" si="6"/>
        <v>400000000</v>
      </c>
      <c r="AB8" s="49">
        <f t="shared" si="7"/>
        <v>8460000</v>
      </c>
      <c r="AC8" s="33">
        <f t="shared" si="8"/>
        <v>900000000</v>
      </c>
      <c r="AD8" s="28">
        <f t="shared" si="9"/>
        <v>158952503.89999998</v>
      </c>
      <c r="AE8" s="89">
        <v>6.88</v>
      </c>
      <c r="AF8" s="90">
        <v>37.5</v>
      </c>
      <c r="AG8" s="91">
        <v>40.04</v>
      </c>
      <c r="AH8" s="27">
        <f t="shared" si="10"/>
        <v>1875</v>
      </c>
      <c r="AI8" s="28">
        <f t="shared" si="11"/>
        <v>306750026</v>
      </c>
      <c r="AJ8" s="104">
        <f t="shared" si="12"/>
        <v>818000069.33333325</v>
      </c>
      <c r="AK8" s="112">
        <f t="shared" si="13"/>
        <v>272666.68977777776</v>
      </c>
    </row>
    <row r="9" spans="1:37" s="25" customFormat="1" x14ac:dyDescent="0.2">
      <c r="A9" s="22">
        <v>8</v>
      </c>
      <c r="B9" s="18">
        <v>3000</v>
      </c>
      <c r="C9" s="23">
        <f t="shared" ref="C9:C15" si="33">C8*2</f>
        <v>1600000</v>
      </c>
      <c r="D9" s="38">
        <f t="shared" si="14"/>
        <v>4800000000</v>
      </c>
      <c r="E9" s="30">
        <f t="shared" si="15"/>
        <v>480000000</v>
      </c>
      <c r="F9" s="31">
        <f>F8*1.1</f>
        <v>3300000.0000000005</v>
      </c>
      <c r="G9" s="44">
        <f t="shared" si="16"/>
        <v>91</v>
      </c>
      <c r="H9" s="30">
        <f t="shared" si="17"/>
        <v>54600000</v>
      </c>
      <c r="I9" s="30">
        <f t="shared" si="29"/>
        <v>16200000</v>
      </c>
      <c r="J9" s="30">
        <f t="shared" si="19"/>
        <v>2640000</v>
      </c>
      <c r="K9" s="30">
        <f t="shared" si="25"/>
        <v>48000000</v>
      </c>
      <c r="L9" s="26">
        <f t="shared" si="30"/>
        <v>27</v>
      </c>
      <c r="M9" s="26">
        <f t="shared" si="20"/>
        <v>53</v>
      </c>
      <c r="N9" s="26">
        <f t="shared" si="1"/>
        <v>13</v>
      </c>
      <c r="O9" s="26">
        <f t="shared" si="26"/>
        <v>27</v>
      </c>
      <c r="P9" s="24">
        <f t="shared" si="31"/>
        <v>2</v>
      </c>
      <c r="Q9" s="37">
        <f t="shared" si="21"/>
        <v>48000000</v>
      </c>
      <c r="R9" s="38">
        <f>N9*900000</f>
        <v>11700000</v>
      </c>
      <c r="S9" s="31">
        <f t="shared" si="32"/>
        <v>5850000</v>
      </c>
      <c r="T9" s="31">
        <f t="shared" si="3"/>
        <v>602100000</v>
      </c>
      <c r="U9" s="34">
        <f t="shared" si="4"/>
        <v>3000000000</v>
      </c>
      <c r="V9" s="30">
        <f>S9+T9+U9+M9</f>
        <v>3607950053</v>
      </c>
      <c r="W9" s="30">
        <f t="shared" si="28"/>
        <v>240000000</v>
      </c>
      <c r="X9" s="40">
        <f t="shared" si="22"/>
        <v>1437900000</v>
      </c>
      <c r="Y9" s="38">
        <f t="shared" si="23"/>
        <v>178807492.04999998</v>
      </c>
      <c r="Z9" s="36">
        <f t="shared" si="5"/>
        <v>120000000</v>
      </c>
      <c r="AA9" s="31">
        <f t="shared" si="6"/>
        <v>800000000</v>
      </c>
      <c r="AB9" s="50">
        <f t="shared" si="7"/>
        <v>16380000</v>
      </c>
      <c r="AC9" s="34">
        <f t="shared" si="8"/>
        <v>1800000000</v>
      </c>
      <c r="AD9" s="30">
        <f t="shared" si="9"/>
        <v>322712507.95000005</v>
      </c>
      <c r="AE9" s="89">
        <v>9.1300000000000008</v>
      </c>
      <c r="AF9" s="90">
        <v>37.5</v>
      </c>
      <c r="AG9" s="91">
        <v>34.94</v>
      </c>
      <c r="AH9" s="38">
        <f t="shared" si="10"/>
        <v>1875</v>
      </c>
      <c r="AI9" s="30">
        <f t="shared" si="11"/>
        <v>607950053</v>
      </c>
      <c r="AJ9" s="105">
        <f t="shared" si="12"/>
        <v>1621200141.3333333</v>
      </c>
      <c r="AK9" s="23">
        <f t="shared" si="13"/>
        <v>540400.04711111111</v>
      </c>
    </row>
    <row r="10" spans="1:37" s="25" customFormat="1" x14ac:dyDescent="0.2">
      <c r="A10" s="22">
        <v>9</v>
      </c>
      <c r="B10" s="18">
        <v>3000</v>
      </c>
      <c r="C10" s="23">
        <f>C9*2</f>
        <v>3200000</v>
      </c>
      <c r="D10" s="38">
        <f t="shared" si="14"/>
        <v>9600000000</v>
      </c>
      <c r="E10" s="30">
        <f t="shared" si="15"/>
        <v>960000000</v>
      </c>
      <c r="F10" s="31">
        <f>F9*1.1</f>
        <v>3630000.0000000009</v>
      </c>
      <c r="G10" s="44">
        <f t="shared" si="16"/>
        <v>172</v>
      </c>
      <c r="H10" s="30">
        <f t="shared" si="17"/>
        <v>103200000</v>
      </c>
      <c r="I10" s="28">
        <f t="shared" ref="I10:I21" si="34">O10*55000*12</f>
        <v>35640000</v>
      </c>
      <c r="J10" s="28">
        <f t="shared" si="19"/>
        <v>2640000</v>
      </c>
      <c r="K10" s="30">
        <f t="shared" si="25"/>
        <v>96000000</v>
      </c>
      <c r="L10" s="26">
        <f t="shared" si="30"/>
        <v>54</v>
      </c>
      <c r="M10" s="26">
        <f t="shared" si="20"/>
        <v>106</v>
      </c>
      <c r="N10" s="26">
        <f t="shared" si="1"/>
        <v>27</v>
      </c>
      <c r="O10" s="26">
        <f t="shared" si="26"/>
        <v>54</v>
      </c>
      <c r="P10" s="24">
        <f t="shared" ref="P10:P21" si="35">IF(O9 &lt; 10, 0, ROUNDDOWN(O9 / 10, 0))</f>
        <v>2</v>
      </c>
      <c r="Q10" s="45">
        <f t="shared" si="21"/>
        <v>96000000</v>
      </c>
      <c r="R10" s="38">
        <f t="shared" ref="R10:R25" si="36">N10*900000</f>
        <v>24300000</v>
      </c>
      <c r="S10" s="31">
        <f t="shared" si="32"/>
        <v>12150000</v>
      </c>
      <c r="T10" s="31">
        <f t="shared" si="3"/>
        <v>1198470000</v>
      </c>
      <c r="U10" s="33">
        <f t="shared" si="4"/>
        <v>6000000000</v>
      </c>
      <c r="V10" s="30">
        <f>S10+T10+U10+M10</f>
        <v>7210620106</v>
      </c>
      <c r="W10" s="30">
        <f t="shared" si="28"/>
        <v>480000000</v>
      </c>
      <c r="X10" s="40">
        <f t="shared" si="22"/>
        <v>2881530000</v>
      </c>
      <c r="Y10" s="38">
        <f t="shared" si="23"/>
        <v>358406984.09999996</v>
      </c>
      <c r="Z10" s="36">
        <f t="shared" si="5"/>
        <v>240000000</v>
      </c>
      <c r="AA10" s="31">
        <f t="shared" si="6"/>
        <v>1600000000</v>
      </c>
      <c r="AB10" s="50">
        <f t="shared" si="7"/>
        <v>30960000</v>
      </c>
      <c r="AC10" s="34">
        <f t="shared" si="8"/>
        <v>3600000000</v>
      </c>
      <c r="AD10" s="30">
        <f t="shared" si="9"/>
        <v>652163015.9000001</v>
      </c>
      <c r="AE10" s="89">
        <v>9.0500000000000007</v>
      </c>
      <c r="AF10" s="90">
        <v>37.5</v>
      </c>
      <c r="AG10" s="91">
        <v>35.020000000000003</v>
      </c>
      <c r="AH10" s="38">
        <f t="shared" si="10"/>
        <v>1875</v>
      </c>
      <c r="AI10" s="30">
        <f t="shared" si="11"/>
        <v>1210620106</v>
      </c>
      <c r="AJ10" s="105">
        <f t="shared" si="12"/>
        <v>3228320282.666667</v>
      </c>
      <c r="AK10" s="23">
        <f t="shared" si="13"/>
        <v>1076106.760888889</v>
      </c>
    </row>
    <row r="11" spans="1:37" s="25" customFormat="1" x14ac:dyDescent="0.2">
      <c r="A11" s="22">
        <v>10</v>
      </c>
      <c r="B11" s="18">
        <v>3000</v>
      </c>
      <c r="C11" s="23">
        <f>C10*2</f>
        <v>6400000</v>
      </c>
      <c r="D11" s="38">
        <f t="shared" si="14"/>
        <v>19200000000</v>
      </c>
      <c r="E11" s="30">
        <f t="shared" si="15"/>
        <v>1920000000</v>
      </c>
      <c r="F11" s="31">
        <f>F10*1.1</f>
        <v>3993000.0000000014</v>
      </c>
      <c r="G11" s="44">
        <f t="shared" si="16"/>
        <v>371</v>
      </c>
      <c r="H11" s="30">
        <f t="shared" si="17"/>
        <v>222600000</v>
      </c>
      <c r="I11" s="30">
        <f t="shared" ref="I11:I21" si="37">55000*O11*12</f>
        <v>70620000</v>
      </c>
      <c r="J11" s="30">
        <f t="shared" si="19"/>
        <v>13200000</v>
      </c>
      <c r="K11" s="30">
        <f t="shared" si="25"/>
        <v>192000000</v>
      </c>
      <c r="L11" s="26">
        <f t="shared" si="30"/>
        <v>107</v>
      </c>
      <c r="M11" s="26">
        <f t="shared" si="20"/>
        <v>213</v>
      </c>
      <c r="N11" s="26">
        <f t="shared" si="1"/>
        <v>53</v>
      </c>
      <c r="O11" s="26">
        <f t="shared" si="26"/>
        <v>107</v>
      </c>
      <c r="P11" s="20">
        <f t="shared" ref="P11:P12" si="38">IF(O11 &lt; 10, 0, ROUNDDOWN(O11 / 10, 0))</f>
        <v>10</v>
      </c>
      <c r="Q11" s="37">
        <f t="shared" si="21"/>
        <v>192000000</v>
      </c>
      <c r="R11" s="38">
        <f>N11*900000</f>
        <v>47700000</v>
      </c>
      <c r="S11" s="31">
        <f t="shared" si="32"/>
        <v>23850000</v>
      </c>
      <c r="T11" s="29">
        <f t="shared" si="3"/>
        <v>2409213000</v>
      </c>
      <c r="U11" s="33">
        <f t="shared" si="4"/>
        <v>12000000000</v>
      </c>
      <c r="V11" s="30">
        <f t="shared" ref="V11:V20" si="39">S11+T11+U11+M11</f>
        <v>14433063213</v>
      </c>
      <c r="W11" s="30">
        <f t="shared" si="28"/>
        <v>960000000</v>
      </c>
      <c r="X11" s="40">
        <f t="shared" si="22"/>
        <v>5750787000</v>
      </c>
      <c r="Y11" s="27">
        <f t="shared" si="23"/>
        <v>715040518.04999995</v>
      </c>
      <c r="Z11" s="35">
        <f t="shared" si="5"/>
        <v>480000000</v>
      </c>
      <c r="AA11" s="29">
        <f t="shared" si="6"/>
        <v>3200000000</v>
      </c>
      <c r="AB11" s="49">
        <f t="shared" si="7"/>
        <v>66780000</v>
      </c>
      <c r="AC11" s="33">
        <f t="shared" si="8"/>
        <v>7200000000</v>
      </c>
      <c r="AD11" s="28">
        <f t="shared" si="9"/>
        <v>1288966481.9499998</v>
      </c>
      <c r="AE11" s="89">
        <v>6.92</v>
      </c>
      <c r="AF11" s="90">
        <v>37.5</v>
      </c>
      <c r="AG11" s="91">
        <v>39.97</v>
      </c>
      <c r="AH11" s="27">
        <f t="shared" si="10"/>
        <v>1875</v>
      </c>
      <c r="AI11" s="28">
        <f t="shared" si="11"/>
        <v>2433063213</v>
      </c>
      <c r="AJ11" s="104">
        <f t="shared" si="12"/>
        <v>6488168568</v>
      </c>
      <c r="AK11" s="112">
        <f t="shared" si="13"/>
        <v>2162722.8560000001</v>
      </c>
    </row>
    <row r="12" spans="1:37" s="25" customFormat="1" x14ac:dyDescent="0.2">
      <c r="A12" s="22">
        <v>11</v>
      </c>
      <c r="B12" s="18">
        <v>3000</v>
      </c>
      <c r="C12" s="23">
        <f>C11*2</f>
        <v>12800000</v>
      </c>
      <c r="D12" s="38">
        <f t="shared" si="14"/>
        <v>38400000000</v>
      </c>
      <c r="E12" s="30">
        <f t="shared" si="15"/>
        <v>3840000000</v>
      </c>
      <c r="F12" s="31">
        <f>F11*1.1</f>
        <v>4392300.0000000019</v>
      </c>
      <c r="G12" s="44">
        <f t="shared" si="16"/>
        <v>747</v>
      </c>
      <c r="H12" s="30">
        <f t="shared" si="17"/>
        <v>448200000</v>
      </c>
      <c r="I12" s="30">
        <f t="shared" ref="I12:I21" si="40">50000*O12*12</f>
        <v>128400000</v>
      </c>
      <c r="J12" s="30">
        <f t="shared" si="19"/>
        <v>27720000</v>
      </c>
      <c r="K12" s="30">
        <f t="shared" si="25"/>
        <v>384000000</v>
      </c>
      <c r="L12" s="26">
        <f t="shared" si="30"/>
        <v>214</v>
      </c>
      <c r="M12" s="26">
        <f t="shared" si="20"/>
        <v>426</v>
      </c>
      <c r="N12" s="26">
        <f t="shared" si="1"/>
        <v>107</v>
      </c>
      <c r="O12" s="26">
        <f t="shared" si="26"/>
        <v>214</v>
      </c>
      <c r="P12" s="24">
        <f t="shared" si="38"/>
        <v>21</v>
      </c>
      <c r="Q12" s="37">
        <f t="shared" si="21"/>
        <v>384000000</v>
      </c>
      <c r="R12" s="38">
        <f t="shared" si="36"/>
        <v>96300000</v>
      </c>
      <c r="S12" s="31">
        <f t="shared" si="32"/>
        <v>48150000</v>
      </c>
      <c r="T12" s="31">
        <f t="shared" si="3"/>
        <v>4804992300</v>
      </c>
      <c r="U12" s="34">
        <f t="shared" si="4"/>
        <v>24000000000</v>
      </c>
      <c r="V12" s="30">
        <f t="shared" si="39"/>
        <v>28853142726</v>
      </c>
      <c r="W12" s="30">
        <f t="shared" si="28"/>
        <v>1920000000</v>
      </c>
      <c r="X12" s="40">
        <f t="shared" si="22"/>
        <v>11515007700</v>
      </c>
      <c r="Y12" s="38">
        <f t="shared" si="23"/>
        <v>1432028591.0999999</v>
      </c>
      <c r="Z12" s="36">
        <f t="shared" si="5"/>
        <v>960000000</v>
      </c>
      <c r="AA12" s="31">
        <f t="shared" si="6"/>
        <v>6400000000</v>
      </c>
      <c r="AB12" s="50">
        <f t="shared" si="7"/>
        <v>134460000</v>
      </c>
      <c r="AC12" s="34">
        <f t="shared" si="8"/>
        <v>14400000000</v>
      </c>
      <c r="AD12" s="30">
        <f t="shared" si="9"/>
        <v>2588519108.8999996</v>
      </c>
      <c r="AE12" s="89">
        <v>16.68</v>
      </c>
      <c r="AF12" s="90">
        <v>37.5</v>
      </c>
      <c r="AG12" s="91">
        <v>29.99</v>
      </c>
      <c r="AH12" s="38">
        <f t="shared" si="10"/>
        <v>1875</v>
      </c>
      <c r="AI12" s="30">
        <f t="shared" si="11"/>
        <v>4853142726</v>
      </c>
      <c r="AJ12" s="105">
        <f t="shared" si="12"/>
        <v>12941713935.999998</v>
      </c>
      <c r="AK12" s="23">
        <f t="shared" si="13"/>
        <v>4313904.6453333329</v>
      </c>
    </row>
    <row r="13" spans="1:37" s="25" customFormat="1" x14ac:dyDescent="0.2">
      <c r="A13" s="22">
        <v>12</v>
      </c>
      <c r="B13" s="18">
        <v>3000</v>
      </c>
      <c r="C13" s="23">
        <f>C12*1.5</f>
        <v>19200000</v>
      </c>
      <c r="D13" s="38">
        <f t="shared" si="14"/>
        <v>57600000000</v>
      </c>
      <c r="E13" s="30">
        <f t="shared" si="15"/>
        <v>5760000000</v>
      </c>
      <c r="F13" s="31">
        <f>F12*1.1</f>
        <v>4831530.0000000028</v>
      </c>
      <c r="G13" s="44">
        <f t="shared" si="16"/>
        <v>1065</v>
      </c>
      <c r="H13" s="30">
        <f t="shared" si="17"/>
        <v>639000000</v>
      </c>
      <c r="I13" s="30">
        <f t="shared" si="40"/>
        <v>192000000</v>
      </c>
      <c r="J13" s="30">
        <f t="shared" si="19"/>
        <v>27720000</v>
      </c>
      <c r="K13" s="30">
        <f t="shared" si="25"/>
        <v>576000000</v>
      </c>
      <c r="L13" s="26">
        <f t="shared" si="30"/>
        <v>320</v>
      </c>
      <c r="M13" s="26">
        <f t="shared" si="20"/>
        <v>640</v>
      </c>
      <c r="N13" s="26">
        <f t="shared" si="1"/>
        <v>106</v>
      </c>
      <c r="O13" s="26">
        <f t="shared" si="26"/>
        <v>320</v>
      </c>
      <c r="P13" s="24">
        <f t="shared" ref="P13:P21" si="41">IF(O12 &lt; 10, 0, ROUNDDOWN(O12 / 10, 0))</f>
        <v>21</v>
      </c>
      <c r="Q13" s="37">
        <f t="shared" si="21"/>
        <v>576000000</v>
      </c>
      <c r="R13" s="38">
        <f t="shared" si="36"/>
        <v>95400000</v>
      </c>
      <c r="S13" s="31">
        <f t="shared" si="32"/>
        <v>47700000</v>
      </c>
      <c r="T13" s="31">
        <f t="shared" si="3"/>
        <v>7171831530</v>
      </c>
      <c r="U13" s="33">
        <f t="shared" si="4"/>
        <v>36000000000</v>
      </c>
      <c r="V13" s="30">
        <f t="shared" si="39"/>
        <v>43219532170</v>
      </c>
      <c r="W13" s="30">
        <f t="shared" si="28"/>
        <v>2880000000</v>
      </c>
      <c r="X13" s="40">
        <f t="shared" si="22"/>
        <v>17308168470</v>
      </c>
      <c r="Y13" s="38">
        <f t="shared" si="23"/>
        <v>2157070174.5</v>
      </c>
      <c r="Z13" s="36">
        <f t="shared" si="5"/>
        <v>1440000000</v>
      </c>
      <c r="AA13" s="31">
        <f t="shared" si="6"/>
        <v>9600000000</v>
      </c>
      <c r="AB13" s="50">
        <f t="shared" si="7"/>
        <v>191700000</v>
      </c>
      <c r="AC13" s="34">
        <f t="shared" si="8"/>
        <v>21600000000</v>
      </c>
      <c r="AD13" s="30">
        <f t="shared" si="9"/>
        <v>3919398295.5</v>
      </c>
      <c r="AE13" s="89">
        <v>9.0500000000000007</v>
      </c>
      <c r="AF13" s="90">
        <v>37.5</v>
      </c>
      <c r="AG13" s="91">
        <v>35.049999999999997</v>
      </c>
      <c r="AH13" s="38">
        <f t="shared" si="10"/>
        <v>1875</v>
      </c>
      <c r="AI13" s="30">
        <f t="shared" si="11"/>
        <v>7219532170</v>
      </c>
      <c r="AJ13" s="105">
        <f t="shared" si="12"/>
        <v>19252085786.666668</v>
      </c>
      <c r="AK13" s="23">
        <f t="shared" si="13"/>
        <v>6417361.928888889</v>
      </c>
    </row>
    <row r="14" spans="1:37" s="25" customFormat="1" x14ac:dyDescent="0.2">
      <c r="A14" s="22">
        <v>13</v>
      </c>
      <c r="B14" s="18">
        <v>3000</v>
      </c>
      <c r="C14" s="23">
        <f>C13*1.5</f>
        <v>28800000</v>
      </c>
      <c r="D14" s="38">
        <f t="shared" si="14"/>
        <v>86400000000</v>
      </c>
      <c r="E14" s="30">
        <f t="shared" si="15"/>
        <v>8640000000</v>
      </c>
      <c r="F14" s="31">
        <f>F13*1.1</f>
        <v>5314683.0000000037</v>
      </c>
      <c r="G14" s="44">
        <f t="shared" si="16"/>
        <v>1680</v>
      </c>
      <c r="H14" s="30">
        <f t="shared" si="17"/>
        <v>1008000000</v>
      </c>
      <c r="I14" s="28">
        <f t="shared" ref="I14:I21" si="42">O14*55000*12</f>
        <v>316800000</v>
      </c>
      <c r="J14" s="28">
        <f t="shared" si="19"/>
        <v>63360000</v>
      </c>
      <c r="K14" s="30">
        <f t="shared" si="25"/>
        <v>864000000</v>
      </c>
      <c r="L14" s="26">
        <f t="shared" si="30"/>
        <v>480</v>
      </c>
      <c r="M14" s="26">
        <f t="shared" si="20"/>
        <v>960</v>
      </c>
      <c r="N14" s="26">
        <f t="shared" si="1"/>
        <v>160</v>
      </c>
      <c r="O14" s="26">
        <f t="shared" si="26"/>
        <v>480</v>
      </c>
      <c r="P14" s="20">
        <f t="shared" ref="P14:P15" si="43">IF(O14 &lt; 10, 0, ROUNDDOWN(O14 / 10, 0))</f>
        <v>48</v>
      </c>
      <c r="Q14" s="45">
        <f t="shared" si="21"/>
        <v>864000000</v>
      </c>
      <c r="R14" s="38">
        <f t="shared" si="36"/>
        <v>144000000</v>
      </c>
      <c r="S14" s="31">
        <f t="shared" si="32"/>
        <v>72000000</v>
      </c>
      <c r="T14" s="29">
        <f t="shared" si="3"/>
        <v>10834114683</v>
      </c>
      <c r="U14" s="33">
        <f t="shared" si="4"/>
        <v>54000000000</v>
      </c>
      <c r="V14" s="30">
        <f t="shared" si="39"/>
        <v>64906115643</v>
      </c>
      <c r="W14" s="30">
        <f t="shared" si="28"/>
        <v>4320000000</v>
      </c>
      <c r="X14" s="40">
        <f t="shared" si="22"/>
        <v>25885885317</v>
      </c>
      <c r="Y14" s="27">
        <f xml:space="preserve"> (D14- V14) * 0.15</f>
        <v>3224082653.5499997</v>
      </c>
      <c r="Z14" s="35">
        <f t="shared" si="5"/>
        <v>2160000000</v>
      </c>
      <c r="AA14" s="29">
        <f t="shared" si="6"/>
        <v>14400000000</v>
      </c>
      <c r="AB14" s="49">
        <f t="shared" si="7"/>
        <v>302400000</v>
      </c>
      <c r="AC14" s="33">
        <f t="shared" si="8"/>
        <v>32400000000</v>
      </c>
      <c r="AD14" s="28">
        <f t="shared" si="9"/>
        <v>5799402663.4500008</v>
      </c>
      <c r="AE14" s="89">
        <v>6.92</v>
      </c>
      <c r="AF14" s="90">
        <v>37.5</v>
      </c>
      <c r="AG14" s="91">
        <v>39.97</v>
      </c>
      <c r="AH14" s="27">
        <f t="shared" si="10"/>
        <v>1875</v>
      </c>
      <c r="AI14" s="28">
        <f t="shared" si="11"/>
        <v>10906115643</v>
      </c>
      <c r="AJ14" s="104">
        <f t="shared" si="12"/>
        <v>29082975048.000004</v>
      </c>
      <c r="AK14" s="112">
        <f t="shared" si="13"/>
        <v>9694325.0160000008</v>
      </c>
    </row>
    <row r="15" spans="1:37" s="25" customFormat="1" x14ac:dyDescent="0.2">
      <c r="A15" s="22">
        <v>14</v>
      </c>
      <c r="B15" s="18">
        <v>3000</v>
      </c>
      <c r="C15" s="23">
        <f>C14*1.5</f>
        <v>43200000</v>
      </c>
      <c r="D15" s="38">
        <f t="shared" si="14"/>
        <v>129600000000</v>
      </c>
      <c r="E15" s="30">
        <f t="shared" si="15"/>
        <v>12960000000</v>
      </c>
      <c r="F15" s="31">
        <f>F14*1.1</f>
        <v>5846151.3000000045</v>
      </c>
      <c r="G15" s="44">
        <f t="shared" si="16"/>
        <v>2520</v>
      </c>
      <c r="H15" s="30">
        <f t="shared" si="17"/>
        <v>1512000000</v>
      </c>
      <c r="I15" s="30">
        <f t="shared" ref="I15:I21" si="44">55000*O15*12</f>
        <v>475200000</v>
      </c>
      <c r="J15" s="30">
        <f t="shared" si="19"/>
        <v>95040000</v>
      </c>
      <c r="K15" s="30">
        <f t="shared" si="25"/>
        <v>1296000000</v>
      </c>
      <c r="L15" s="26">
        <f t="shared" si="30"/>
        <v>720</v>
      </c>
      <c r="M15" s="26">
        <f t="shared" si="20"/>
        <v>1440</v>
      </c>
      <c r="N15" s="26">
        <f t="shared" si="1"/>
        <v>240</v>
      </c>
      <c r="O15" s="26">
        <f t="shared" si="26"/>
        <v>720</v>
      </c>
      <c r="P15" s="24">
        <f t="shared" si="43"/>
        <v>72</v>
      </c>
      <c r="Q15" s="37">
        <f t="shared" si="21"/>
        <v>1296000000</v>
      </c>
      <c r="R15" s="38">
        <f t="shared" si="36"/>
        <v>216000000</v>
      </c>
      <c r="S15" s="31">
        <f t="shared" si="32"/>
        <v>108000000</v>
      </c>
      <c r="T15" s="31">
        <f t="shared" si="3"/>
        <v>16249046151.299999</v>
      </c>
      <c r="U15" s="34">
        <f t="shared" si="4"/>
        <v>81000000000</v>
      </c>
      <c r="V15" s="30">
        <f t="shared" si="39"/>
        <v>97357047591.300003</v>
      </c>
      <c r="W15" s="30">
        <f t="shared" si="28"/>
        <v>6480000000</v>
      </c>
      <c r="X15" s="40">
        <f t="shared" si="22"/>
        <v>38830953848.699997</v>
      </c>
      <c r="Y15" s="38">
        <f t="shared" si="23"/>
        <v>4836442861.3049994</v>
      </c>
      <c r="Z15" s="36">
        <f t="shared" si="5"/>
        <v>3240000000</v>
      </c>
      <c r="AA15" s="31">
        <f t="shared" si="6"/>
        <v>21600000000</v>
      </c>
      <c r="AB15" s="50">
        <f t="shared" si="7"/>
        <v>453600000</v>
      </c>
      <c r="AC15" s="34">
        <f t="shared" si="8"/>
        <v>48600000000</v>
      </c>
      <c r="AD15" s="30">
        <f t="shared" si="9"/>
        <v>8700910987.3949966</v>
      </c>
      <c r="AE15" s="89">
        <v>9.1199999999999992</v>
      </c>
      <c r="AF15" s="90">
        <v>37.5</v>
      </c>
      <c r="AG15" s="91">
        <v>34.96</v>
      </c>
      <c r="AH15" s="38">
        <f t="shared" si="10"/>
        <v>1875</v>
      </c>
      <c r="AI15" s="30">
        <f t="shared" si="11"/>
        <v>16357047591.300003</v>
      </c>
      <c r="AJ15" s="105">
        <f t="shared" si="12"/>
        <v>43618793576.800003</v>
      </c>
      <c r="AK15" s="23">
        <f t="shared" si="13"/>
        <v>14539597.858933335</v>
      </c>
    </row>
    <row r="16" spans="1:37" s="25" customFormat="1" x14ac:dyDescent="0.2">
      <c r="A16" s="22">
        <v>15</v>
      </c>
      <c r="B16" s="18">
        <v>3000</v>
      </c>
      <c r="C16" s="23">
        <f>C15*1.5</f>
        <v>64800000</v>
      </c>
      <c r="D16" s="38">
        <f t="shared" si="14"/>
        <v>194400000000</v>
      </c>
      <c r="E16" s="30">
        <f t="shared" si="15"/>
        <v>19440000000</v>
      </c>
      <c r="F16" s="31">
        <f>F15*1.1</f>
        <v>6430766.4300000053</v>
      </c>
      <c r="G16" s="44">
        <f t="shared" si="16"/>
        <v>3600</v>
      </c>
      <c r="H16" s="30">
        <f t="shared" si="17"/>
        <v>2160000000</v>
      </c>
      <c r="I16" s="30">
        <f t="shared" ref="I16:I21" si="45">50000*O16*12</f>
        <v>648000000</v>
      </c>
      <c r="J16" s="30">
        <f t="shared" si="19"/>
        <v>95040000</v>
      </c>
      <c r="K16" s="30">
        <f t="shared" si="25"/>
        <v>1944000000</v>
      </c>
      <c r="L16" s="26">
        <f t="shared" si="30"/>
        <v>1080</v>
      </c>
      <c r="M16" s="26">
        <f t="shared" si="20"/>
        <v>2160</v>
      </c>
      <c r="N16" s="26">
        <f t="shared" si="1"/>
        <v>360</v>
      </c>
      <c r="O16" s="26">
        <f t="shared" si="26"/>
        <v>1080</v>
      </c>
      <c r="P16" s="24">
        <f t="shared" ref="P16:P21" si="46">IF(O15 &lt; 10, 0, ROUNDDOWN(O15 / 10, 0))</f>
        <v>72</v>
      </c>
      <c r="Q16" s="37">
        <f t="shared" si="21"/>
        <v>1944000000</v>
      </c>
      <c r="R16" s="38">
        <f t="shared" si="36"/>
        <v>324000000</v>
      </c>
      <c r="S16" s="31">
        <f t="shared" si="32"/>
        <v>162000000</v>
      </c>
      <c r="T16" s="31">
        <f t="shared" si="3"/>
        <v>24198430766.43</v>
      </c>
      <c r="U16" s="33">
        <f t="shared" si="4"/>
        <v>121500000000</v>
      </c>
      <c r="V16" s="30">
        <f t="shared" si="39"/>
        <v>145860432926.42999</v>
      </c>
      <c r="W16" s="30">
        <f t="shared" si="28"/>
        <v>9720000000</v>
      </c>
      <c r="X16" s="40">
        <f t="shared" si="22"/>
        <v>58421569233.570007</v>
      </c>
      <c r="Y16" s="38">
        <f t="shared" si="23"/>
        <v>7280935061.0355005</v>
      </c>
      <c r="Z16" s="36">
        <f t="shared" si="5"/>
        <v>4860000000</v>
      </c>
      <c r="AA16" s="31">
        <f t="shared" si="6"/>
        <v>32400000000</v>
      </c>
      <c r="AB16" s="50">
        <f t="shared" si="7"/>
        <v>648000000</v>
      </c>
      <c r="AC16" s="34">
        <f t="shared" si="8"/>
        <v>72900000000</v>
      </c>
      <c r="AD16" s="30">
        <f t="shared" si="9"/>
        <v>13232634172.534508</v>
      </c>
      <c r="AE16" s="89">
        <v>9.0399999999999991</v>
      </c>
      <c r="AF16" s="90">
        <v>37.5</v>
      </c>
      <c r="AG16" s="91">
        <v>35.049999999999997</v>
      </c>
      <c r="AH16" s="38">
        <f t="shared" si="10"/>
        <v>1875</v>
      </c>
      <c r="AI16" s="30">
        <f t="shared" si="11"/>
        <v>24360432926.429993</v>
      </c>
      <c r="AJ16" s="105">
        <f t="shared" si="12"/>
        <v>64961154470.47998</v>
      </c>
      <c r="AK16" s="23">
        <f t="shared" si="13"/>
        <v>21653718.15682666</v>
      </c>
    </row>
    <row r="17" spans="1:37" s="25" customFormat="1" x14ac:dyDescent="0.2">
      <c r="A17" s="22">
        <v>16</v>
      </c>
      <c r="B17" s="18">
        <v>3000</v>
      </c>
      <c r="C17" s="23">
        <f>C16*1.5</f>
        <v>97200000</v>
      </c>
      <c r="D17" s="38">
        <f t="shared" si="14"/>
        <v>291600000000</v>
      </c>
      <c r="E17" s="30">
        <f t="shared" si="15"/>
        <v>29160000000</v>
      </c>
      <c r="F17" s="31">
        <f>F16*1.1</f>
        <v>7073843.0730000064</v>
      </c>
      <c r="G17" s="44">
        <f t="shared" si="16"/>
        <v>5670</v>
      </c>
      <c r="H17" s="30">
        <f t="shared" si="17"/>
        <v>3402000000</v>
      </c>
      <c r="I17" s="30">
        <f t="shared" si="45"/>
        <v>972000000</v>
      </c>
      <c r="J17" s="30">
        <f t="shared" si="19"/>
        <v>213840000</v>
      </c>
      <c r="K17" s="30">
        <f t="shared" si="25"/>
        <v>2916000000</v>
      </c>
      <c r="L17" s="26">
        <f t="shared" si="30"/>
        <v>1620</v>
      </c>
      <c r="M17" s="26">
        <f t="shared" si="20"/>
        <v>3240</v>
      </c>
      <c r="N17" s="26">
        <f t="shared" si="1"/>
        <v>540</v>
      </c>
      <c r="O17" s="26">
        <f t="shared" si="26"/>
        <v>1620</v>
      </c>
      <c r="P17" s="20">
        <f t="shared" ref="P17:P18" si="47">IF(O17 &lt; 10, 0, ROUNDDOWN(O17 / 10, 0))</f>
        <v>162</v>
      </c>
      <c r="Q17" s="37">
        <f t="shared" si="21"/>
        <v>2916000000</v>
      </c>
      <c r="R17" s="38">
        <f>N17*900000</f>
        <v>486000000</v>
      </c>
      <c r="S17" s="31">
        <f t="shared" si="32"/>
        <v>243000000</v>
      </c>
      <c r="T17" s="29">
        <f t="shared" si="3"/>
        <v>36457073843.072998</v>
      </c>
      <c r="U17" s="33">
        <f t="shared" si="4"/>
        <v>182250000000</v>
      </c>
      <c r="V17" s="30">
        <f t="shared" si="39"/>
        <v>218950077083.073</v>
      </c>
      <c r="W17" s="30">
        <f t="shared" si="28"/>
        <v>14580000000</v>
      </c>
      <c r="X17" s="40">
        <f t="shared" si="22"/>
        <v>87472926156.927002</v>
      </c>
      <c r="Y17" s="27">
        <f t="shared" si="23"/>
        <v>10897488437.539049</v>
      </c>
      <c r="Z17" s="35">
        <f t="shared" si="5"/>
        <v>7290000000</v>
      </c>
      <c r="AA17" s="29">
        <f t="shared" si="6"/>
        <v>48600000000</v>
      </c>
      <c r="AB17" s="49">
        <f t="shared" si="7"/>
        <v>1020600000</v>
      </c>
      <c r="AC17" s="33">
        <f t="shared" si="8"/>
        <v>109350000000</v>
      </c>
      <c r="AD17" s="28">
        <f t="shared" si="9"/>
        <v>19664837719.387955</v>
      </c>
      <c r="AE17" s="89">
        <v>10.54</v>
      </c>
      <c r="AF17" s="90">
        <v>37.5</v>
      </c>
      <c r="AG17" s="91">
        <v>35</v>
      </c>
      <c r="AH17" s="27">
        <f t="shared" si="10"/>
        <v>1875</v>
      </c>
      <c r="AI17" s="28">
        <f t="shared" si="11"/>
        <v>36700077083.072998</v>
      </c>
      <c r="AJ17" s="104">
        <f t="shared" si="12"/>
        <v>97866872221.528</v>
      </c>
      <c r="AK17" s="112">
        <f t="shared" si="13"/>
        <v>32622290.740509331</v>
      </c>
    </row>
    <row r="18" spans="1:37" s="25" customFormat="1" x14ac:dyDescent="0.2">
      <c r="A18" s="22">
        <v>17</v>
      </c>
      <c r="B18" s="18">
        <v>3000</v>
      </c>
      <c r="C18" s="23">
        <f>C17*1.5</f>
        <v>145800000</v>
      </c>
      <c r="D18" s="38">
        <f t="shared" si="14"/>
        <v>437400000000</v>
      </c>
      <c r="E18" s="30">
        <f t="shared" si="15"/>
        <v>43740000000</v>
      </c>
      <c r="F18" s="31">
        <f>F17*1.1</f>
        <v>7781227.3803000078</v>
      </c>
      <c r="G18" s="44">
        <f t="shared" si="16"/>
        <v>8505</v>
      </c>
      <c r="H18" s="30">
        <f t="shared" si="17"/>
        <v>5103000000</v>
      </c>
      <c r="I18" s="28">
        <f t="shared" ref="I18:I21" si="48">O18*55000*12</f>
        <v>1603800000</v>
      </c>
      <c r="J18" s="28">
        <f t="shared" si="19"/>
        <v>320760000</v>
      </c>
      <c r="K18" s="30">
        <f t="shared" si="25"/>
        <v>4374000000</v>
      </c>
      <c r="L18" s="26">
        <f t="shared" si="30"/>
        <v>2430</v>
      </c>
      <c r="M18" s="26">
        <f t="shared" si="20"/>
        <v>4860</v>
      </c>
      <c r="N18" s="26">
        <f t="shared" si="1"/>
        <v>810</v>
      </c>
      <c r="O18" s="26">
        <f t="shared" si="26"/>
        <v>2430</v>
      </c>
      <c r="P18" s="24">
        <f t="shared" si="47"/>
        <v>243</v>
      </c>
      <c r="Q18" s="45">
        <f t="shared" si="21"/>
        <v>4374000000</v>
      </c>
      <c r="R18" s="38">
        <f t="shared" si="36"/>
        <v>729000000</v>
      </c>
      <c r="S18" s="31">
        <f>R18 * 0.5</f>
        <v>364500000</v>
      </c>
      <c r="T18" s="31">
        <f t="shared" si="3"/>
        <v>54828581227.380302</v>
      </c>
      <c r="U18" s="34">
        <f t="shared" si="4"/>
        <v>273375000000</v>
      </c>
      <c r="V18" s="30">
        <f t="shared" si="39"/>
        <v>328568086087.38031</v>
      </c>
      <c r="W18" s="30">
        <f t="shared" si="28"/>
        <v>21870000000</v>
      </c>
      <c r="X18" s="40">
        <f t="shared" si="22"/>
        <v>131066418772.61969</v>
      </c>
      <c r="Y18" s="38">
        <f t="shared" si="23"/>
        <v>16324787086.892952</v>
      </c>
      <c r="Z18" s="36">
        <f t="shared" si="5"/>
        <v>10935000000</v>
      </c>
      <c r="AA18" s="31">
        <f t="shared" si="6"/>
        <v>72900000000</v>
      </c>
      <c r="AB18" s="50">
        <f t="shared" si="7"/>
        <v>1530900000</v>
      </c>
      <c r="AC18" s="34">
        <f t="shared" si="8"/>
        <v>164025000000</v>
      </c>
      <c r="AD18" s="30">
        <f t="shared" si="9"/>
        <v>29375731685.726746</v>
      </c>
      <c r="AE18" s="89">
        <v>9.1199999999999992</v>
      </c>
      <c r="AF18" s="90">
        <v>37.5</v>
      </c>
      <c r="AG18" s="91">
        <v>34.97</v>
      </c>
      <c r="AH18" s="38">
        <f t="shared" si="10"/>
        <v>1875</v>
      </c>
      <c r="AI18" s="30">
        <f t="shared" si="11"/>
        <v>55193086087.38031</v>
      </c>
      <c r="AJ18" s="105">
        <f t="shared" si="12"/>
        <v>147181562899.68082</v>
      </c>
      <c r="AK18" s="23">
        <f t="shared" si="13"/>
        <v>49060520.966560274</v>
      </c>
    </row>
    <row r="19" spans="1:37" s="25" customFormat="1" x14ac:dyDescent="0.2">
      <c r="A19" s="22">
        <v>18</v>
      </c>
      <c r="B19" s="18">
        <v>3000</v>
      </c>
      <c r="C19" s="23">
        <f>C18*1.5</f>
        <v>218700000</v>
      </c>
      <c r="D19" s="38">
        <f t="shared" si="14"/>
        <v>656100000000</v>
      </c>
      <c r="E19" s="30">
        <f t="shared" si="15"/>
        <v>65610000000</v>
      </c>
      <c r="F19" s="31">
        <f>F18*1.1</f>
        <v>8559350.1183300093</v>
      </c>
      <c r="G19" s="44">
        <f t="shared" si="16"/>
        <v>12150</v>
      </c>
      <c r="H19" s="30">
        <f t="shared" si="17"/>
        <v>7290000000</v>
      </c>
      <c r="I19" s="30">
        <f t="shared" ref="I19:I21" si="49">55000*O19*12</f>
        <v>2405700000</v>
      </c>
      <c r="J19" s="30">
        <f t="shared" si="19"/>
        <v>320760000</v>
      </c>
      <c r="K19" s="30">
        <f t="shared" si="25"/>
        <v>6561000000</v>
      </c>
      <c r="L19" s="26">
        <f t="shared" si="30"/>
        <v>3645</v>
      </c>
      <c r="M19" s="26">
        <f t="shared" si="20"/>
        <v>7290</v>
      </c>
      <c r="N19" s="26">
        <f t="shared" si="1"/>
        <v>1215</v>
      </c>
      <c r="O19" s="26">
        <f t="shared" si="26"/>
        <v>3645</v>
      </c>
      <c r="P19" s="24">
        <f t="shared" ref="P19:P21" si="50">IF(O18 &lt; 10, 0, ROUNDDOWN(O18 / 10, 0))</f>
        <v>243</v>
      </c>
      <c r="Q19" s="37">
        <f t="shared" si="21"/>
        <v>6561000000</v>
      </c>
      <c r="R19" s="38">
        <f>N19*900000</f>
        <v>1093500000</v>
      </c>
      <c r="S19" s="31">
        <f t="shared" si="32"/>
        <v>546750000</v>
      </c>
      <c r="T19" s="31">
        <f t="shared" si="3"/>
        <v>81875259350.118332</v>
      </c>
      <c r="U19" s="33">
        <f t="shared" si="4"/>
        <v>410062500000</v>
      </c>
      <c r="V19" s="30">
        <f t="shared" si="39"/>
        <v>492484516640.11835</v>
      </c>
      <c r="W19" s="30">
        <f t="shared" si="28"/>
        <v>32805000000</v>
      </c>
      <c r="X19" s="40">
        <f t="shared" si="22"/>
        <v>196967240649.88171</v>
      </c>
      <c r="Y19" s="38">
        <f t="shared" si="23"/>
        <v>24542322503.982246</v>
      </c>
      <c r="Z19" s="36">
        <f t="shared" si="5"/>
        <v>16402500000</v>
      </c>
      <c r="AA19" s="31">
        <f t="shared" si="6"/>
        <v>109350000000</v>
      </c>
      <c r="AB19" s="50">
        <f t="shared" si="7"/>
        <v>2187000000</v>
      </c>
      <c r="AC19" s="34">
        <f t="shared" si="8"/>
        <v>246037500000</v>
      </c>
      <c r="AD19" s="30">
        <f t="shared" si="9"/>
        <v>44485418145.899475</v>
      </c>
      <c r="AE19" s="89">
        <v>9.07</v>
      </c>
      <c r="AF19" s="90">
        <v>37.5</v>
      </c>
      <c r="AG19" s="91">
        <v>35.020000000000003</v>
      </c>
      <c r="AH19" s="38">
        <f t="shared" si="10"/>
        <v>1875</v>
      </c>
      <c r="AI19" s="30">
        <f t="shared" si="11"/>
        <v>82422016640.118347</v>
      </c>
      <c r="AJ19" s="105">
        <f t="shared" si="12"/>
        <v>219792044373.64896</v>
      </c>
      <c r="AK19" s="23">
        <f t="shared" si="13"/>
        <v>73264014.791216314</v>
      </c>
    </row>
    <row r="20" spans="1:37" s="25" customFormat="1" x14ac:dyDescent="0.2">
      <c r="A20" s="22">
        <v>19</v>
      </c>
      <c r="B20" s="18">
        <v>3000</v>
      </c>
      <c r="C20" s="23">
        <f>C19*1.5</f>
        <v>328050000</v>
      </c>
      <c r="D20" s="38">
        <f t="shared" si="14"/>
        <v>984150000000</v>
      </c>
      <c r="E20" s="30">
        <f t="shared" si="15"/>
        <v>98415000000</v>
      </c>
      <c r="F20" s="31">
        <f>F19*1.1</f>
        <v>9415285.1301630102</v>
      </c>
      <c r="G20" s="44">
        <f t="shared" si="16"/>
        <v>19134</v>
      </c>
      <c r="H20" s="30">
        <f t="shared" si="17"/>
        <v>11480400000</v>
      </c>
      <c r="I20" s="30">
        <f t="shared" ref="I20:I21" si="51">50000*O20*12</f>
        <v>3280800000</v>
      </c>
      <c r="J20" s="30">
        <f t="shared" si="19"/>
        <v>720720000</v>
      </c>
      <c r="K20" s="30">
        <f t="shared" si="25"/>
        <v>9841500000</v>
      </c>
      <c r="L20" s="26">
        <f t="shared" si="30"/>
        <v>5468</v>
      </c>
      <c r="M20" s="26">
        <f t="shared" si="20"/>
        <v>10935</v>
      </c>
      <c r="N20" s="26">
        <f t="shared" si="1"/>
        <v>1823</v>
      </c>
      <c r="O20" s="26">
        <f t="shared" si="26"/>
        <v>5468</v>
      </c>
      <c r="P20" s="20">
        <f t="shared" ref="P20:P21" si="52">IF(O20 &lt; 10, 0, ROUNDDOWN(O20 / 10, 0))</f>
        <v>546</v>
      </c>
      <c r="Q20" s="37">
        <f t="shared" si="21"/>
        <v>9841500000</v>
      </c>
      <c r="R20" s="38">
        <f t="shared" si="36"/>
        <v>1640700000</v>
      </c>
      <c r="S20" s="31">
        <f t="shared" si="32"/>
        <v>820350000</v>
      </c>
      <c r="T20" s="29">
        <f t="shared" si="3"/>
        <v>123027115285.13016</v>
      </c>
      <c r="U20" s="33">
        <f>D20/1.6</f>
        <v>615093750000</v>
      </c>
      <c r="V20" s="30">
        <f t="shared" si="39"/>
        <v>738941226220.13013</v>
      </c>
      <c r="W20" s="30">
        <f t="shared" si="28"/>
        <v>49207500000</v>
      </c>
      <c r="X20" s="40">
        <f t="shared" si="22"/>
        <v>295236634714.86987</v>
      </c>
      <c r="Y20" s="27">
        <f t="shared" si="23"/>
        <v>36781316066.980476</v>
      </c>
      <c r="Z20" s="35">
        <f t="shared" si="5"/>
        <v>24603750000</v>
      </c>
      <c r="AA20" s="29">
        <f t="shared" si="6"/>
        <v>164025000000</v>
      </c>
      <c r="AB20" s="49">
        <f t="shared" si="7"/>
        <v>3444120000</v>
      </c>
      <c r="AC20" s="33">
        <f t="shared" si="8"/>
        <v>369056250000</v>
      </c>
      <c r="AD20" s="28">
        <f t="shared" si="9"/>
        <v>66382448647.889404</v>
      </c>
      <c r="AE20" s="89">
        <v>6.9</v>
      </c>
      <c r="AF20" s="90">
        <v>37.5</v>
      </c>
      <c r="AG20" s="91">
        <v>40</v>
      </c>
      <c r="AH20" s="27">
        <f t="shared" si="10"/>
        <v>1875</v>
      </c>
      <c r="AI20" s="28">
        <f t="shared" si="11"/>
        <v>123847476220.13013</v>
      </c>
      <c r="AJ20" s="104">
        <f t="shared" si="12"/>
        <v>330259936587.01367</v>
      </c>
      <c r="AK20" s="112">
        <f t="shared" si="13"/>
        <v>110086645.52900456</v>
      </c>
    </row>
    <row r="21" spans="1:37" s="25" customFormat="1" ht="16" thickBot="1" x14ac:dyDescent="0.25">
      <c r="A21" s="22">
        <v>20</v>
      </c>
      <c r="B21" s="18">
        <v>3000</v>
      </c>
      <c r="C21" s="65">
        <f>C20*1.5</f>
        <v>492075000</v>
      </c>
      <c r="D21" s="39">
        <f>B21*C21</f>
        <v>1476225000000</v>
      </c>
      <c r="E21" s="30">
        <f t="shared" si="15"/>
        <v>147622500000</v>
      </c>
      <c r="F21" s="32">
        <f>F20*1.1</f>
        <v>10356813.643179312</v>
      </c>
      <c r="G21" s="44">
        <f t="shared" si="16"/>
        <v>28706</v>
      </c>
      <c r="H21" s="30">
        <f>50000*G21*12</f>
        <v>17223600000</v>
      </c>
      <c r="I21" s="30">
        <f t="shared" si="51"/>
        <v>4921200000</v>
      </c>
      <c r="J21" s="30">
        <f>110000*P21*12</f>
        <v>1082400000</v>
      </c>
      <c r="K21" s="30">
        <f t="shared" si="25"/>
        <v>14762250000</v>
      </c>
      <c r="L21" s="26">
        <f t="shared" si="30"/>
        <v>8202</v>
      </c>
      <c r="M21" s="26">
        <f>ROUNDDOWN(K21/ 900000, 0)</f>
        <v>16402</v>
      </c>
      <c r="N21" s="26">
        <f t="shared" si="1"/>
        <v>2734</v>
      </c>
      <c r="O21" s="26">
        <f t="shared" si="26"/>
        <v>8202</v>
      </c>
      <c r="P21" s="24">
        <f t="shared" si="52"/>
        <v>820</v>
      </c>
      <c r="Q21" s="37">
        <f t="shared" si="21"/>
        <v>14762250000</v>
      </c>
      <c r="R21" s="38">
        <f>N21*900000</f>
        <v>2460600000</v>
      </c>
      <c r="S21" s="31">
        <f t="shared" si="32"/>
        <v>1230300000</v>
      </c>
      <c r="T21" s="29">
        <f>E21+F21+H21+I21+K21</f>
        <v>184539906813.64319</v>
      </c>
      <c r="U21" s="34">
        <f t="shared" si="4"/>
        <v>922640625000</v>
      </c>
      <c r="V21" s="30">
        <f>S21+T21+U21+M21</f>
        <v>1108410848215.6431</v>
      </c>
      <c r="W21" s="30">
        <f t="shared" si="28"/>
        <v>73811250000</v>
      </c>
      <c r="X21" s="40">
        <f t="shared" si="22"/>
        <v>442855718186.35693</v>
      </c>
      <c r="Y21" s="38">
        <f t="shared" si="23"/>
        <v>55172122767.653542</v>
      </c>
      <c r="Z21" s="36">
        <f t="shared" si="5"/>
        <v>36905625000</v>
      </c>
      <c r="AA21" s="31">
        <f t="shared" si="6"/>
        <v>246037500000</v>
      </c>
      <c r="AB21" s="53">
        <f t="shared" si="7"/>
        <v>5167080000</v>
      </c>
      <c r="AC21" s="34">
        <f t="shared" si="8"/>
        <v>553584375000</v>
      </c>
      <c r="AD21" s="30">
        <f t="shared" si="9"/>
        <v>99573390418.703369</v>
      </c>
      <c r="AE21" s="92">
        <v>9.09</v>
      </c>
      <c r="AF21" s="93">
        <v>37.5</v>
      </c>
      <c r="AG21" s="94">
        <v>35</v>
      </c>
      <c r="AH21" s="39">
        <f t="shared" si="10"/>
        <v>1875</v>
      </c>
      <c r="AI21" s="52">
        <f t="shared" si="11"/>
        <v>185770223215.64307</v>
      </c>
      <c r="AJ21" s="113">
        <f t="shared" si="12"/>
        <v>495387261908.38147</v>
      </c>
      <c r="AK21" s="65">
        <f t="shared" si="13"/>
        <v>165129087.30279383</v>
      </c>
    </row>
  </sheetData>
  <pageMargins left="0.75" right="0.75" top="1" bottom="1" header="0.5" footer="0.5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1"/>
  <sheetViews>
    <sheetView zoomScale="135" workbookViewId="0">
      <selection activeCell="C21" sqref="C21"/>
    </sheetView>
  </sheetViews>
  <sheetFormatPr baseColWidth="10" defaultColWidth="8.83203125" defaultRowHeight="15" x14ac:dyDescent="0.2"/>
  <cols>
    <col min="1" max="1" width="55.6640625" customWidth="1"/>
    <col min="2" max="2" width="24.1640625" customWidth="1"/>
  </cols>
  <sheetData>
    <row r="1" spans="1:4" x14ac:dyDescent="0.2">
      <c r="A1" s="10" t="s">
        <v>6</v>
      </c>
      <c r="B1" s="12" t="s">
        <v>7</v>
      </c>
      <c r="C1" s="2"/>
      <c r="D1" s="2"/>
    </row>
    <row r="2" spans="1:4" x14ac:dyDescent="0.2">
      <c r="A2" s="68" t="s">
        <v>8</v>
      </c>
      <c r="B2" s="143">
        <v>60000000</v>
      </c>
      <c r="C2" s="2"/>
      <c r="D2" s="2"/>
    </row>
    <row r="3" spans="1:4" x14ac:dyDescent="0.2">
      <c r="A3" s="68" t="s">
        <v>9</v>
      </c>
      <c r="B3" s="69">
        <v>3000</v>
      </c>
      <c r="C3" s="2"/>
      <c r="D3" s="2"/>
    </row>
    <row r="4" spans="1:4" x14ac:dyDescent="0.2">
      <c r="A4" s="68" t="s">
        <v>10</v>
      </c>
      <c r="B4" s="137">
        <v>20000</v>
      </c>
      <c r="C4" s="2"/>
      <c r="D4" s="2"/>
    </row>
    <row r="5" spans="1:4" x14ac:dyDescent="0.2">
      <c r="A5" s="68" t="s">
        <v>11</v>
      </c>
      <c r="B5" s="69">
        <f>B2/1.6</f>
        <v>37500000</v>
      </c>
      <c r="C5" s="2"/>
      <c r="D5" s="2"/>
    </row>
    <row r="6" spans="1:4" x14ac:dyDescent="0.2">
      <c r="A6" s="68" t="s">
        <v>12</v>
      </c>
      <c r="B6" s="69">
        <f>B2-B5</f>
        <v>22500000</v>
      </c>
      <c r="C6" s="2"/>
      <c r="D6" s="2"/>
    </row>
    <row r="7" spans="1:4" x14ac:dyDescent="0.2">
      <c r="A7" s="68" t="s">
        <v>13</v>
      </c>
      <c r="B7" s="69">
        <f>B2*0.15</f>
        <v>9000000</v>
      </c>
      <c r="C7" s="2"/>
      <c r="D7" s="2"/>
    </row>
    <row r="8" spans="1:4" x14ac:dyDescent="0.2">
      <c r="A8" s="68" t="s">
        <v>75</v>
      </c>
      <c r="B8" s="69">
        <v>2850000</v>
      </c>
      <c r="C8" s="2"/>
      <c r="D8" s="2"/>
    </row>
    <row r="9" spans="1:4" x14ac:dyDescent="0.2">
      <c r="A9" s="68" t="s">
        <v>14</v>
      </c>
      <c r="B9" s="69">
        <v>660000</v>
      </c>
      <c r="C9" s="2"/>
      <c r="D9" s="2"/>
    </row>
    <row r="10" spans="1:4" x14ac:dyDescent="0.2">
      <c r="A10" s="68" t="s">
        <v>74</v>
      </c>
      <c r="B10" s="69">
        <v>340000</v>
      </c>
      <c r="C10" s="2"/>
      <c r="D10" s="2"/>
    </row>
    <row r="11" spans="1:4" x14ac:dyDescent="0.2">
      <c r="A11" s="68" t="s">
        <v>72</v>
      </c>
      <c r="B11" s="69">
        <v>900000</v>
      </c>
      <c r="C11" s="2"/>
      <c r="D11" s="2"/>
    </row>
    <row r="12" spans="1:4" x14ac:dyDescent="0.2">
      <c r="A12" s="68" t="s">
        <v>73</v>
      </c>
      <c r="B12" s="69">
        <f>B7+B8+B9+B10+B13+B20</f>
        <v>14442750</v>
      </c>
      <c r="C12" s="2"/>
      <c r="D12" s="2"/>
    </row>
    <row r="13" spans="1:4" x14ac:dyDescent="0.2">
      <c r="A13" s="68" t="s">
        <v>77</v>
      </c>
      <c r="B13" s="69">
        <f>B2*0.01</f>
        <v>600000</v>
      </c>
      <c r="C13" s="2"/>
      <c r="D13" s="2"/>
    </row>
    <row r="14" spans="1:4" x14ac:dyDescent="0.2">
      <c r="A14" s="68" t="s">
        <v>78</v>
      </c>
      <c r="B14" s="69">
        <f>B12+B11+B5</f>
        <v>52842750</v>
      </c>
      <c r="C14" s="2"/>
      <c r="D14" s="2"/>
    </row>
    <row r="15" spans="1:4" x14ac:dyDescent="0.2">
      <c r="A15" s="68" t="s">
        <v>121</v>
      </c>
      <c r="B15" s="69">
        <f>B4*0.3*500</f>
        <v>3000000</v>
      </c>
      <c r="C15" s="2"/>
      <c r="D15" s="2"/>
    </row>
    <row r="16" spans="1:4" x14ac:dyDescent="0.2">
      <c r="A16" s="68" t="s">
        <v>15</v>
      </c>
      <c r="B16" s="69">
        <f>B2-B12-B5+B15</f>
        <v>11057250</v>
      </c>
      <c r="C16" s="2"/>
      <c r="D16" s="2"/>
    </row>
    <row r="17" spans="1:4" x14ac:dyDescent="0.2">
      <c r="A17" s="68" t="s">
        <v>79</v>
      </c>
      <c r="B17" s="69">
        <f>B2*0.025</f>
        <v>1500000</v>
      </c>
      <c r="C17" s="2"/>
      <c r="D17" s="2"/>
    </row>
    <row r="18" spans="1:4" x14ac:dyDescent="0.2">
      <c r="A18" s="68" t="s">
        <v>88</v>
      </c>
      <c r="B18" s="69">
        <f>B8 * 30%</f>
        <v>855000</v>
      </c>
      <c r="C18" s="2"/>
      <c r="D18" s="2"/>
    </row>
    <row r="19" spans="1:4" x14ac:dyDescent="0.2">
      <c r="A19" s="68" t="s">
        <v>142</v>
      </c>
      <c r="B19" s="69">
        <f>(B2-B14)*0.15</f>
        <v>1073587.5</v>
      </c>
      <c r="C19" s="2"/>
      <c r="D19" s="2"/>
    </row>
    <row r="20" spans="1:4" x14ac:dyDescent="0.2">
      <c r="A20" s="68" t="s">
        <v>132</v>
      </c>
      <c r="B20" s="69">
        <v>992750</v>
      </c>
      <c r="C20" s="2"/>
      <c r="D20" s="2"/>
    </row>
    <row r="21" spans="1:4" ht="16" thickBot="1" x14ac:dyDescent="0.25">
      <c r="A21" s="70" t="s">
        <v>16</v>
      </c>
      <c r="B21" s="71">
        <f>B16-B17-B18-B19</f>
        <v>7628662.5</v>
      </c>
      <c r="C21" s="2"/>
      <c r="D21" s="2"/>
    </row>
  </sheetData>
  <pageMargins left="0.75" right="0.75" top="1" bottom="1" header="0.5" footer="0.5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21"/>
  <sheetViews>
    <sheetView tabSelected="1" topLeftCell="F1" zoomScale="90" zoomScaleNormal="90" workbookViewId="0">
      <selection activeCell="K5" sqref="J2:K5"/>
    </sheetView>
  </sheetViews>
  <sheetFormatPr baseColWidth="10" defaultColWidth="14" defaultRowHeight="15" x14ac:dyDescent="0.2"/>
  <cols>
    <col min="1" max="2" width="14" style="2"/>
    <col min="3" max="3" width="17.6640625" style="2" customWidth="1"/>
    <col min="4" max="5" width="14" style="2"/>
    <col min="6" max="6" width="17" style="2" customWidth="1"/>
    <col min="7" max="7" width="32.83203125" style="2" customWidth="1"/>
    <col min="8" max="8" width="28.5" style="2" customWidth="1"/>
    <col min="9" max="9" width="38" style="2" customWidth="1"/>
    <col min="10" max="10" width="24.5" style="2" customWidth="1"/>
    <col min="11" max="11" width="21" style="2" customWidth="1"/>
    <col min="12" max="12" width="23.33203125" style="2" customWidth="1"/>
    <col min="13" max="13" width="20.5" style="2" customWidth="1"/>
    <col min="14" max="14" width="23" style="2" customWidth="1"/>
    <col min="15" max="15" width="17.83203125" style="2" customWidth="1"/>
    <col min="16" max="16" width="19.1640625" style="2" customWidth="1"/>
    <col min="17" max="17" width="34.5" style="2" customWidth="1"/>
    <col min="18" max="18" width="24.33203125" style="2" customWidth="1"/>
    <col min="19" max="19" width="20.83203125" style="2" customWidth="1"/>
    <col min="20" max="16384" width="14" style="2"/>
  </cols>
  <sheetData>
    <row r="1" spans="1:19" x14ac:dyDescent="0.2">
      <c r="A1" s="7" t="s">
        <v>17</v>
      </c>
      <c r="B1" s="8" t="s">
        <v>18</v>
      </c>
      <c r="C1" s="8" t="s">
        <v>90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29</v>
      </c>
      <c r="I1" s="8" t="s">
        <v>24</v>
      </c>
      <c r="J1" s="8" t="s">
        <v>28</v>
      </c>
      <c r="K1" s="8" t="s">
        <v>71</v>
      </c>
      <c r="L1" s="8" t="s">
        <v>19</v>
      </c>
      <c r="M1" s="8" t="s">
        <v>25</v>
      </c>
      <c r="N1" s="10" t="s">
        <v>82</v>
      </c>
      <c r="O1" s="8" t="s">
        <v>26</v>
      </c>
      <c r="P1" s="8" t="s">
        <v>27</v>
      </c>
      <c r="Q1" s="8" t="s">
        <v>70</v>
      </c>
      <c r="R1" s="8" t="s">
        <v>88</v>
      </c>
      <c r="S1" s="9" t="s">
        <v>30</v>
      </c>
    </row>
    <row r="2" spans="1:19" x14ac:dyDescent="0.2">
      <c r="A2" s="68" t="s">
        <v>31</v>
      </c>
      <c r="B2" s="66">
        <v>0</v>
      </c>
      <c r="C2" s="116">
        <v>0</v>
      </c>
      <c r="D2" s="117">
        <v>750000</v>
      </c>
      <c r="E2" s="117">
        <v>100000</v>
      </c>
      <c r="F2" s="117">
        <v>55000</v>
      </c>
      <c r="G2" s="117">
        <v>25000</v>
      </c>
      <c r="H2" s="67">
        <v>0</v>
      </c>
      <c r="I2" s="117">
        <v>50000</v>
      </c>
      <c r="J2" s="117">
        <v>900000</v>
      </c>
      <c r="K2" s="117">
        <f>D2+E2+F2+G2+H2+I2</f>
        <v>980000</v>
      </c>
      <c r="L2" s="117">
        <v>0</v>
      </c>
      <c r="M2" s="117">
        <f>K2+J2</f>
        <v>1880000</v>
      </c>
      <c r="N2" s="27">
        <f>C2*0.3*500</f>
        <v>0</v>
      </c>
      <c r="O2" s="117">
        <f>B2-K2-L2+N2</f>
        <v>-980000</v>
      </c>
      <c r="P2" s="117">
        <f>(B2-M2)*0.15</f>
        <v>-282000</v>
      </c>
      <c r="Q2" s="116">
        <f>C2*0.025</f>
        <v>0</v>
      </c>
      <c r="R2" s="117">
        <f>E2* 30%</f>
        <v>30000</v>
      </c>
      <c r="S2" s="119">
        <f>O2-P2-Q2-R2</f>
        <v>-728000</v>
      </c>
    </row>
    <row r="3" spans="1:19" x14ac:dyDescent="0.2">
      <c r="A3" s="68" t="s">
        <v>32</v>
      </c>
      <c r="B3" s="140">
        <f>1200*3000</f>
        <v>3600000</v>
      </c>
      <c r="C3" s="116">
        <f>B3/3000</f>
        <v>1200</v>
      </c>
      <c r="D3" s="117">
        <v>750000</v>
      </c>
      <c r="E3" s="117">
        <v>250000</v>
      </c>
      <c r="F3" s="117">
        <v>55000</v>
      </c>
      <c r="G3" s="117">
        <v>25000</v>
      </c>
      <c r="H3" s="67">
        <v>0</v>
      </c>
      <c r="I3" s="117">
        <v>50000</v>
      </c>
      <c r="J3" s="117">
        <v>0</v>
      </c>
      <c r="K3" s="117">
        <f>D3+E3+F3+G3+H3+I3</f>
        <v>1130000</v>
      </c>
      <c r="L3" s="117">
        <f>B3/1.6</f>
        <v>2250000</v>
      </c>
      <c r="M3" s="117">
        <f>K3+L3</f>
        <v>3380000</v>
      </c>
      <c r="N3" s="118">
        <f>C3*0.3*500</f>
        <v>180000</v>
      </c>
      <c r="O3" s="118">
        <f>B3-K3-L3+N3</f>
        <v>400000</v>
      </c>
      <c r="P3" s="117">
        <f>(B3-M3)*0.15</f>
        <v>33000</v>
      </c>
      <c r="Q3" s="138">
        <f>B3*0.025</f>
        <v>90000</v>
      </c>
      <c r="R3" s="117">
        <f>E3* 30%</f>
        <v>75000</v>
      </c>
      <c r="S3" s="120">
        <f>O3-P3-Q3-R3</f>
        <v>202000</v>
      </c>
    </row>
    <row r="4" spans="1:19" x14ac:dyDescent="0.2">
      <c r="A4" s="68" t="s">
        <v>33</v>
      </c>
      <c r="B4" s="140">
        <f>1300*3000</f>
        <v>3900000</v>
      </c>
      <c r="C4" s="116">
        <f>B4/3000</f>
        <v>1300</v>
      </c>
      <c r="D4" s="117">
        <v>750000</v>
      </c>
      <c r="E4" s="117">
        <v>250000</v>
      </c>
      <c r="F4" s="117">
        <v>55000</v>
      </c>
      <c r="G4" s="117">
        <v>25000</v>
      </c>
      <c r="H4" s="67">
        <v>0</v>
      </c>
      <c r="I4" s="117">
        <v>50000</v>
      </c>
      <c r="J4" s="117">
        <v>0</v>
      </c>
      <c r="K4" s="117">
        <f>D4+E4+F4+G4+H4+I4</f>
        <v>1130000</v>
      </c>
      <c r="L4" s="117">
        <f>B4/1.6</f>
        <v>2437500</v>
      </c>
      <c r="M4" s="117">
        <f>K4+L4</f>
        <v>3567500</v>
      </c>
      <c r="N4" s="118">
        <f>C4*0.3*500</f>
        <v>195000</v>
      </c>
      <c r="O4" s="118">
        <f>B4-K4-L4+N4</f>
        <v>527500</v>
      </c>
      <c r="P4" s="117">
        <f>(B4-M4)*0.15</f>
        <v>49875</v>
      </c>
      <c r="Q4" s="138">
        <f>B4*0.025</f>
        <v>97500</v>
      </c>
      <c r="R4" s="117">
        <f>E4* 30%</f>
        <v>75000</v>
      </c>
      <c r="S4" s="120">
        <f>O4-P4-Q4-R4</f>
        <v>305125</v>
      </c>
    </row>
    <row r="5" spans="1:19" x14ac:dyDescent="0.2">
      <c r="A5" s="68" t="s">
        <v>34</v>
      </c>
      <c r="B5" s="140">
        <f>1400*3000</f>
        <v>4200000</v>
      </c>
      <c r="C5" s="116">
        <f>B5/3000</f>
        <v>1400</v>
      </c>
      <c r="D5" s="117">
        <v>750000</v>
      </c>
      <c r="E5" s="117">
        <v>250000</v>
      </c>
      <c r="F5" s="117">
        <v>55000</v>
      </c>
      <c r="G5" s="117">
        <v>25000</v>
      </c>
      <c r="H5" s="67">
        <v>110305</v>
      </c>
      <c r="I5" s="117">
        <v>50000</v>
      </c>
      <c r="J5" s="117">
        <v>0</v>
      </c>
      <c r="K5" s="117">
        <f t="shared" ref="K5:K12" si="0">D5+E5+F5+G5+H5+I5</f>
        <v>1240305</v>
      </c>
      <c r="L5" s="117">
        <f>B5/1.6</f>
        <v>2625000</v>
      </c>
      <c r="M5" s="117">
        <f>K5+L5</f>
        <v>3865305</v>
      </c>
      <c r="N5" s="142">
        <f t="shared" ref="N5:N13" si="1">C5*0.3*500</f>
        <v>210000</v>
      </c>
      <c r="O5" s="118">
        <f t="shared" ref="O5:O13" si="2">B5-K5-L5+N5</f>
        <v>544695</v>
      </c>
      <c r="P5" s="117">
        <f>(B5-M5)*0.15</f>
        <v>50204.25</v>
      </c>
      <c r="Q5" s="116">
        <f>B5*0.025</f>
        <v>105000</v>
      </c>
      <c r="R5" s="117">
        <f t="shared" ref="R5:R13" si="3">E5* 30%</f>
        <v>75000</v>
      </c>
      <c r="S5" s="120">
        <f>O5-P5-Q5-R5</f>
        <v>314490.75</v>
      </c>
    </row>
    <row r="6" spans="1:19" x14ac:dyDescent="0.2">
      <c r="A6" s="68" t="s">
        <v>35</v>
      </c>
      <c r="B6" s="140">
        <f>1500*3000</f>
        <v>4500000</v>
      </c>
      <c r="C6" s="116">
        <f t="shared" ref="C6:C13" si="4">B6/3000</f>
        <v>1500</v>
      </c>
      <c r="D6" s="117">
        <v>750000</v>
      </c>
      <c r="E6" s="117">
        <v>250000</v>
      </c>
      <c r="F6" s="117">
        <v>55000</v>
      </c>
      <c r="G6" s="117">
        <v>30000</v>
      </c>
      <c r="H6" s="67">
        <v>110305</v>
      </c>
      <c r="I6" s="117">
        <v>50000</v>
      </c>
      <c r="J6" s="117">
        <v>0</v>
      </c>
      <c r="K6" s="117">
        <f t="shared" si="0"/>
        <v>1245305</v>
      </c>
      <c r="L6" s="117">
        <f t="shared" ref="L6:L13" si="5">B6/1.6</f>
        <v>2812500</v>
      </c>
      <c r="M6" s="117">
        <f>K6+L6</f>
        <v>4057805</v>
      </c>
      <c r="N6" s="118">
        <f t="shared" si="1"/>
        <v>225000</v>
      </c>
      <c r="O6" s="118">
        <f t="shared" si="2"/>
        <v>667195</v>
      </c>
      <c r="P6" s="117">
        <f t="shared" ref="P6:P13" si="6">(B6-M6)*0.15</f>
        <v>66329.25</v>
      </c>
      <c r="Q6" s="138">
        <f t="shared" ref="Q6:Q13" si="7">B6*0.025</f>
        <v>112500</v>
      </c>
      <c r="R6" s="117">
        <f t="shared" si="3"/>
        <v>75000</v>
      </c>
      <c r="S6" s="120">
        <f>O6-P6-Q6-R6</f>
        <v>413365.75</v>
      </c>
    </row>
    <row r="7" spans="1:19" x14ac:dyDescent="0.2">
      <c r="A7" s="68" t="s">
        <v>36</v>
      </c>
      <c r="B7" s="140">
        <f>1600*3000</f>
        <v>4800000</v>
      </c>
      <c r="C7" s="116">
        <f t="shared" si="4"/>
        <v>1600</v>
      </c>
      <c r="D7" s="117">
        <v>750000</v>
      </c>
      <c r="E7" s="117">
        <v>250000</v>
      </c>
      <c r="F7" s="117">
        <v>55000</v>
      </c>
      <c r="G7" s="117">
        <v>30000</v>
      </c>
      <c r="H7" s="67">
        <v>110305</v>
      </c>
      <c r="I7" s="117">
        <v>50000</v>
      </c>
      <c r="J7" s="117">
        <v>0</v>
      </c>
      <c r="K7" s="117">
        <f t="shared" si="0"/>
        <v>1245305</v>
      </c>
      <c r="L7" s="117">
        <f t="shared" si="5"/>
        <v>3000000</v>
      </c>
      <c r="M7" s="117">
        <f>K7+L7</f>
        <v>4245305</v>
      </c>
      <c r="N7" s="118">
        <f t="shared" si="1"/>
        <v>240000</v>
      </c>
      <c r="O7" s="118">
        <f t="shared" si="2"/>
        <v>794695</v>
      </c>
      <c r="P7" s="117">
        <f t="shared" si="6"/>
        <v>83204.25</v>
      </c>
      <c r="Q7" s="138">
        <f t="shared" si="7"/>
        <v>120000</v>
      </c>
      <c r="R7" s="117">
        <f t="shared" si="3"/>
        <v>75000</v>
      </c>
      <c r="S7" s="120">
        <f>O7-P7-Q7-R7</f>
        <v>516490.75</v>
      </c>
    </row>
    <row r="8" spans="1:19" x14ac:dyDescent="0.2">
      <c r="A8" s="68" t="s">
        <v>37</v>
      </c>
      <c r="B8" s="140">
        <f>1800*3000</f>
        <v>5400000</v>
      </c>
      <c r="C8" s="116">
        <f t="shared" si="4"/>
        <v>1800</v>
      </c>
      <c r="D8" s="117">
        <v>750000</v>
      </c>
      <c r="E8" s="117">
        <v>250000</v>
      </c>
      <c r="F8" s="117">
        <v>55000</v>
      </c>
      <c r="G8" s="117">
        <v>30000</v>
      </c>
      <c r="H8" s="67">
        <v>110305</v>
      </c>
      <c r="I8" s="117">
        <v>50000</v>
      </c>
      <c r="J8" s="117">
        <v>0</v>
      </c>
      <c r="K8" s="117">
        <f t="shared" si="0"/>
        <v>1245305</v>
      </c>
      <c r="L8" s="117">
        <f t="shared" si="5"/>
        <v>3375000</v>
      </c>
      <c r="M8" s="117">
        <f>K8+L8</f>
        <v>4620305</v>
      </c>
      <c r="N8" s="142">
        <f t="shared" si="1"/>
        <v>270000</v>
      </c>
      <c r="O8" s="118">
        <f t="shared" si="2"/>
        <v>1049695</v>
      </c>
      <c r="P8" s="117">
        <f t="shared" si="6"/>
        <v>116954.25</v>
      </c>
      <c r="Q8" s="116">
        <f t="shared" si="7"/>
        <v>135000</v>
      </c>
      <c r="R8" s="117">
        <f t="shared" si="3"/>
        <v>75000</v>
      </c>
      <c r="S8" s="120">
        <f t="shared" ref="S8" si="8">O8-P8-Q8-R8</f>
        <v>722740.75</v>
      </c>
    </row>
    <row r="9" spans="1:19" x14ac:dyDescent="0.2">
      <c r="A9" s="68" t="s">
        <v>38</v>
      </c>
      <c r="B9" s="140">
        <f>2000*3000</f>
        <v>6000000</v>
      </c>
      <c r="C9" s="116">
        <f t="shared" si="4"/>
        <v>2000</v>
      </c>
      <c r="D9" s="117">
        <v>750000</v>
      </c>
      <c r="E9" s="117">
        <v>250000</v>
      </c>
      <c r="F9" s="117">
        <v>55000</v>
      </c>
      <c r="G9" s="117">
        <v>30000</v>
      </c>
      <c r="H9" s="67">
        <v>110305</v>
      </c>
      <c r="I9" s="117">
        <v>50000</v>
      </c>
      <c r="J9" s="117">
        <v>0</v>
      </c>
      <c r="K9" s="117">
        <f t="shared" si="0"/>
        <v>1245305</v>
      </c>
      <c r="L9" s="117">
        <f t="shared" si="5"/>
        <v>3750000</v>
      </c>
      <c r="M9" s="117">
        <f>K9+L9</f>
        <v>4995305</v>
      </c>
      <c r="N9" s="118">
        <f t="shared" si="1"/>
        <v>300000</v>
      </c>
      <c r="O9" s="118">
        <f t="shared" si="2"/>
        <v>1304695</v>
      </c>
      <c r="P9" s="117">
        <f t="shared" si="6"/>
        <v>150704.25</v>
      </c>
      <c r="Q9" s="138">
        <f t="shared" si="7"/>
        <v>150000</v>
      </c>
      <c r="R9" s="117">
        <f t="shared" si="3"/>
        <v>75000</v>
      </c>
      <c r="S9" s="120">
        <f>O9-P9-Q9-R9</f>
        <v>928990.75</v>
      </c>
    </row>
    <row r="10" spans="1:19" x14ac:dyDescent="0.2">
      <c r="A10" s="68" t="s">
        <v>39</v>
      </c>
      <c r="B10" s="140">
        <f>2100*3000</f>
        <v>6300000</v>
      </c>
      <c r="C10" s="116">
        <f t="shared" si="4"/>
        <v>2100</v>
      </c>
      <c r="D10" s="117">
        <v>750000</v>
      </c>
      <c r="E10" s="117">
        <v>250000</v>
      </c>
      <c r="F10" s="117">
        <v>55000</v>
      </c>
      <c r="G10" s="117">
        <v>30000</v>
      </c>
      <c r="H10" s="67">
        <v>110305</v>
      </c>
      <c r="I10" s="117">
        <v>50000</v>
      </c>
      <c r="J10" s="117">
        <v>0</v>
      </c>
      <c r="K10" s="117">
        <f t="shared" si="0"/>
        <v>1245305</v>
      </c>
      <c r="L10" s="117">
        <f t="shared" si="5"/>
        <v>3937500</v>
      </c>
      <c r="M10" s="117">
        <f>K10+L10</f>
        <v>5182805</v>
      </c>
      <c r="N10" s="118">
        <f t="shared" si="1"/>
        <v>315000</v>
      </c>
      <c r="O10" s="118">
        <f t="shared" si="2"/>
        <v>1432195</v>
      </c>
      <c r="P10" s="117">
        <f t="shared" si="6"/>
        <v>167579.25</v>
      </c>
      <c r="Q10" s="138">
        <f t="shared" si="7"/>
        <v>157500</v>
      </c>
      <c r="R10" s="117">
        <f t="shared" si="3"/>
        <v>75000</v>
      </c>
      <c r="S10" s="120">
        <f>O10-P10-Q10-R10</f>
        <v>1032115.75</v>
      </c>
    </row>
    <row r="11" spans="1:19" x14ac:dyDescent="0.2">
      <c r="A11" s="68" t="s">
        <v>40</v>
      </c>
      <c r="B11" s="140">
        <f>2200*3000</f>
        <v>6600000</v>
      </c>
      <c r="C11" s="116">
        <f t="shared" si="4"/>
        <v>2200</v>
      </c>
      <c r="D11" s="117">
        <v>750000</v>
      </c>
      <c r="E11" s="117">
        <v>250000</v>
      </c>
      <c r="F11" s="117">
        <v>55000</v>
      </c>
      <c r="G11" s="117">
        <v>30000</v>
      </c>
      <c r="H11" s="67">
        <v>110305</v>
      </c>
      <c r="I11" s="117">
        <v>50000</v>
      </c>
      <c r="J11" s="117">
        <v>0</v>
      </c>
      <c r="K11" s="117">
        <f t="shared" si="0"/>
        <v>1245305</v>
      </c>
      <c r="L11" s="117">
        <f t="shared" si="5"/>
        <v>4125000</v>
      </c>
      <c r="M11" s="117">
        <f>K11+L11</f>
        <v>5370305</v>
      </c>
      <c r="N11" s="142">
        <f t="shared" si="1"/>
        <v>330000</v>
      </c>
      <c r="O11" s="118">
        <f t="shared" si="2"/>
        <v>1559695</v>
      </c>
      <c r="P11" s="117">
        <f t="shared" si="6"/>
        <v>184454.25</v>
      </c>
      <c r="Q11" s="116">
        <f t="shared" si="7"/>
        <v>165000</v>
      </c>
      <c r="R11" s="117">
        <f t="shared" si="3"/>
        <v>75000</v>
      </c>
      <c r="S11" s="120">
        <f t="shared" ref="S11:S12" si="9">O11-P11-Q11-R11</f>
        <v>1135240.75</v>
      </c>
    </row>
    <row r="12" spans="1:19" x14ac:dyDescent="0.2">
      <c r="A12" s="68" t="s">
        <v>41</v>
      </c>
      <c r="B12" s="140">
        <f>2400*3000</f>
        <v>7200000</v>
      </c>
      <c r="C12" s="116">
        <f t="shared" si="4"/>
        <v>2400</v>
      </c>
      <c r="D12" s="117">
        <v>750000</v>
      </c>
      <c r="E12" s="117">
        <v>250000</v>
      </c>
      <c r="F12" s="117">
        <v>55000</v>
      </c>
      <c r="G12" s="117">
        <v>30000</v>
      </c>
      <c r="H12" s="67">
        <v>110305</v>
      </c>
      <c r="I12" s="117">
        <v>50000</v>
      </c>
      <c r="J12" s="117">
        <v>0</v>
      </c>
      <c r="K12" s="117">
        <f t="shared" si="0"/>
        <v>1245305</v>
      </c>
      <c r="L12" s="117">
        <f t="shared" si="5"/>
        <v>4500000</v>
      </c>
      <c r="M12" s="117">
        <f>K12+L12</f>
        <v>5745305</v>
      </c>
      <c r="N12" s="118">
        <f t="shared" si="1"/>
        <v>360000</v>
      </c>
      <c r="O12" s="118">
        <f t="shared" si="2"/>
        <v>1814695</v>
      </c>
      <c r="P12" s="117">
        <f t="shared" si="6"/>
        <v>218204.25</v>
      </c>
      <c r="Q12" s="138">
        <f>B12*0.025</f>
        <v>180000</v>
      </c>
      <c r="R12" s="117">
        <f t="shared" si="3"/>
        <v>75000</v>
      </c>
      <c r="S12" s="120">
        <f t="shared" si="9"/>
        <v>1341490.75</v>
      </c>
    </row>
    <row r="13" spans="1:19" ht="16" thickBot="1" x14ac:dyDescent="0.25">
      <c r="A13" s="70" t="s">
        <v>42</v>
      </c>
      <c r="B13" s="141">
        <f>2500*3000</f>
        <v>7500000</v>
      </c>
      <c r="C13" s="121">
        <f t="shared" si="4"/>
        <v>2500</v>
      </c>
      <c r="D13" s="122">
        <v>750000</v>
      </c>
      <c r="E13" s="122">
        <v>250000</v>
      </c>
      <c r="F13" s="122">
        <v>55000</v>
      </c>
      <c r="G13" s="122">
        <v>30000</v>
      </c>
      <c r="H13" s="123">
        <v>110305</v>
      </c>
      <c r="I13" s="122">
        <v>50000</v>
      </c>
      <c r="J13" s="122">
        <v>0</v>
      </c>
      <c r="K13" s="122">
        <f>D13+E13+F13+G13+H13+I13</f>
        <v>1245305</v>
      </c>
      <c r="L13" s="122">
        <f t="shared" si="5"/>
        <v>4687500</v>
      </c>
      <c r="M13" s="122">
        <f>K13+L13+5</f>
        <v>5932810</v>
      </c>
      <c r="N13" s="124">
        <f t="shared" si="1"/>
        <v>375000</v>
      </c>
      <c r="O13" s="124">
        <f t="shared" si="2"/>
        <v>1942195</v>
      </c>
      <c r="P13" s="122">
        <f t="shared" si="6"/>
        <v>235078.5</v>
      </c>
      <c r="Q13" s="139">
        <f t="shared" si="7"/>
        <v>187500</v>
      </c>
      <c r="R13" s="122">
        <f t="shared" si="3"/>
        <v>75000</v>
      </c>
      <c r="S13" s="125">
        <f>O13-P13-Q13-R13</f>
        <v>1444616.5</v>
      </c>
    </row>
    <row r="21" spans="9:9" x14ac:dyDescent="0.2">
      <c r="I21" s="3"/>
    </row>
  </sheetData>
  <pageMargins left="0.75" right="0.75" top="1" bottom="1" header="0.5" footer="0.5"/>
  <pageSetup orientation="portrait" horizontalDpi="0" verticalDpi="0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9"/>
  <sheetViews>
    <sheetView zoomScale="102" workbookViewId="0">
      <selection activeCell="B10" sqref="B10"/>
    </sheetView>
  </sheetViews>
  <sheetFormatPr baseColWidth="10" defaultColWidth="8.83203125" defaultRowHeight="15" x14ac:dyDescent="0.2"/>
  <cols>
    <col min="1" max="1" width="35" customWidth="1"/>
    <col min="2" max="2" width="132.5" customWidth="1"/>
    <col min="6" max="10" width="32" customWidth="1"/>
  </cols>
  <sheetData>
    <row r="1" spans="1:2" ht="16" thickBot="1" x14ac:dyDescent="0.25">
      <c r="A1" s="16" t="s">
        <v>6</v>
      </c>
      <c r="B1" s="16" t="s">
        <v>141</v>
      </c>
    </row>
    <row r="2" spans="1:2" x14ac:dyDescent="0.2">
      <c r="A2" s="128" t="s">
        <v>43</v>
      </c>
      <c r="B2" s="129" t="s">
        <v>105</v>
      </c>
    </row>
    <row r="3" spans="1:2" x14ac:dyDescent="0.2">
      <c r="A3" s="130" t="s">
        <v>44</v>
      </c>
      <c r="B3" s="131" t="s">
        <v>45</v>
      </c>
    </row>
    <row r="4" spans="1:2" x14ac:dyDescent="0.2">
      <c r="A4" s="130" t="s">
        <v>106</v>
      </c>
      <c r="B4" s="132" t="s">
        <v>107</v>
      </c>
    </row>
    <row r="5" spans="1:2" x14ac:dyDescent="0.2">
      <c r="A5" s="130" t="s">
        <v>108</v>
      </c>
      <c r="B5" s="132" t="s">
        <v>109</v>
      </c>
    </row>
    <row r="6" spans="1:2" x14ac:dyDescent="0.2">
      <c r="A6" s="130" t="s">
        <v>110</v>
      </c>
      <c r="B6" s="132" t="s">
        <v>112</v>
      </c>
    </row>
    <row r="7" spans="1:2" x14ac:dyDescent="0.2">
      <c r="A7" s="130" t="s">
        <v>111</v>
      </c>
      <c r="B7" s="132" t="s">
        <v>138</v>
      </c>
    </row>
    <row r="8" spans="1:2" x14ac:dyDescent="0.2">
      <c r="A8" s="130" t="s">
        <v>137</v>
      </c>
      <c r="B8" s="132" t="s">
        <v>139</v>
      </c>
    </row>
    <row r="9" spans="1:2" x14ac:dyDescent="0.2">
      <c r="A9" s="130" t="s">
        <v>113</v>
      </c>
      <c r="B9" s="132" t="s">
        <v>114</v>
      </c>
    </row>
    <row r="10" spans="1:2" x14ac:dyDescent="0.2">
      <c r="A10" s="130" t="s">
        <v>76</v>
      </c>
      <c r="B10" s="132" t="s">
        <v>116</v>
      </c>
    </row>
    <row r="11" spans="1:2" x14ac:dyDescent="0.2">
      <c r="A11" s="130" t="s">
        <v>117</v>
      </c>
      <c r="B11" s="132" t="s">
        <v>115</v>
      </c>
    </row>
    <row r="12" spans="1:2" x14ac:dyDescent="0.2">
      <c r="A12" s="130" t="s">
        <v>118</v>
      </c>
      <c r="B12" s="133" t="s">
        <v>119</v>
      </c>
    </row>
    <row r="13" spans="1:2" x14ac:dyDescent="0.2">
      <c r="A13" s="130" t="s">
        <v>73</v>
      </c>
      <c r="B13" s="132" t="s">
        <v>140</v>
      </c>
    </row>
    <row r="14" spans="1:2" x14ac:dyDescent="0.2">
      <c r="A14" s="130" t="s">
        <v>78</v>
      </c>
      <c r="B14" s="132" t="s">
        <v>120</v>
      </c>
    </row>
    <row r="15" spans="1:2" x14ac:dyDescent="0.2">
      <c r="A15" s="130" t="s">
        <v>121</v>
      </c>
      <c r="B15" s="132" t="s">
        <v>122</v>
      </c>
    </row>
    <row r="16" spans="1:2" x14ac:dyDescent="0.2">
      <c r="A16" s="130" t="s">
        <v>15</v>
      </c>
      <c r="B16" s="132" t="s">
        <v>123</v>
      </c>
    </row>
    <row r="17" spans="1:10" x14ac:dyDescent="0.2">
      <c r="A17" s="130" t="s">
        <v>79</v>
      </c>
      <c r="B17" s="132" t="s">
        <v>124</v>
      </c>
    </row>
    <row r="18" spans="1:10" x14ac:dyDescent="0.2">
      <c r="A18" s="130" t="s">
        <v>88</v>
      </c>
      <c r="B18" s="132" t="s">
        <v>125</v>
      </c>
      <c r="F18" s="126"/>
      <c r="G18" s="126"/>
      <c r="H18" s="126"/>
      <c r="I18" s="126"/>
      <c r="J18" s="126"/>
    </row>
    <row r="19" spans="1:10" x14ac:dyDescent="0.2">
      <c r="A19" s="130" t="s">
        <v>126</v>
      </c>
      <c r="B19" s="132" t="s">
        <v>127</v>
      </c>
      <c r="F19" s="126"/>
      <c r="G19" s="126"/>
      <c r="H19" s="126"/>
      <c r="I19" s="126"/>
      <c r="J19" s="126"/>
    </row>
    <row r="20" spans="1:10" x14ac:dyDescent="0.2">
      <c r="A20" s="130" t="s">
        <v>46</v>
      </c>
      <c r="B20" s="133" t="s">
        <v>47</v>
      </c>
      <c r="F20" s="126"/>
      <c r="G20" s="126"/>
      <c r="H20" s="126"/>
      <c r="I20" s="126"/>
      <c r="J20" s="126"/>
    </row>
    <row r="21" spans="1:10" x14ac:dyDescent="0.2">
      <c r="A21" s="130" t="s">
        <v>132</v>
      </c>
      <c r="B21" s="132" t="s">
        <v>128</v>
      </c>
      <c r="F21" s="127"/>
      <c r="G21" s="127"/>
      <c r="H21" s="127"/>
      <c r="I21" s="127"/>
      <c r="J21" s="127"/>
    </row>
    <row r="22" spans="1:10" x14ac:dyDescent="0.2">
      <c r="A22" s="130" t="s">
        <v>48</v>
      </c>
      <c r="B22" s="133" t="s">
        <v>49</v>
      </c>
      <c r="F22" s="126"/>
      <c r="G22" s="126"/>
      <c r="H22" s="126"/>
      <c r="I22" s="126"/>
      <c r="J22" s="126"/>
    </row>
    <row r="23" spans="1:10" x14ac:dyDescent="0.2">
      <c r="A23" s="130" t="s">
        <v>50</v>
      </c>
      <c r="B23" s="133" t="s">
        <v>51</v>
      </c>
    </row>
    <row r="24" spans="1:10" x14ac:dyDescent="0.2">
      <c r="A24" s="130" t="s">
        <v>4</v>
      </c>
      <c r="B24" s="133" t="s">
        <v>129</v>
      </c>
    </row>
    <row r="25" spans="1:10" x14ac:dyDescent="0.2">
      <c r="A25" s="134" t="s">
        <v>85</v>
      </c>
      <c r="B25" s="133" t="s">
        <v>130</v>
      </c>
    </row>
    <row r="26" spans="1:10" x14ac:dyDescent="0.2">
      <c r="A26" s="130" t="s">
        <v>86</v>
      </c>
      <c r="B26" s="133" t="s">
        <v>131</v>
      </c>
    </row>
    <row r="27" spans="1:10" x14ac:dyDescent="0.2">
      <c r="A27" s="130" t="s">
        <v>1</v>
      </c>
      <c r="B27" s="133" t="s">
        <v>133</v>
      </c>
    </row>
    <row r="28" spans="1:10" x14ac:dyDescent="0.2">
      <c r="A28" s="130" t="s">
        <v>2</v>
      </c>
      <c r="B28" s="133" t="s">
        <v>134</v>
      </c>
    </row>
    <row r="29" spans="1:10" ht="16" thickBot="1" x14ac:dyDescent="0.25">
      <c r="A29" s="135" t="s">
        <v>135</v>
      </c>
      <c r="B29" s="136" t="s">
        <v>136</v>
      </c>
    </row>
  </sheetData>
  <pageMargins left="0.75" right="0.75" top="1" bottom="1" header="0.5" footer="0.5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8"/>
  <sheetViews>
    <sheetView workbookViewId="0">
      <selection activeCell="C7" sqref="C7"/>
    </sheetView>
  </sheetViews>
  <sheetFormatPr baseColWidth="10" defaultColWidth="8.83203125" defaultRowHeight="15" x14ac:dyDescent="0.2"/>
  <cols>
    <col min="1" max="1" width="23" style="1" customWidth="1"/>
    <col min="2" max="2" width="17.33203125" style="1" customWidth="1"/>
    <col min="3" max="3" width="63.83203125" style="1" customWidth="1"/>
    <col min="4" max="16384" width="8.83203125" style="1"/>
  </cols>
  <sheetData>
    <row r="1" spans="1:3" x14ac:dyDescent="0.2">
      <c r="A1" s="72" t="s">
        <v>6</v>
      </c>
      <c r="B1" s="72" t="s">
        <v>52</v>
      </c>
      <c r="C1" s="72" t="s">
        <v>53</v>
      </c>
    </row>
    <row r="2" spans="1:3" x14ac:dyDescent="0.2">
      <c r="A2" s="73" t="s">
        <v>54</v>
      </c>
      <c r="B2" s="73">
        <v>3000</v>
      </c>
      <c r="C2" s="73" t="s">
        <v>55</v>
      </c>
    </row>
    <row r="3" spans="1:3" x14ac:dyDescent="0.2">
      <c r="A3" s="73" t="s">
        <v>56</v>
      </c>
      <c r="B3" s="73">
        <f>B2/1.6</f>
        <v>1875</v>
      </c>
      <c r="C3" s="73" t="s">
        <v>57</v>
      </c>
    </row>
    <row r="4" spans="1:3" x14ac:dyDescent="0.2">
      <c r="A4" s="73" t="s">
        <v>58</v>
      </c>
      <c r="B4" s="73">
        <f>B2-B3</f>
        <v>1125</v>
      </c>
      <c r="C4" s="73" t="s">
        <v>59</v>
      </c>
    </row>
    <row r="5" spans="1:3" x14ac:dyDescent="0.2">
      <c r="A5" s="73" t="s">
        <v>60</v>
      </c>
      <c r="B5" s="73">
        <v>450</v>
      </c>
      <c r="C5" s="73" t="s">
        <v>61</v>
      </c>
    </row>
    <row r="6" spans="1:3" x14ac:dyDescent="0.2">
      <c r="A6" s="73" t="s">
        <v>62</v>
      </c>
      <c r="B6" s="74">
        <f>B4/B2</f>
        <v>0.375</v>
      </c>
      <c r="C6" s="73" t="s">
        <v>63</v>
      </c>
    </row>
    <row r="7" spans="1:3" x14ac:dyDescent="0.2">
      <c r="A7" s="73" t="s">
        <v>64</v>
      </c>
      <c r="B7" s="73">
        <f>B5/B4</f>
        <v>0.4</v>
      </c>
      <c r="C7" s="73" t="s">
        <v>65</v>
      </c>
    </row>
    <row r="8" spans="1:3" x14ac:dyDescent="0.2">
      <c r="A8" s="73"/>
      <c r="B8" s="73"/>
      <c r="C8" s="73"/>
    </row>
  </sheetData>
  <pageMargins left="0.75" right="0.75" top="1" bottom="1" header="0.5" footer="0.5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7"/>
  <sheetViews>
    <sheetView zoomScale="60" zoomScaleNormal="60" workbookViewId="0">
      <selection activeCell="O9" sqref="O9"/>
    </sheetView>
  </sheetViews>
  <sheetFormatPr baseColWidth="10" defaultColWidth="24.33203125" defaultRowHeight="15" x14ac:dyDescent="0.2"/>
  <cols>
    <col min="1" max="1" width="8.83203125" customWidth="1"/>
    <col min="6" max="6" width="37.33203125" customWidth="1"/>
  </cols>
  <sheetData>
    <row r="1" spans="1:17" x14ac:dyDescent="0.2">
      <c r="A1" s="7" t="s">
        <v>0</v>
      </c>
      <c r="B1" s="8" t="s">
        <v>66</v>
      </c>
      <c r="C1" s="8" t="s">
        <v>9</v>
      </c>
      <c r="D1" s="8" t="s">
        <v>67</v>
      </c>
      <c r="E1" s="8" t="s">
        <v>92</v>
      </c>
      <c r="F1" s="8" t="s">
        <v>91</v>
      </c>
      <c r="G1" s="8" t="s">
        <v>93</v>
      </c>
      <c r="H1" s="8" t="s">
        <v>94</v>
      </c>
      <c r="I1" s="8" t="s">
        <v>95</v>
      </c>
      <c r="J1" s="8" t="s">
        <v>68</v>
      </c>
      <c r="K1" s="8" t="s">
        <v>96</v>
      </c>
      <c r="L1" s="8" t="s">
        <v>97</v>
      </c>
      <c r="M1" s="8" t="s">
        <v>15</v>
      </c>
      <c r="N1" s="54" t="s">
        <v>69</v>
      </c>
      <c r="O1" s="7" t="s">
        <v>98</v>
      </c>
      <c r="P1" s="95" t="s">
        <v>99</v>
      </c>
      <c r="Q1" s="96" t="s">
        <v>101</v>
      </c>
    </row>
    <row r="2" spans="1:17" x14ac:dyDescent="0.2">
      <c r="A2" s="75">
        <v>5</v>
      </c>
      <c r="B2" s="4">
        <v>1000</v>
      </c>
      <c r="C2" s="4">
        <v>15000</v>
      </c>
      <c r="D2" s="76">
        <f>B2 * C2</f>
        <v>15000000</v>
      </c>
      <c r="E2" s="76">
        <f>D2/1.2</f>
        <v>12500000</v>
      </c>
      <c r="F2" s="76">
        <f>E2/1.25</f>
        <v>10000000</v>
      </c>
      <c r="G2" s="76">
        <f xml:space="preserve"> D2 - E2</f>
        <v>2500000</v>
      </c>
      <c r="H2" s="76">
        <f>F2*0.2</f>
        <v>2000000</v>
      </c>
      <c r="I2" s="76">
        <f xml:space="preserve"> G2 - H2</f>
        <v>500000</v>
      </c>
      <c r="J2" s="76">
        <f>F2*1.2</f>
        <v>12000000</v>
      </c>
      <c r="K2" s="76">
        <f xml:space="preserve"> D2 - J2</f>
        <v>3000000</v>
      </c>
      <c r="L2" s="76">
        <f>K2*0.15</f>
        <v>450000</v>
      </c>
      <c r="M2" s="76">
        <f xml:space="preserve"> K2</f>
        <v>3000000</v>
      </c>
      <c r="N2" s="76">
        <f xml:space="preserve"> M2 - I2 - L2</f>
        <v>2050000</v>
      </c>
      <c r="O2" s="97">
        <f xml:space="preserve"> N2 / D2</f>
        <v>0.13666666666666666</v>
      </c>
      <c r="P2" s="98">
        <f>(E2 - F2) / E2</f>
        <v>0.2</v>
      </c>
      <c r="Q2" s="99">
        <f xml:space="preserve"> M2/E2</f>
        <v>0.24</v>
      </c>
    </row>
    <row r="3" spans="1:17" x14ac:dyDescent="0.2">
      <c r="A3" s="75">
        <v>6</v>
      </c>
      <c r="B3" s="4">
        <v>2000</v>
      </c>
      <c r="C3" s="4">
        <v>15000</v>
      </c>
      <c r="D3" s="76">
        <f xml:space="preserve"> B3 * C3</f>
        <v>30000000</v>
      </c>
      <c r="E3" s="76">
        <f>D3/1.25</f>
        <v>24000000</v>
      </c>
      <c r="F3" s="76">
        <f>E3/1.25</f>
        <v>19200000</v>
      </c>
      <c r="G3" s="76">
        <f xml:space="preserve"> D3 - E3</f>
        <v>6000000</v>
      </c>
      <c r="H3" s="76">
        <f>F3*0.2</f>
        <v>3840000</v>
      </c>
      <c r="I3" s="76">
        <f xml:space="preserve"> G3 - H3</f>
        <v>2160000</v>
      </c>
      <c r="J3" s="76">
        <f>F3*1.2</f>
        <v>23040000</v>
      </c>
      <c r="K3" s="76">
        <f xml:space="preserve"> D3 - J3</f>
        <v>6960000</v>
      </c>
      <c r="L3" s="76">
        <f>K3*0.15</f>
        <v>1044000</v>
      </c>
      <c r="M3" s="76">
        <f xml:space="preserve"> K3</f>
        <v>6960000</v>
      </c>
      <c r="N3" s="76">
        <f xml:space="preserve"> M3 - I3 - L3</f>
        <v>3756000</v>
      </c>
      <c r="O3" s="97">
        <f xml:space="preserve"> N3 / D3</f>
        <v>0.12520000000000001</v>
      </c>
      <c r="P3" s="98">
        <f>(E3 - F3) / E3</f>
        <v>0.2</v>
      </c>
      <c r="Q3" s="99">
        <f xml:space="preserve"> M3/E3</f>
        <v>0.28999999999999998</v>
      </c>
    </row>
    <row r="4" spans="1:17" x14ac:dyDescent="0.2">
      <c r="A4" s="75">
        <v>7</v>
      </c>
      <c r="B4" s="4">
        <v>4000</v>
      </c>
      <c r="C4" s="4">
        <v>15000</v>
      </c>
      <c r="D4" s="76">
        <f xml:space="preserve"> B4 * C4</f>
        <v>60000000</v>
      </c>
      <c r="E4" s="76">
        <f>D4/1.25</f>
        <v>48000000</v>
      </c>
      <c r="F4" s="76">
        <f>E4/1.25</f>
        <v>38400000</v>
      </c>
      <c r="G4" s="76">
        <f xml:space="preserve"> D4 - E4</f>
        <v>12000000</v>
      </c>
      <c r="H4" s="76">
        <f>F4*0.2</f>
        <v>7680000</v>
      </c>
      <c r="I4" s="76">
        <f xml:space="preserve"> G4 - H4</f>
        <v>4320000</v>
      </c>
      <c r="J4" s="76">
        <f>F3*1.2</f>
        <v>23040000</v>
      </c>
      <c r="K4" s="76">
        <f xml:space="preserve"> D4 - J4</f>
        <v>36960000</v>
      </c>
      <c r="L4" s="76">
        <f>K4*0.15</f>
        <v>5544000</v>
      </c>
      <c r="M4" s="76">
        <f xml:space="preserve"> K4</f>
        <v>36960000</v>
      </c>
      <c r="N4" s="76">
        <f xml:space="preserve"> M3 - I3 - L3</f>
        <v>3756000</v>
      </c>
      <c r="O4" s="97">
        <f xml:space="preserve"> N4 / D4</f>
        <v>6.2600000000000003E-2</v>
      </c>
      <c r="P4" s="98">
        <f>(E4 - F4) / E4</f>
        <v>0.2</v>
      </c>
      <c r="Q4" s="99">
        <f xml:space="preserve"> M4/E4</f>
        <v>0.77</v>
      </c>
    </row>
    <row r="5" spans="1:17" x14ac:dyDescent="0.2">
      <c r="A5" s="75">
        <v>8</v>
      </c>
      <c r="B5" s="4">
        <v>8000</v>
      </c>
      <c r="C5" s="4">
        <v>15000</v>
      </c>
      <c r="D5" s="76">
        <f t="shared" ref="D5:D16" si="0" xml:space="preserve"> B5 * C5</f>
        <v>120000000</v>
      </c>
      <c r="E5" s="76">
        <f>D5/1.25</f>
        <v>96000000</v>
      </c>
      <c r="F5" s="76">
        <f>E5/1.25</f>
        <v>76800000</v>
      </c>
      <c r="G5" s="76">
        <f t="shared" ref="G5:G17" si="1" xml:space="preserve"> D5 - E5</f>
        <v>24000000</v>
      </c>
      <c r="H5" s="76">
        <f t="shared" ref="H5:H17" si="2">F5*0.2</f>
        <v>15360000</v>
      </c>
      <c r="I5" s="76">
        <f t="shared" ref="I5:I17" si="3" xml:space="preserve"> G5 - H5</f>
        <v>8640000</v>
      </c>
      <c r="J5" s="76">
        <f t="shared" ref="J5:J17" si="4">F5*1.2</f>
        <v>92160000</v>
      </c>
      <c r="K5" s="76">
        <f t="shared" ref="K5:K17" si="5" xml:space="preserve"> D5 - J5</f>
        <v>27840000</v>
      </c>
      <c r="L5" s="76">
        <f t="shared" ref="L5:L17" si="6">K5*0.15</f>
        <v>4176000</v>
      </c>
      <c r="M5" s="76">
        <f t="shared" ref="M5:M17" si="7" xml:space="preserve"> K5</f>
        <v>27840000</v>
      </c>
      <c r="N5" s="76">
        <f t="shared" ref="N5:N6" si="8" xml:space="preserve"> M5 - I5 - L5</f>
        <v>15024000</v>
      </c>
      <c r="O5" s="97">
        <f t="shared" ref="O5:O17" si="9" xml:space="preserve"> N5 / D5</f>
        <v>0.12520000000000001</v>
      </c>
      <c r="P5" s="98">
        <f t="shared" ref="P5:P17" si="10">(E5 - F5) / E5</f>
        <v>0.2</v>
      </c>
      <c r="Q5" s="99">
        <f t="shared" ref="Q5:Q17" si="11" xml:space="preserve"> M5/E5</f>
        <v>0.28999999999999998</v>
      </c>
    </row>
    <row r="6" spans="1:17" x14ac:dyDescent="0.2">
      <c r="A6" s="75">
        <v>9</v>
      </c>
      <c r="B6" s="4">
        <v>16000</v>
      </c>
      <c r="C6" s="4">
        <v>15000</v>
      </c>
      <c r="D6" s="76">
        <f t="shared" si="0"/>
        <v>240000000</v>
      </c>
      <c r="E6" s="76">
        <f t="shared" ref="E6:F16" si="12">D6/1.2</f>
        <v>200000000</v>
      </c>
      <c r="F6" s="76">
        <f t="shared" ref="F6:F16" si="13">E6/1.25</f>
        <v>160000000</v>
      </c>
      <c r="G6" s="76">
        <f t="shared" si="1"/>
        <v>40000000</v>
      </c>
      <c r="H6" s="76">
        <f t="shared" si="2"/>
        <v>32000000</v>
      </c>
      <c r="I6" s="76">
        <f t="shared" si="3"/>
        <v>8000000</v>
      </c>
      <c r="J6" s="76">
        <f t="shared" si="4"/>
        <v>192000000</v>
      </c>
      <c r="K6" s="76">
        <f t="shared" si="5"/>
        <v>48000000</v>
      </c>
      <c r="L6" s="76">
        <f t="shared" si="6"/>
        <v>7200000</v>
      </c>
      <c r="M6" s="76">
        <f t="shared" si="7"/>
        <v>48000000</v>
      </c>
      <c r="N6" s="76">
        <f t="shared" si="8"/>
        <v>32800000</v>
      </c>
      <c r="O6" s="97">
        <f t="shared" si="9"/>
        <v>0.13666666666666666</v>
      </c>
      <c r="P6" s="98">
        <f t="shared" si="10"/>
        <v>0.2</v>
      </c>
      <c r="Q6" s="99">
        <f t="shared" si="11"/>
        <v>0.24</v>
      </c>
    </row>
    <row r="7" spans="1:17" x14ac:dyDescent="0.2">
      <c r="A7" s="75">
        <v>10</v>
      </c>
      <c r="B7" s="4">
        <v>32000</v>
      </c>
      <c r="C7" s="4">
        <v>15000</v>
      </c>
      <c r="D7" s="76">
        <f t="shared" si="0"/>
        <v>480000000</v>
      </c>
      <c r="E7" s="76">
        <f t="shared" si="12"/>
        <v>400000000</v>
      </c>
      <c r="F7" s="76">
        <f t="shared" si="13"/>
        <v>320000000</v>
      </c>
      <c r="G7" s="76">
        <f t="shared" si="1"/>
        <v>80000000</v>
      </c>
      <c r="H7" s="76">
        <f t="shared" si="2"/>
        <v>64000000</v>
      </c>
      <c r="I7" s="76">
        <f t="shared" si="3"/>
        <v>16000000</v>
      </c>
      <c r="J7" s="76">
        <f t="shared" ref="J7:J17" si="14">F6*1.2</f>
        <v>192000000</v>
      </c>
      <c r="K7" s="76">
        <f t="shared" si="5"/>
        <v>288000000</v>
      </c>
      <c r="L7" s="76">
        <f t="shared" si="6"/>
        <v>43200000</v>
      </c>
      <c r="M7" s="76">
        <f t="shared" si="7"/>
        <v>288000000</v>
      </c>
      <c r="N7" s="76">
        <f t="shared" ref="N7:N17" si="15" xml:space="preserve"> M6 - I6 - L6</f>
        <v>32800000</v>
      </c>
      <c r="O7" s="97">
        <f xml:space="preserve"> N7 / D7</f>
        <v>6.8333333333333329E-2</v>
      </c>
      <c r="P7" s="98">
        <f t="shared" si="10"/>
        <v>0.2</v>
      </c>
      <c r="Q7" s="99">
        <f t="shared" si="11"/>
        <v>0.72</v>
      </c>
    </row>
    <row r="8" spans="1:17" x14ac:dyDescent="0.2">
      <c r="A8" s="75">
        <v>11</v>
      </c>
      <c r="B8" s="4">
        <v>64000</v>
      </c>
      <c r="C8" s="4">
        <v>15000</v>
      </c>
      <c r="D8" s="76">
        <f t="shared" si="0"/>
        <v>960000000</v>
      </c>
      <c r="E8" s="76">
        <f t="shared" si="12"/>
        <v>800000000</v>
      </c>
      <c r="F8" s="76">
        <f t="shared" si="13"/>
        <v>640000000</v>
      </c>
      <c r="G8" s="76">
        <f t="shared" si="1"/>
        <v>160000000</v>
      </c>
      <c r="H8" s="76">
        <f t="shared" si="2"/>
        <v>128000000</v>
      </c>
      <c r="I8" s="76">
        <f t="shared" si="3"/>
        <v>32000000</v>
      </c>
      <c r="J8" s="76">
        <f t="shared" ref="J8:J17" si="16">F8*1.2</f>
        <v>768000000</v>
      </c>
      <c r="K8" s="76">
        <f t="shared" si="5"/>
        <v>192000000</v>
      </c>
      <c r="L8" s="76">
        <f t="shared" si="6"/>
        <v>28800000</v>
      </c>
      <c r="M8" s="76">
        <f t="shared" si="7"/>
        <v>192000000</v>
      </c>
      <c r="N8" s="76">
        <f t="shared" ref="N8:N9" si="17" xml:space="preserve"> M8 - I8 - L8</f>
        <v>131200000</v>
      </c>
      <c r="O8" s="97">
        <f xml:space="preserve"> N8 / D8</f>
        <v>0.13666666666666666</v>
      </c>
      <c r="P8" s="98">
        <f t="shared" si="10"/>
        <v>0.2</v>
      </c>
      <c r="Q8" s="99">
        <f t="shared" si="11"/>
        <v>0.24</v>
      </c>
    </row>
    <row r="9" spans="1:17" x14ac:dyDescent="0.2">
      <c r="A9" s="75">
        <v>12</v>
      </c>
      <c r="B9" s="4">
        <v>128000</v>
      </c>
      <c r="C9" s="4">
        <v>15000</v>
      </c>
      <c r="D9" s="76">
        <f t="shared" si="0"/>
        <v>1920000000</v>
      </c>
      <c r="E9" s="76">
        <f t="shared" si="12"/>
        <v>1600000000</v>
      </c>
      <c r="F9" s="76">
        <f t="shared" si="13"/>
        <v>1280000000</v>
      </c>
      <c r="G9" s="76">
        <f t="shared" si="1"/>
        <v>320000000</v>
      </c>
      <c r="H9" s="76">
        <f t="shared" si="2"/>
        <v>256000000</v>
      </c>
      <c r="I9" s="76">
        <f t="shared" si="3"/>
        <v>64000000</v>
      </c>
      <c r="J9" s="76">
        <f t="shared" si="16"/>
        <v>1536000000</v>
      </c>
      <c r="K9" s="76">
        <f t="shared" si="5"/>
        <v>384000000</v>
      </c>
      <c r="L9" s="76">
        <f t="shared" si="6"/>
        <v>57600000</v>
      </c>
      <c r="M9" s="76">
        <f t="shared" si="7"/>
        <v>384000000</v>
      </c>
      <c r="N9" s="76">
        <f t="shared" si="17"/>
        <v>262400000</v>
      </c>
      <c r="O9" s="97">
        <f t="shared" si="9"/>
        <v>0.13666666666666666</v>
      </c>
      <c r="P9" s="98">
        <f t="shared" si="10"/>
        <v>0.2</v>
      </c>
      <c r="Q9" s="99">
        <f t="shared" si="11"/>
        <v>0.24</v>
      </c>
    </row>
    <row r="10" spans="1:17" x14ac:dyDescent="0.2">
      <c r="A10" s="75">
        <v>13</v>
      </c>
      <c r="B10" s="4">
        <v>256000</v>
      </c>
      <c r="C10" s="4">
        <v>15000</v>
      </c>
      <c r="D10" s="76">
        <f t="shared" si="0"/>
        <v>3840000000</v>
      </c>
      <c r="E10" s="76">
        <f t="shared" si="12"/>
        <v>3200000000</v>
      </c>
      <c r="F10" s="76">
        <f t="shared" si="13"/>
        <v>2560000000</v>
      </c>
      <c r="G10" s="76">
        <f t="shared" si="1"/>
        <v>640000000</v>
      </c>
      <c r="H10" s="76">
        <f t="shared" si="2"/>
        <v>512000000</v>
      </c>
      <c r="I10" s="76">
        <f t="shared" si="3"/>
        <v>128000000</v>
      </c>
      <c r="J10" s="76">
        <f t="shared" ref="J10:J17" si="18">F9*1.2</f>
        <v>1536000000</v>
      </c>
      <c r="K10" s="76">
        <f t="shared" si="5"/>
        <v>2304000000</v>
      </c>
      <c r="L10" s="76">
        <f t="shared" si="6"/>
        <v>345600000</v>
      </c>
      <c r="M10" s="76">
        <f t="shared" si="7"/>
        <v>2304000000</v>
      </c>
      <c r="N10" s="76">
        <f t="shared" ref="N10:N17" si="19" xml:space="preserve"> M9 - I9 - L9</f>
        <v>262400000</v>
      </c>
      <c r="O10" s="97">
        <f t="shared" si="9"/>
        <v>6.8333333333333329E-2</v>
      </c>
      <c r="P10" s="98">
        <f t="shared" si="10"/>
        <v>0.2</v>
      </c>
      <c r="Q10" s="99">
        <f t="shared" si="11"/>
        <v>0.72</v>
      </c>
    </row>
    <row r="11" spans="1:17" x14ac:dyDescent="0.2">
      <c r="A11" s="75">
        <v>14</v>
      </c>
      <c r="B11" s="4">
        <v>512000</v>
      </c>
      <c r="C11" s="4">
        <v>15000</v>
      </c>
      <c r="D11" s="76">
        <f t="shared" si="0"/>
        <v>7680000000</v>
      </c>
      <c r="E11" s="76">
        <f t="shared" si="12"/>
        <v>6400000000</v>
      </c>
      <c r="F11" s="76">
        <f t="shared" si="13"/>
        <v>5120000000</v>
      </c>
      <c r="G11" s="76">
        <f t="shared" si="1"/>
        <v>1280000000</v>
      </c>
      <c r="H11" s="76">
        <f t="shared" si="2"/>
        <v>1024000000</v>
      </c>
      <c r="I11" s="76">
        <f t="shared" si="3"/>
        <v>256000000</v>
      </c>
      <c r="J11" s="76">
        <f t="shared" ref="J11:J17" si="20">F11*1.2</f>
        <v>6144000000</v>
      </c>
      <c r="K11" s="76">
        <f t="shared" si="5"/>
        <v>1536000000</v>
      </c>
      <c r="L11" s="76">
        <f t="shared" si="6"/>
        <v>230400000</v>
      </c>
      <c r="M11" s="76">
        <f t="shared" si="7"/>
        <v>1536000000</v>
      </c>
      <c r="N11" s="76">
        <f t="shared" ref="N11:N12" si="21" xml:space="preserve"> M11 - I11 - L11</f>
        <v>1049600000</v>
      </c>
      <c r="O11" s="97">
        <f t="shared" si="9"/>
        <v>0.13666666666666666</v>
      </c>
      <c r="P11" s="98">
        <f t="shared" si="10"/>
        <v>0.2</v>
      </c>
      <c r="Q11" s="99">
        <f t="shared" si="11"/>
        <v>0.24</v>
      </c>
    </row>
    <row r="12" spans="1:17" x14ac:dyDescent="0.2">
      <c r="A12" s="75">
        <v>15</v>
      </c>
      <c r="B12" s="4">
        <v>1024000</v>
      </c>
      <c r="C12" s="4">
        <v>15000</v>
      </c>
      <c r="D12" s="76">
        <f t="shared" si="0"/>
        <v>15360000000</v>
      </c>
      <c r="E12" s="76">
        <f t="shared" si="12"/>
        <v>12800000000</v>
      </c>
      <c r="F12" s="76">
        <f t="shared" si="13"/>
        <v>10240000000</v>
      </c>
      <c r="G12" s="76">
        <f t="shared" si="1"/>
        <v>2560000000</v>
      </c>
      <c r="H12" s="76">
        <f t="shared" si="2"/>
        <v>2048000000</v>
      </c>
      <c r="I12" s="76">
        <f t="shared" si="3"/>
        <v>512000000</v>
      </c>
      <c r="J12" s="76">
        <f t="shared" si="20"/>
        <v>12288000000</v>
      </c>
      <c r="K12" s="76">
        <f t="shared" si="5"/>
        <v>3072000000</v>
      </c>
      <c r="L12" s="76">
        <f t="shared" si="6"/>
        <v>460800000</v>
      </c>
      <c r="M12" s="76">
        <f t="shared" si="7"/>
        <v>3072000000</v>
      </c>
      <c r="N12" s="76">
        <f t="shared" si="21"/>
        <v>2099200000</v>
      </c>
      <c r="O12" s="97">
        <f t="shared" si="9"/>
        <v>0.13666666666666666</v>
      </c>
      <c r="P12" s="98">
        <f t="shared" si="10"/>
        <v>0.2</v>
      </c>
      <c r="Q12" s="99">
        <f t="shared" si="11"/>
        <v>0.24</v>
      </c>
    </row>
    <row r="13" spans="1:17" x14ac:dyDescent="0.2">
      <c r="A13" s="75">
        <v>16</v>
      </c>
      <c r="B13" s="4">
        <v>2048000</v>
      </c>
      <c r="C13" s="4">
        <v>15000</v>
      </c>
      <c r="D13" s="76">
        <f t="shared" si="0"/>
        <v>30720000000</v>
      </c>
      <c r="E13" s="76">
        <f t="shared" si="12"/>
        <v>25600000000</v>
      </c>
      <c r="F13" s="76">
        <f t="shared" si="13"/>
        <v>20480000000</v>
      </c>
      <c r="G13" s="76">
        <f t="shared" si="1"/>
        <v>5120000000</v>
      </c>
      <c r="H13" s="76">
        <f t="shared" si="2"/>
        <v>4096000000</v>
      </c>
      <c r="I13" s="76">
        <f t="shared" si="3"/>
        <v>1024000000</v>
      </c>
      <c r="J13" s="76">
        <f t="shared" ref="J13:J17" si="22">F12*1.2</f>
        <v>12288000000</v>
      </c>
      <c r="K13" s="76">
        <f t="shared" si="5"/>
        <v>18432000000</v>
      </c>
      <c r="L13" s="76">
        <f t="shared" si="6"/>
        <v>2764800000</v>
      </c>
      <c r="M13" s="76">
        <f t="shared" si="7"/>
        <v>18432000000</v>
      </c>
      <c r="N13" s="76">
        <f t="shared" ref="N13:N17" si="23" xml:space="preserve"> M12 - I12 - L12</f>
        <v>2099200000</v>
      </c>
      <c r="O13" s="97">
        <f t="shared" si="9"/>
        <v>6.8333333333333329E-2</v>
      </c>
      <c r="P13" s="98">
        <f t="shared" si="10"/>
        <v>0.2</v>
      </c>
      <c r="Q13" s="99">
        <f t="shared" si="11"/>
        <v>0.72</v>
      </c>
    </row>
    <row r="14" spans="1:17" x14ac:dyDescent="0.2">
      <c r="A14" s="75">
        <v>17</v>
      </c>
      <c r="B14" s="4">
        <v>4096000</v>
      </c>
      <c r="C14" s="4">
        <v>15000</v>
      </c>
      <c r="D14" s="76">
        <f t="shared" si="0"/>
        <v>61440000000</v>
      </c>
      <c r="E14" s="76">
        <f t="shared" si="12"/>
        <v>51200000000</v>
      </c>
      <c r="F14" s="76">
        <f t="shared" si="13"/>
        <v>40960000000</v>
      </c>
      <c r="G14" s="76">
        <f t="shared" si="1"/>
        <v>10240000000</v>
      </c>
      <c r="H14" s="76">
        <f t="shared" si="2"/>
        <v>8192000000</v>
      </c>
      <c r="I14" s="76">
        <f t="shared" si="3"/>
        <v>2048000000</v>
      </c>
      <c r="J14" s="76">
        <f t="shared" ref="J14:J17" si="24">F14*1.2</f>
        <v>49152000000</v>
      </c>
      <c r="K14" s="76">
        <f t="shared" si="5"/>
        <v>12288000000</v>
      </c>
      <c r="L14" s="76">
        <f t="shared" si="6"/>
        <v>1843200000</v>
      </c>
      <c r="M14" s="76">
        <f t="shared" si="7"/>
        <v>12288000000</v>
      </c>
      <c r="N14" s="76">
        <f t="shared" ref="N14:N15" si="25" xml:space="preserve"> M14 - I14 - L14</f>
        <v>8396800000</v>
      </c>
      <c r="O14" s="97">
        <f t="shared" si="9"/>
        <v>0.13666666666666666</v>
      </c>
      <c r="P14" s="98">
        <f t="shared" si="10"/>
        <v>0.2</v>
      </c>
      <c r="Q14" s="99">
        <f t="shared" si="11"/>
        <v>0.24</v>
      </c>
    </row>
    <row r="15" spans="1:17" x14ac:dyDescent="0.2">
      <c r="A15" s="75">
        <v>18</v>
      </c>
      <c r="B15" s="4">
        <v>8192000</v>
      </c>
      <c r="C15" s="4">
        <v>15000</v>
      </c>
      <c r="D15" s="76">
        <f t="shared" si="0"/>
        <v>122880000000</v>
      </c>
      <c r="E15" s="76">
        <f t="shared" si="12"/>
        <v>102400000000</v>
      </c>
      <c r="F15" s="76">
        <f t="shared" si="13"/>
        <v>81920000000</v>
      </c>
      <c r="G15" s="76">
        <f t="shared" si="1"/>
        <v>20480000000</v>
      </c>
      <c r="H15" s="76">
        <f t="shared" si="2"/>
        <v>16384000000</v>
      </c>
      <c r="I15" s="76">
        <f t="shared" si="3"/>
        <v>4096000000</v>
      </c>
      <c r="J15" s="76">
        <f t="shared" si="24"/>
        <v>98304000000</v>
      </c>
      <c r="K15" s="76">
        <f t="shared" si="5"/>
        <v>24576000000</v>
      </c>
      <c r="L15" s="76">
        <f t="shared" si="6"/>
        <v>3686400000</v>
      </c>
      <c r="M15" s="76">
        <f t="shared" si="7"/>
        <v>24576000000</v>
      </c>
      <c r="N15" s="76">
        <f t="shared" si="25"/>
        <v>16793600000</v>
      </c>
      <c r="O15" s="97">
        <f t="shared" si="9"/>
        <v>0.13666666666666666</v>
      </c>
      <c r="P15" s="98">
        <f t="shared" si="10"/>
        <v>0.2</v>
      </c>
      <c r="Q15" s="99">
        <f t="shared" si="11"/>
        <v>0.24</v>
      </c>
    </row>
    <row r="16" spans="1:17" x14ac:dyDescent="0.2">
      <c r="A16" s="75">
        <v>19</v>
      </c>
      <c r="B16" s="4">
        <v>16384000</v>
      </c>
      <c r="C16" s="4">
        <v>15000</v>
      </c>
      <c r="D16" s="76">
        <f t="shared" si="0"/>
        <v>245760000000</v>
      </c>
      <c r="E16" s="76">
        <f t="shared" si="12"/>
        <v>204800000000</v>
      </c>
      <c r="F16" s="76">
        <f t="shared" si="13"/>
        <v>163840000000</v>
      </c>
      <c r="G16" s="76">
        <f t="shared" si="1"/>
        <v>40960000000</v>
      </c>
      <c r="H16" s="76">
        <f t="shared" si="2"/>
        <v>32768000000</v>
      </c>
      <c r="I16" s="76">
        <f t="shared" si="3"/>
        <v>8192000000</v>
      </c>
      <c r="J16" s="76">
        <f t="shared" ref="J16:J17" si="26">F15*1.2</f>
        <v>98304000000</v>
      </c>
      <c r="K16" s="76">
        <f t="shared" si="5"/>
        <v>147456000000</v>
      </c>
      <c r="L16" s="76">
        <f t="shared" si="6"/>
        <v>22118400000</v>
      </c>
      <c r="M16" s="76">
        <f t="shared" si="7"/>
        <v>147456000000</v>
      </c>
      <c r="N16" s="76">
        <f t="shared" ref="N16:N17" si="27" xml:space="preserve"> M15 - I15 - L15</f>
        <v>16793600000</v>
      </c>
      <c r="O16" s="97">
        <f t="shared" si="9"/>
        <v>6.8333333333333329E-2</v>
      </c>
      <c r="P16" s="98">
        <f t="shared" si="10"/>
        <v>0.2</v>
      </c>
      <c r="Q16" s="99">
        <f t="shared" si="11"/>
        <v>0.72</v>
      </c>
    </row>
    <row r="17" spans="1:17" ht="16" thickBot="1" x14ac:dyDescent="0.25">
      <c r="A17" s="77">
        <v>20</v>
      </c>
      <c r="B17" s="78">
        <v>32768000</v>
      </c>
      <c r="C17" s="78">
        <v>15000</v>
      </c>
      <c r="D17" s="79">
        <f xml:space="preserve"> B17 * C17</f>
        <v>491520000000</v>
      </c>
      <c r="E17" s="79">
        <f>D17/1.2</f>
        <v>409600000000</v>
      </c>
      <c r="F17" s="79">
        <f>E17/1.25</f>
        <v>327680000000</v>
      </c>
      <c r="G17" s="79">
        <f xml:space="preserve"> D17 - E17</f>
        <v>81920000000</v>
      </c>
      <c r="H17" s="79">
        <f t="shared" si="2"/>
        <v>65536000000</v>
      </c>
      <c r="I17" s="79">
        <f t="shared" si="3"/>
        <v>16384000000</v>
      </c>
      <c r="J17" s="79">
        <f>F17*1.2</f>
        <v>393216000000</v>
      </c>
      <c r="K17" s="79">
        <f t="shared" si="5"/>
        <v>98304000000</v>
      </c>
      <c r="L17" s="79">
        <f t="shared" si="6"/>
        <v>14745600000</v>
      </c>
      <c r="M17" s="79">
        <f t="shared" si="7"/>
        <v>98304000000</v>
      </c>
      <c r="N17" s="79">
        <f t="shared" ref="N17" si="28" xml:space="preserve"> M17 - I17 - L17</f>
        <v>67174400000</v>
      </c>
      <c r="O17" s="100">
        <f t="shared" si="9"/>
        <v>0.13666666666666666</v>
      </c>
      <c r="P17" s="101">
        <f t="shared" si="10"/>
        <v>0.2</v>
      </c>
      <c r="Q17" s="99">
        <f xml:space="preserve"> M17/E17</f>
        <v>0.24</v>
      </c>
    </row>
  </sheetData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Лучший сценарий</vt:lpstr>
      <vt:lpstr>Средний сценарий</vt:lpstr>
      <vt:lpstr>Худший сценарий</vt:lpstr>
      <vt:lpstr>1 год - расшифровка</vt:lpstr>
      <vt:lpstr>1 год - по месяцам</vt:lpstr>
      <vt:lpstr>Формулы</vt:lpstr>
      <vt:lpstr>Юнит-экономика</vt:lpstr>
      <vt:lpstr>B2B 5-20 лет (млн)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Microsoft Office User</cp:lastModifiedBy>
  <dcterms:created xsi:type="dcterms:W3CDTF">2025-06-11T06:32:34Z</dcterms:created>
  <dcterms:modified xsi:type="dcterms:W3CDTF">2025-06-20T17:36:35Z</dcterms:modified>
</cp:coreProperties>
</file>